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D:\CONTRATACION 2020\CONCURSO DE MERITOS\10827 INTERVENTORIA SUBREGION ORIENTE\6. INFORME AJUSTADO\PUBLICACION 29-07-2020\"/>
    </mc:Choice>
  </mc:AlternateContent>
  <xr:revisionPtr revIDLastSave="0" documentId="13_ncr:1_{ED34E9C1-985D-419C-9AE0-E750FB53E117}" xr6:coauthVersionLast="45" xr6:coauthVersionMax="45" xr10:uidLastSave="{00000000-0000-0000-0000-000000000000}"/>
  <bookViews>
    <workbookView xWindow="-120" yWindow="-120" windowWidth="29040" windowHeight="15840" activeTab="3" xr2:uid="{2ABB4910-5FBF-461F-9E74-7E9D0C5CA847}"/>
  </bookViews>
  <sheets>
    <sheet name="EXP HABILITANTE" sheetId="1" r:id="rId1"/>
    <sheet name="EXP ESPECIFICA PROPONENTE" sheetId="2" r:id="rId2"/>
    <sheet name="EXP DIRECTOR" sheetId="3" r:id="rId3"/>
    <sheet name="ASIGNACION DE PUNTAJES" sheetId="4" r:id="rId4"/>
  </sheets>
  <externalReferences>
    <externalReference r:id="rId5"/>
    <externalReference r:id="rId6"/>
    <externalReference r:id="rId7"/>
    <externalReference r:id="rId8"/>
  </externalReferences>
  <definedNames>
    <definedName name="_Fill" localSheetId="3" hidden="1">#REF!</definedName>
    <definedName name="_Fill" hidden="1">#REF!</definedName>
    <definedName name="_xlnm._FilterDatabase" localSheetId="3" hidden="1">'ASIGNACION DE PUNTAJES'!$A$14:$Z$69</definedName>
    <definedName name="_xlnm._FilterDatabase" hidden="1">#REF!</definedName>
    <definedName name="A"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AASS"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Cwvu.TAB1." localSheetId="3" hidden="1">#REF!</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_xlnm.Print_Area" localSheetId="3">'ASIGNACION DE PUNTAJES'!$A$1:$L$69</definedName>
    <definedName name="_xlnm.Print_Area" localSheetId="2">'EXP DIRECTOR'!$A$1:$L$829</definedName>
    <definedName name="_xlnm.Print_Area" localSheetId="1">'EXP ESPECIFICA PROPONENTE'!$B$1:$AB$944</definedName>
    <definedName name="_xlnm.Print_Area" localSheetId="0">'EXP HABILITANTE'!$B$1:$T$143</definedName>
    <definedName name="_xlnm.Print_Area">#REF!</definedName>
    <definedName name="CAPITALD">[1]POA!$J$2</definedName>
    <definedName name="CARGOSOLICITANTE">#REF!</definedName>
    <definedName name="DIRECCIONES">#REF!</definedName>
    <definedName name="FORMULARIO" localSheetId="3" hidden="1">#REF!</definedName>
    <definedName name="FORMULARIO" hidden="1">#REF!</definedName>
    <definedName name="FUNCIÓN">#REF!</definedName>
    <definedName name="irma">[2]DIRECCIONES!#REF!</definedName>
    <definedName name="PATRIMONIOD">[1]POA!$L$2</definedName>
    <definedName name="PRECIO">'[3]SUB APU'!$A$1:$D$65536</definedName>
    <definedName name="Print_Area">#N/A</definedName>
    <definedName name="prueba">#REF!</definedName>
    <definedName name="q" localSheetId="3" hidden="1">{"via1",#N/A,TRUE,"general";"via2",#N/A,TRUE,"general";"via3",#N/A,TRUE,"general"}</definedName>
    <definedName name="q" hidden="1">{"via1",#N/A,TRUE,"general";"via2",#N/A,TRUE,"general";"via3",#N/A,TRUE,"general"}</definedName>
    <definedName name="sdfasdf" hidden="1">#REF!</definedName>
    <definedName name="SUBA">'[4]SUB APU'!$A$1:$D$65536</definedName>
    <definedName name="Swvu.TAB1." localSheetId="3" hidden="1">#REF!</definedName>
    <definedName name="Swvu.TAB1." hidden="1">#REF!</definedName>
    <definedName name="Swvu.TAB2." localSheetId="3" hidden="1">#REF!</definedName>
    <definedName name="Swvu.TAB2." hidden="1">#REF!</definedName>
    <definedName name="Swvu.TAB3." localSheetId="3" hidden="1">#REF!</definedName>
    <definedName name="Swvu.TAB3." hidden="1">#REF!</definedName>
    <definedName name="Swvu.TAB4." hidden="1">#REF!</definedName>
    <definedName name="Swvu.TAB5." hidden="1">#REF!</definedName>
    <definedName name="_xlnm.Print_Titles" localSheetId="2">'EXP DIRECTOR'!$1:$5</definedName>
    <definedName name="_xlnm.Print_Titles" localSheetId="1">'EXP ESPECIFICA PROPONENTE'!$1:$9</definedName>
    <definedName name="_xlnm.Print_Titles" localSheetId="0">'EXP HABILITANTE'!$1:$8</definedName>
    <definedName name="wrn.formu." localSheetId="3" hidden="1">{"VIA1",#N/A,TRUE,"formul";"VIA2",#N/A,TRUE,"formul";"VIA3",#N/A,TRUE,"formul"}</definedName>
    <definedName name="wrn.formu." hidden="1">{"VIA1",#N/A,TRUE,"formul";"VIA2",#N/A,TRUE,"formul";"VIA3",#N/A,TRUE,"formul"}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via." localSheetId="3" hidden="1">{"via1",#N/A,TRUE,"general";"via2",#N/A,TRUE,"general";"via3",#N/A,TRUE,"general"}</definedName>
    <definedName name="wrn.via." hidden="1">{"via1",#N/A,TRUE,"general";"via2",#N/A,TRUE,"general";"via3",#N/A,TRUE,"general"}</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3"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Z_026CD6D7_F7CA_4BE8_B625_9A1778CFA739_.wvu.FilterData" localSheetId="3" hidden="1">#REF!</definedName>
    <definedName name="Z_026CD6D7_F7CA_4BE8_B625_9A1778CFA739_.wvu.FilterData" hidden="1">#REF!</definedName>
    <definedName name="Z_026CD6D7_F7CA_4BE8_B625_9A1778CFA739_.wvu.PrintArea" localSheetId="3" hidden="1">#REF!</definedName>
    <definedName name="Z_026CD6D7_F7CA_4BE8_B625_9A1778CFA739_.wvu.PrintArea" hidden="1">#REF!</definedName>
    <definedName name="Z_026CD6D7_F7CA_4BE8_B625_9A1778CFA739_.wvu.PrintTitles" localSheetId="3"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69" i="4" l="1"/>
  <c r="H68" i="4"/>
  <c r="H67" i="4"/>
  <c r="H66" i="4"/>
  <c r="H65" i="4"/>
  <c r="H64" i="4"/>
  <c r="H59" i="4"/>
  <c r="H58" i="4"/>
  <c r="H57" i="4"/>
  <c r="H56" i="4"/>
  <c r="H55" i="4"/>
  <c r="H54" i="4"/>
  <c r="H53" i="4"/>
  <c r="H52" i="4"/>
  <c r="H44" i="4"/>
  <c r="H41" i="4"/>
  <c r="H33" i="4"/>
  <c r="A24" i="4"/>
  <c r="A25" i="4" s="1"/>
  <c r="Q23" i="4"/>
  <c r="A23" i="4"/>
  <c r="Q22" i="4"/>
  <c r="N22" i="4"/>
  <c r="Q17" i="4"/>
  <c r="A17" i="4"/>
  <c r="Q16" i="4"/>
  <c r="N16" i="4"/>
  <c r="H16" i="4"/>
  <c r="Q15" i="4"/>
  <c r="N15" i="4"/>
  <c r="C7" i="4"/>
  <c r="C6" i="4"/>
  <c r="C3" i="4"/>
  <c r="A829" i="3"/>
  <c r="H827" i="3"/>
  <c r="A826" i="3"/>
  <c r="A824" i="3"/>
  <c r="H823" i="3"/>
  <c r="H822" i="3"/>
  <c r="H821" i="3"/>
  <c r="H820" i="3"/>
  <c r="L816" i="3"/>
  <c r="H828" i="3"/>
  <c r="A814" i="3"/>
  <c r="H812" i="3"/>
  <c r="A811" i="3"/>
  <c r="A809" i="3"/>
  <c r="H808" i="3"/>
  <c r="H807" i="3"/>
  <c r="H806" i="3"/>
  <c r="H805" i="3"/>
  <c r="L801" i="3"/>
  <c r="H814" i="3"/>
  <c r="A799" i="3"/>
  <c r="A796" i="3"/>
  <c r="A794" i="3"/>
  <c r="H793" i="3"/>
  <c r="H792" i="3"/>
  <c r="H791" i="3"/>
  <c r="H790" i="3"/>
  <c r="L786" i="3"/>
  <c r="H798" i="3"/>
  <c r="A784" i="3"/>
  <c r="A781" i="3"/>
  <c r="A779" i="3"/>
  <c r="H778" i="3"/>
  <c r="H777" i="3"/>
  <c r="H776" i="3"/>
  <c r="H775" i="3"/>
  <c r="L771" i="3"/>
  <c r="H784" i="3"/>
  <c r="H769" i="3"/>
  <c r="A769" i="3"/>
  <c r="A766" i="3"/>
  <c r="A764" i="3"/>
  <c r="H763" i="3"/>
  <c r="H762" i="3"/>
  <c r="H761" i="3"/>
  <c r="H760" i="3"/>
  <c r="L756" i="3"/>
  <c r="H768" i="3"/>
  <c r="H754" i="3"/>
  <c r="A754" i="3"/>
  <c r="H752" i="3"/>
  <c r="A751" i="3"/>
  <c r="A749" i="3"/>
  <c r="H748" i="3"/>
  <c r="H747" i="3"/>
  <c r="H746" i="3"/>
  <c r="H745" i="3"/>
  <c r="L741" i="3"/>
  <c r="H753" i="3"/>
  <c r="A739" i="3"/>
  <c r="A736" i="3"/>
  <c r="A734" i="3"/>
  <c r="H733" i="3"/>
  <c r="H732" i="3"/>
  <c r="H731" i="3"/>
  <c r="H730" i="3"/>
  <c r="L726" i="3"/>
  <c r="H739" i="3"/>
  <c r="A724" i="3"/>
  <c r="A721" i="3"/>
  <c r="A719" i="3"/>
  <c r="H718" i="3"/>
  <c r="H717" i="3"/>
  <c r="H716" i="3"/>
  <c r="H715" i="3"/>
  <c r="L711" i="3"/>
  <c r="H723" i="3"/>
  <c r="H709" i="3"/>
  <c r="A709" i="3"/>
  <c r="H707" i="3"/>
  <c r="A706" i="3"/>
  <c r="A704" i="3"/>
  <c r="H703" i="3"/>
  <c r="H702" i="3"/>
  <c r="H701" i="3"/>
  <c r="H700" i="3"/>
  <c r="L696" i="3"/>
  <c r="H708" i="3"/>
  <c r="H694" i="3"/>
  <c r="A694" i="3"/>
  <c r="H692" i="3"/>
  <c r="A691" i="3"/>
  <c r="A689" i="3"/>
  <c r="H688" i="3"/>
  <c r="H687" i="3"/>
  <c r="H686" i="3"/>
  <c r="H685" i="3"/>
  <c r="L681" i="3"/>
  <c r="H693" i="3"/>
  <c r="H679" i="3"/>
  <c r="A679" i="3"/>
  <c r="A676" i="3"/>
  <c r="A674" i="3"/>
  <c r="H673" i="3"/>
  <c r="H672" i="3"/>
  <c r="H671" i="3"/>
  <c r="H670" i="3"/>
  <c r="L666" i="3"/>
  <c r="H678" i="3"/>
  <c r="A664" i="3"/>
  <c r="H662" i="3"/>
  <c r="A661" i="3"/>
  <c r="A659" i="3"/>
  <c r="H658" i="3"/>
  <c r="H657" i="3"/>
  <c r="H656" i="3"/>
  <c r="H655" i="3"/>
  <c r="L651" i="3"/>
  <c r="H664" i="3"/>
  <c r="A649" i="3"/>
  <c r="H647" i="3"/>
  <c r="A646" i="3"/>
  <c r="A644" i="3"/>
  <c r="H643" i="3"/>
  <c r="H642" i="3"/>
  <c r="H641" i="3"/>
  <c r="H640" i="3"/>
  <c r="L636" i="3"/>
  <c r="H648" i="3"/>
  <c r="A634" i="3"/>
  <c r="H632" i="3"/>
  <c r="A631" i="3"/>
  <c r="A629" i="3"/>
  <c r="H628" i="3"/>
  <c r="H627" i="3"/>
  <c r="H626" i="3"/>
  <c r="H625" i="3"/>
  <c r="L621" i="3"/>
  <c r="H634" i="3"/>
  <c r="A619" i="3"/>
  <c r="A616" i="3"/>
  <c r="A614" i="3"/>
  <c r="H613" i="3"/>
  <c r="H612" i="3"/>
  <c r="H611" i="3"/>
  <c r="H610" i="3"/>
  <c r="L606" i="3"/>
  <c r="A604" i="3"/>
  <c r="A601" i="3"/>
  <c r="A599" i="3"/>
  <c r="H598" i="3"/>
  <c r="H597" i="3"/>
  <c r="H596" i="3"/>
  <c r="H595" i="3"/>
  <c r="L591" i="3"/>
  <c r="H604" i="3"/>
  <c r="H589" i="3"/>
  <c r="A589" i="3"/>
  <c r="A586" i="3"/>
  <c r="A584" i="3"/>
  <c r="H583" i="3"/>
  <c r="H582" i="3"/>
  <c r="H581" i="3"/>
  <c r="H580" i="3"/>
  <c r="L576" i="3"/>
  <c r="H588" i="3"/>
  <c r="H574" i="3"/>
  <c r="A574" i="3"/>
  <c r="H572" i="3"/>
  <c r="A571" i="3"/>
  <c r="A569" i="3"/>
  <c r="H568" i="3"/>
  <c r="H567" i="3"/>
  <c r="H566" i="3"/>
  <c r="H565" i="3"/>
  <c r="L561" i="3"/>
  <c r="H573" i="3"/>
  <c r="A559" i="3"/>
  <c r="A556" i="3"/>
  <c r="A554" i="3"/>
  <c r="H553" i="3"/>
  <c r="H552" i="3"/>
  <c r="H551" i="3"/>
  <c r="H550" i="3"/>
  <c r="L546" i="3"/>
  <c r="H559" i="3"/>
  <c r="A544" i="3"/>
  <c r="A541" i="3"/>
  <c r="A539" i="3"/>
  <c r="H538" i="3"/>
  <c r="H537" i="3"/>
  <c r="H536" i="3"/>
  <c r="H535" i="3"/>
  <c r="L531" i="3"/>
  <c r="H543" i="3"/>
  <c r="H529" i="3"/>
  <c r="A529" i="3"/>
  <c r="H527" i="3"/>
  <c r="A526" i="3"/>
  <c r="A524" i="3"/>
  <c r="H523" i="3"/>
  <c r="H522" i="3"/>
  <c r="H521" i="3"/>
  <c r="H520" i="3"/>
  <c r="L516" i="3"/>
  <c r="H528" i="3"/>
  <c r="H514" i="3"/>
  <c r="A514" i="3"/>
  <c r="H512" i="3"/>
  <c r="A511" i="3"/>
  <c r="A509" i="3"/>
  <c r="H508" i="3"/>
  <c r="H507" i="3"/>
  <c r="H506" i="3"/>
  <c r="H505" i="3"/>
  <c r="L501" i="3"/>
  <c r="H513" i="3"/>
  <c r="A499" i="3"/>
  <c r="A496" i="3"/>
  <c r="A494" i="3"/>
  <c r="H493" i="3"/>
  <c r="H492" i="3"/>
  <c r="H491" i="3"/>
  <c r="H490" i="3"/>
  <c r="L486" i="3"/>
  <c r="H498" i="3"/>
  <c r="A484" i="3"/>
  <c r="A481" i="3"/>
  <c r="A479" i="3"/>
  <c r="H478" i="3"/>
  <c r="H477" i="3"/>
  <c r="H476" i="3"/>
  <c r="H475" i="3"/>
  <c r="L471" i="3"/>
  <c r="H482" i="3" s="1"/>
  <c r="A469" i="3"/>
  <c r="A466" i="3"/>
  <c r="A464" i="3"/>
  <c r="H463" i="3"/>
  <c r="H462" i="3"/>
  <c r="H461" i="3"/>
  <c r="H460" i="3"/>
  <c r="L456" i="3"/>
  <c r="H467" i="3" s="1"/>
  <c r="H468" i="3"/>
  <c r="A454" i="3"/>
  <c r="A451" i="3"/>
  <c r="A449" i="3"/>
  <c r="H448" i="3"/>
  <c r="H447" i="3"/>
  <c r="H446" i="3"/>
  <c r="H445" i="3"/>
  <c r="L441" i="3"/>
  <c r="H452" i="3" s="1"/>
  <c r="A439" i="3"/>
  <c r="A436" i="3"/>
  <c r="A434" i="3"/>
  <c r="H433" i="3"/>
  <c r="H432" i="3"/>
  <c r="H431" i="3"/>
  <c r="H430" i="3"/>
  <c r="L426" i="3"/>
  <c r="A424" i="3"/>
  <c r="A421" i="3"/>
  <c r="A419" i="3"/>
  <c r="H418" i="3"/>
  <c r="H417" i="3"/>
  <c r="H416" i="3"/>
  <c r="H415" i="3"/>
  <c r="L411" i="3"/>
  <c r="A409" i="3"/>
  <c r="A406" i="3"/>
  <c r="A404" i="3"/>
  <c r="H403" i="3"/>
  <c r="H402" i="3"/>
  <c r="H401" i="3"/>
  <c r="H400" i="3"/>
  <c r="L396" i="3"/>
  <c r="H408" i="3"/>
  <c r="H394" i="3"/>
  <c r="A394" i="3"/>
  <c r="A391" i="3"/>
  <c r="A389" i="3"/>
  <c r="H388" i="3"/>
  <c r="H387" i="3"/>
  <c r="H386" i="3"/>
  <c r="H385" i="3"/>
  <c r="L381" i="3"/>
  <c r="H392" i="3" s="1"/>
  <c r="H393" i="3"/>
  <c r="A379" i="3"/>
  <c r="A376" i="3"/>
  <c r="A374" i="3"/>
  <c r="H373" i="3"/>
  <c r="H372" i="3"/>
  <c r="H371" i="3"/>
  <c r="H370" i="3"/>
  <c r="L366" i="3"/>
  <c r="A364" i="3"/>
  <c r="A361" i="3"/>
  <c r="A359" i="3"/>
  <c r="H358" i="3"/>
  <c r="H357" i="3"/>
  <c r="H356" i="3"/>
  <c r="H355" i="3"/>
  <c r="L351" i="3"/>
  <c r="H363" i="3"/>
  <c r="A349" i="3"/>
  <c r="H347" i="3"/>
  <c r="H349" i="3" s="1"/>
  <c r="A346" i="3"/>
  <c r="A344" i="3"/>
  <c r="H343" i="3"/>
  <c r="H342" i="3"/>
  <c r="H341" i="3"/>
  <c r="H340" i="3"/>
  <c r="L336" i="3"/>
  <c r="H348" i="3"/>
  <c r="A334" i="3"/>
  <c r="A331" i="3"/>
  <c r="A329" i="3"/>
  <c r="H328" i="3"/>
  <c r="H327" i="3"/>
  <c r="H326" i="3"/>
  <c r="H325" i="3"/>
  <c r="L321" i="3"/>
  <c r="H332" i="3" s="1"/>
  <c r="H333" i="3"/>
  <c r="H334" i="3" s="1"/>
  <c r="A319" i="3"/>
  <c r="A316" i="3"/>
  <c r="A314" i="3"/>
  <c r="H313" i="3"/>
  <c r="H312" i="3"/>
  <c r="H311" i="3"/>
  <c r="H310" i="3"/>
  <c r="L306" i="3"/>
  <c r="H318" i="3"/>
  <c r="A304" i="3"/>
  <c r="A301" i="3"/>
  <c r="A299" i="3"/>
  <c r="H298" i="3"/>
  <c r="H297" i="3"/>
  <c r="H296" i="3"/>
  <c r="H295" i="3"/>
  <c r="L291" i="3"/>
  <c r="H302" i="3" s="1"/>
  <c r="H303" i="3"/>
  <c r="A289" i="3"/>
  <c r="A286" i="3"/>
  <c r="A284" i="3"/>
  <c r="H283" i="3"/>
  <c r="H282" i="3"/>
  <c r="H281" i="3"/>
  <c r="H280" i="3"/>
  <c r="L276" i="3"/>
  <c r="H287" i="3" s="1"/>
  <c r="H288" i="3"/>
  <c r="A274" i="3"/>
  <c r="A271" i="3"/>
  <c r="A269" i="3"/>
  <c r="H268" i="3"/>
  <c r="H267" i="3"/>
  <c r="H266" i="3"/>
  <c r="H265" i="3"/>
  <c r="L261" i="3"/>
  <c r="A259" i="3"/>
  <c r="A256" i="3"/>
  <c r="A254" i="3"/>
  <c r="H253" i="3"/>
  <c r="H252" i="3"/>
  <c r="H251" i="3"/>
  <c r="H250" i="3"/>
  <c r="L246" i="3"/>
  <c r="H258" i="3"/>
  <c r="A244" i="3"/>
  <c r="A241" i="3"/>
  <c r="A239" i="3"/>
  <c r="H238" i="3"/>
  <c r="H237" i="3"/>
  <c r="H236" i="3"/>
  <c r="H235" i="3"/>
  <c r="L231" i="3"/>
  <c r="A229" i="3"/>
  <c r="A226" i="3"/>
  <c r="A224" i="3"/>
  <c r="H223" i="3"/>
  <c r="H222" i="3"/>
  <c r="H221" i="3"/>
  <c r="H220" i="3"/>
  <c r="L216" i="3"/>
  <c r="H228" i="3"/>
  <c r="A214" i="3"/>
  <c r="A211" i="3"/>
  <c r="A209" i="3"/>
  <c r="H208" i="3"/>
  <c r="H207" i="3"/>
  <c r="H206" i="3"/>
  <c r="H205" i="3"/>
  <c r="L201" i="3"/>
  <c r="H212" i="3" s="1"/>
  <c r="A199" i="3"/>
  <c r="A196" i="3"/>
  <c r="A194" i="3"/>
  <c r="H193" i="3"/>
  <c r="H192" i="3"/>
  <c r="H191" i="3"/>
  <c r="H190" i="3"/>
  <c r="L186" i="3"/>
  <c r="A184" i="3"/>
  <c r="A181" i="3"/>
  <c r="A179" i="3"/>
  <c r="H178" i="3"/>
  <c r="H177" i="3"/>
  <c r="H176" i="3"/>
  <c r="H175" i="3"/>
  <c r="L171" i="3"/>
  <c r="A169" i="3"/>
  <c r="A166" i="3"/>
  <c r="A164" i="3"/>
  <c r="H163" i="3"/>
  <c r="H162" i="3"/>
  <c r="H161" i="3"/>
  <c r="H160" i="3"/>
  <c r="L156" i="3"/>
  <c r="H167" i="3" s="1"/>
  <c r="A154" i="3"/>
  <c r="H152" i="3"/>
  <c r="A151" i="3"/>
  <c r="A149" i="3"/>
  <c r="H148" i="3"/>
  <c r="H147" i="3"/>
  <c r="H146" i="3"/>
  <c r="H145" i="3"/>
  <c r="L141" i="3"/>
  <c r="A139" i="3"/>
  <c r="A136" i="3"/>
  <c r="A134" i="3"/>
  <c r="H133" i="3"/>
  <c r="H132" i="3"/>
  <c r="H131" i="3"/>
  <c r="H130" i="3"/>
  <c r="L126" i="3"/>
  <c r="A124" i="3"/>
  <c r="A121" i="3"/>
  <c r="A119" i="3"/>
  <c r="H118" i="3"/>
  <c r="H117" i="3"/>
  <c r="H116" i="3"/>
  <c r="H115" i="3"/>
  <c r="L111" i="3"/>
  <c r="H122" i="3" s="1"/>
  <c r="H123" i="3"/>
  <c r="A109" i="3"/>
  <c r="A106" i="3"/>
  <c r="A104" i="3"/>
  <c r="H103" i="3"/>
  <c r="H102" i="3"/>
  <c r="H101" i="3"/>
  <c r="H100" i="3"/>
  <c r="L96" i="3"/>
  <c r="H107" i="3" s="1"/>
  <c r="A94" i="3"/>
  <c r="A91" i="3"/>
  <c r="A89" i="3"/>
  <c r="H88" i="3"/>
  <c r="H87" i="3"/>
  <c r="H86" i="3"/>
  <c r="H85" i="3"/>
  <c r="L81" i="3"/>
  <c r="A79" i="3"/>
  <c r="A76" i="3"/>
  <c r="A74" i="3"/>
  <c r="H73" i="3"/>
  <c r="H72" i="3"/>
  <c r="H71" i="3"/>
  <c r="H70" i="3"/>
  <c r="L66" i="3"/>
  <c r="H77" i="3" s="1"/>
  <c r="A64" i="3"/>
  <c r="A61" i="3"/>
  <c r="A59" i="3"/>
  <c r="H58" i="3"/>
  <c r="H57" i="3"/>
  <c r="H56" i="3"/>
  <c r="H55" i="3"/>
  <c r="L51" i="3"/>
  <c r="A49" i="3"/>
  <c r="A46" i="3"/>
  <c r="A44" i="3"/>
  <c r="H43" i="3"/>
  <c r="H42" i="3"/>
  <c r="H41" i="3"/>
  <c r="H40" i="3"/>
  <c r="L36" i="3"/>
  <c r="D34" i="3"/>
  <c r="D49" i="3" s="1"/>
  <c r="D64" i="3" s="1"/>
  <c r="D79" i="3" s="1"/>
  <c r="D94" i="3" s="1"/>
  <c r="D109" i="3" s="1"/>
  <c r="D124" i="3" s="1"/>
  <c r="D139" i="3" s="1"/>
  <c r="D154" i="3" s="1"/>
  <c r="D169" i="3" s="1"/>
  <c r="D184" i="3" s="1"/>
  <c r="D199" i="3" s="1"/>
  <c r="D214" i="3" s="1"/>
  <c r="D229" i="3" s="1"/>
  <c r="D244" i="3" s="1"/>
  <c r="D259" i="3" s="1"/>
  <c r="D274" i="3" s="1"/>
  <c r="D289" i="3" s="1"/>
  <c r="D304" i="3" s="1"/>
  <c r="D319" i="3" s="1"/>
  <c r="D334" i="3" s="1"/>
  <c r="D349" i="3" s="1"/>
  <c r="D364" i="3" s="1"/>
  <c r="D379" i="3" s="1"/>
  <c r="D394" i="3" s="1"/>
  <c r="D409" i="3" s="1"/>
  <c r="D424" i="3" s="1"/>
  <c r="D439" i="3" s="1"/>
  <c r="D454" i="3" s="1"/>
  <c r="D469" i="3" s="1"/>
  <c r="D484" i="3" s="1"/>
  <c r="D499" i="3" s="1"/>
  <c r="D514" i="3" s="1"/>
  <c r="D529" i="3" s="1"/>
  <c r="D544" i="3" s="1"/>
  <c r="D559" i="3" s="1"/>
  <c r="D574" i="3" s="1"/>
  <c r="D589" i="3" s="1"/>
  <c r="D604" i="3" s="1"/>
  <c r="D619" i="3" s="1"/>
  <c r="D634" i="3" s="1"/>
  <c r="D649" i="3" s="1"/>
  <c r="D664" i="3" s="1"/>
  <c r="D679" i="3" s="1"/>
  <c r="D694" i="3" s="1"/>
  <c r="D709" i="3" s="1"/>
  <c r="D724" i="3" s="1"/>
  <c r="D739" i="3" s="1"/>
  <c r="D754" i="3" s="1"/>
  <c r="D769" i="3" s="1"/>
  <c r="D784" i="3" s="1"/>
  <c r="D799" i="3" s="1"/>
  <c r="D814" i="3" s="1"/>
  <c r="D829" i="3" s="1"/>
  <c r="A34" i="3"/>
  <c r="A31" i="3"/>
  <c r="A29" i="3"/>
  <c r="H28" i="3"/>
  <c r="H27" i="3"/>
  <c r="H26" i="3"/>
  <c r="H25" i="3"/>
  <c r="L21" i="3"/>
  <c r="A19" i="3"/>
  <c r="H18" i="3"/>
  <c r="H17" i="3"/>
  <c r="A16" i="3"/>
  <c r="A14" i="3"/>
  <c r="H13" i="3"/>
  <c r="H12" i="3"/>
  <c r="H11" i="3"/>
  <c r="H10" i="3"/>
  <c r="L6" i="3"/>
  <c r="S15" i="4" s="1"/>
  <c r="P943" i="2"/>
  <c r="C943" i="2"/>
  <c r="P942" i="2"/>
  <c r="P941" i="2"/>
  <c r="C941" i="2"/>
  <c r="X940" i="2"/>
  <c r="T940" i="2"/>
  <c r="R940" i="2"/>
  <c r="O940" i="2"/>
  <c r="S940" i="2" s="1"/>
  <c r="L940" i="2"/>
  <c r="AE939" i="2"/>
  <c r="AF939" i="2" s="1"/>
  <c r="X939" i="2"/>
  <c r="L939" i="2" s="1"/>
  <c r="T939" i="2"/>
  <c r="A939" i="2" s="1"/>
  <c r="S939" i="2"/>
  <c r="R939" i="2"/>
  <c r="O939" i="2"/>
  <c r="X938" i="2"/>
  <c r="L938" i="2" s="1"/>
  <c r="T938" i="2"/>
  <c r="A938" i="2" s="1"/>
  <c r="S938" i="2"/>
  <c r="R938" i="2"/>
  <c r="O938" i="2"/>
  <c r="X937" i="2"/>
  <c r="L937" i="2" s="1"/>
  <c r="T937" i="2"/>
  <c r="AE937" i="2" s="1"/>
  <c r="AF937" i="2" s="1"/>
  <c r="S937" i="2"/>
  <c r="R937" i="2"/>
  <c r="O937" i="2"/>
  <c r="A937" i="2"/>
  <c r="X936" i="2"/>
  <c r="T936" i="2"/>
  <c r="AE936" i="2" s="1"/>
  <c r="AF936" i="2" s="1"/>
  <c r="S936" i="2"/>
  <c r="R936" i="2"/>
  <c r="O936" i="2"/>
  <c r="L936" i="2"/>
  <c r="A936" i="2"/>
  <c r="X935" i="2"/>
  <c r="T935" i="2"/>
  <c r="R935" i="2"/>
  <c r="O935" i="2"/>
  <c r="S935" i="2" s="1"/>
  <c r="L935" i="2"/>
  <c r="X934" i="2"/>
  <c r="L934" i="2" s="1"/>
  <c r="T934" i="2"/>
  <c r="R934" i="2"/>
  <c r="O934" i="2"/>
  <c r="S934" i="2" s="1"/>
  <c r="A934" i="2"/>
  <c r="AF933" i="2"/>
  <c r="AE933" i="2"/>
  <c r="X933" i="2"/>
  <c r="T933" i="2"/>
  <c r="R933" i="2"/>
  <c r="O933" i="2"/>
  <c r="S933" i="2" s="1"/>
  <c r="L933" i="2"/>
  <c r="A933" i="2"/>
  <c r="X932" i="2"/>
  <c r="L932" i="2" s="1"/>
  <c r="T932" i="2"/>
  <c r="R932" i="2"/>
  <c r="O932" i="2"/>
  <c r="S932" i="2" s="1"/>
  <c r="X931" i="2"/>
  <c r="L931" i="2" s="1"/>
  <c r="T931" i="2"/>
  <c r="R931" i="2"/>
  <c r="O931" i="2"/>
  <c r="S931" i="2" s="1"/>
  <c r="A931" i="2"/>
  <c r="G930" i="2"/>
  <c r="F930" i="2"/>
  <c r="E930" i="2"/>
  <c r="D930" i="2"/>
  <c r="AB929" i="2"/>
  <c r="Z929" i="2"/>
  <c r="V929" i="2"/>
  <c r="U929" i="2"/>
  <c r="T929" i="2"/>
  <c r="S929" i="2"/>
  <c r="P929" i="2"/>
  <c r="O929" i="2"/>
  <c r="N929" i="2"/>
  <c r="M929" i="2"/>
  <c r="L929" i="2"/>
  <c r="K929" i="2"/>
  <c r="J929" i="2"/>
  <c r="I929" i="2"/>
  <c r="D929" i="2"/>
  <c r="C929" i="2"/>
  <c r="B929" i="2"/>
  <c r="AB928" i="2"/>
  <c r="Z928" i="2"/>
  <c r="U928" i="2"/>
  <c r="R928" i="2"/>
  <c r="P926" i="2"/>
  <c r="C926" i="2"/>
  <c r="P925" i="2"/>
  <c r="P924" i="2"/>
  <c r="C924" i="2"/>
  <c r="AE923" i="2"/>
  <c r="AF923" i="2" s="1"/>
  <c r="X923" i="2"/>
  <c r="L923" i="2" s="1"/>
  <c r="T923" i="2"/>
  <c r="R923" i="2"/>
  <c r="O923" i="2"/>
  <c r="S923" i="2" s="1"/>
  <c r="A923" i="2"/>
  <c r="X922" i="2"/>
  <c r="AE922" i="2" s="1"/>
  <c r="AF922" i="2" s="1"/>
  <c r="T922" i="2"/>
  <c r="S922" i="2"/>
  <c r="R922" i="2"/>
  <c r="O922" i="2"/>
  <c r="L922" i="2"/>
  <c r="A922" i="2"/>
  <c r="X921" i="2"/>
  <c r="L921" i="2" s="1"/>
  <c r="T921" i="2"/>
  <c r="A921" i="2" s="1"/>
  <c r="R921" i="2"/>
  <c r="O921" i="2"/>
  <c r="S921" i="2" s="1"/>
  <c r="AE920" i="2"/>
  <c r="AF920" i="2" s="1"/>
  <c r="X920" i="2"/>
  <c r="L920" i="2" s="1"/>
  <c r="T920" i="2"/>
  <c r="A920" i="2" s="1"/>
  <c r="R920" i="2"/>
  <c r="O920" i="2"/>
  <c r="S920" i="2" s="1"/>
  <c r="AE919" i="2"/>
  <c r="AF919" i="2" s="1"/>
  <c r="X919" i="2"/>
  <c r="T919" i="2"/>
  <c r="S919" i="2"/>
  <c r="R919" i="2"/>
  <c r="O919" i="2"/>
  <c r="L919" i="2"/>
  <c r="A919" i="2"/>
  <c r="X918" i="2"/>
  <c r="L918" i="2" s="1"/>
  <c r="T918" i="2"/>
  <c r="T924" i="2" s="1"/>
  <c r="T925" i="2" s="1" a="1"/>
  <c r="T925" i="2" s="1"/>
  <c r="V911" i="2" s="1"/>
  <c r="S918" i="2"/>
  <c r="R918" i="2"/>
  <c r="O918" i="2"/>
  <c r="X917" i="2"/>
  <c r="T917" i="2"/>
  <c r="R917" i="2"/>
  <c r="O917" i="2"/>
  <c r="S917" i="2" s="1"/>
  <c r="A917" i="2"/>
  <c r="AF916" i="2"/>
  <c r="AE916" i="2"/>
  <c r="X916" i="2"/>
  <c r="T916" i="2"/>
  <c r="R916" i="2"/>
  <c r="O916" i="2"/>
  <c r="S916" i="2" s="1"/>
  <c r="L916" i="2"/>
  <c r="A916" i="2"/>
  <c r="X915" i="2"/>
  <c r="AE915" i="2" s="1"/>
  <c r="AF915" i="2" s="1"/>
  <c r="T915" i="2"/>
  <c r="S915" i="2"/>
  <c r="R915" i="2"/>
  <c r="O915" i="2"/>
  <c r="A915" i="2"/>
  <c r="X914" i="2"/>
  <c r="L914" i="2" s="1"/>
  <c r="T914" i="2"/>
  <c r="S914" i="2"/>
  <c r="R914" i="2"/>
  <c r="O914" i="2"/>
  <c r="A914" i="2"/>
  <c r="G913" i="2"/>
  <c r="F913" i="2"/>
  <c r="E913" i="2"/>
  <c r="D913" i="2"/>
  <c r="AB912" i="2"/>
  <c r="Z912" i="2"/>
  <c r="V912" i="2"/>
  <c r="U912" i="2"/>
  <c r="T912" i="2"/>
  <c r="S912" i="2"/>
  <c r="P912" i="2"/>
  <c r="O912" i="2"/>
  <c r="N912" i="2"/>
  <c r="M912" i="2"/>
  <c r="L912" i="2"/>
  <c r="K912" i="2"/>
  <c r="J912" i="2"/>
  <c r="I912" i="2"/>
  <c r="D912" i="2"/>
  <c r="C912" i="2"/>
  <c r="B912" i="2"/>
  <c r="AB911" i="2"/>
  <c r="Z911" i="2"/>
  <c r="U911" i="2"/>
  <c r="R911" i="2"/>
  <c r="P909" i="2"/>
  <c r="C909" i="2"/>
  <c r="P908" i="2"/>
  <c r="P907" i="2"/>
  <c r="C907" i="2"/>
  <c r="X906" i="2"/>
  <c r="T906" i="2"/>
  <c r="S906" i="2"/>
  <c r="R906" i="2"/>
  <c r="O906" i="2"/>
  <c r="L906" i="2"/>
  <c r="X905" i="2"/>
  <c r="T905" i="2"/>
  <c r="AE905" i="2" s="1"/>
  <c r="AF905" i="2" s="1"/>
  <c r="R905" i="2"/>
  <c r="O905" i="2"/>
  <c r="S905" i="2" s="1"/>
  <c r="L905" i="2"/>
  <c r="X904" i="2"/>
  <c r="L904" i="2" s="1"/>
  <c r="T904" i="2"/>
  <c r="R904" i="2"/>
  <c r="O904" i="2"/>
  <c r="S904" i="2" s="1"/>
  <c r="A904" i="2"/>
  <c r="AF903" i="2"/>
  <c r="AE903" i="2"/>
  <c r="X903" i="2"/>
  <c r="T903" i="2"/>
  <c r="S903" i="2"/>
  <c r="R903" i="2"/>
  <c r="O903" i="2"/>
  <c r="L903" i="2"/>
  <c r="A903" i="2"/>
  <c r="AF902" i="2"/>
  <c r="AE902" i="2"/>
  <c r="X902" i="2"/>
  <c r="T902" i="2"/>
  <c r="A902" i="2" s="1"/>
  <c r="R902" i="2"/>
  <c r="O902" i="2"/>
  <c r="S902" i="2" s="1"/>
  <c r="L902" i="2"/>
  <c r="X901" i="2"/>
  <c r="L901" i="2" s="1"/>
  <c r="T901" i="2"/>
  <c r="A901" i="2" s="1"/>
  <c r="S901" i="2"/>
  <c r="R901" i="2"/>
  <c r="O901" i="2"/>
  <c r="X900" i="2"/>
  <c r="T900" i="2"/>
  <c r="S900" i="2"/>
  <c r="R900" i="2"/>
  <c r="O900" i="2"/>
  <c r="L900" i="2"/>
  <c r="X899" i="2"/>
  <c r="T899" i="2"/>
  <c r="R899" i="2"/>
  <c r="O899" i="2"/>
  <c r="S899" i="2" s="1"/>
  <c r="L899" i="2"/>
  <c r="X898" i="2"/>
  <c r="T898" i="2"/>
  <c r="S898" i="2"/>
  <c r="R898" i="2"/>
  <c r="O898" i="2"/>
  <c r="L898" i="2"/>
  <c r="X897" i="2"/>
  <c r="T897" i="2"/>
  <c r="T907" i="2" s="1"/>
  <c r="T908" i="2" s="1" a="1"/>
  <c r="T908" i="2" s="1"/>
  <c r="V894" i="2" s="1"/>
  <c r="S897" i="2"/>
  <c r="R897" i="2"/>
  <c r="O897" i="2"/>
  <c r="L897" i="2"/>
  <c r="G896" i="2"/>
  <c r="F896" i="2"/>
  <c r="E896" i="2"/>
  <c r="D896" i="2"/>
  <c r="AB895" i="2"/>
  <c r="Z895" i="2"/>
  <c r="V895" i="2"/>
  <c r="U895" i="2"/>
  <c r="T895" i="2"/>
  <c r="S895" i="2"/>
  <c r="P895" i="2"/>
  <c r="O895" i="2"/>
  <c r="N895" i="2"/>
  <c r="M895" i="2"/>
  <c r="L895" i="2"/>
  <c r="K895" i="2"/>
  <c r="J895" i="2"/>
  <c r="I895" i="2"/>
  <c r="D895" i="2"/>
  <c r="C895" i="2"/>
  <c r="B895" i="2"/>
  <c r="AB894" i="2"/>
  <c r="Z894" i="2"/>
  <c r="U894" i="2"/>
  <c r="R894" i="2"/>
  <c r="P892" i="2"/>
  <c r="C892" i="2"/>
  <c r="P891" i="2"/>
  <c r="P890" i="2"/>
  <c r="C890" i="2"/>
  <c r="X889" i="2"/>
  <c r="T889" i="2"/>
  <c r="AE889" i="2" s="1"/>
  <c r="AF889" i="2" s="1"/>
  <c r="S889" i="2"/>
  <c r="R889" i="2"/>
  <c r="O889" i="2"/>
  <c r="L889" i="2"/>
  <c r="A889" i="2"/>
  <c r="AE888" i="2"/>
  <c r="AF888" i="2" s="1"/>
  <c r="X888" i="2"/>
  <c r="L888" i="2" s="1"/>
  <c r="T888" i="2"/>
  <c r="A888" i="2" s="1"/>
  <c r="R888" i="2"/>
  <c r="O888" i="2"/>
  <c r="S888" i="2" s="1"/>
  <c r="AF887" i="2"/>
  <c r="AE887" i="2"/>
  <c r="X887" i="2"/>
  <c r="T887" i="2"/>
  <c r="A887" i="2" s="1"/>
  <c r="S887" i="2"/>
  <c r="R887" i="2"/>
  <c r="O887" i="2"/>
  <c r="L887" i="2"/>
  <c r="X886" i="2"/>
  <c r="AE886" i="2" s="1"/>
  <c r="AF886" i="2" s="1"/>
  <c r="T886" i="2"/>
  <c r="S886" i="2"/>
  <c r="R886" i="2"/>
  <c r="O886" i="2"/>
  <c r="L886" i="2"/>
  <c r="A886" i="2"/>
  <c r="AF885" i="2"/>
  <c r="AE885" i="2"/>
  <c r="X885" i="2"/>
  <c r="T885" i="2"/>
  <c r="R885" i="2"/>
  <c r="O885" i="2"/>
  <c r="S885" i="2" s="1"/>
  <c r="L885" i="2"/>
  <c r="A885" i="2"/>
  <c r="AE884" i="2"/>
  <c r="AF884" i="2" s="1"/>
  <c r="X884" i="2"/>
  <c r="L884" i="2" s="1"/>
  <c r="T884" i="2"/>
  <c r="R884" i="2"/>
  <c r="O884" i="2"/>
  <c r="S884" i="2" s="1"/>
  <c r="A884" i="2"/>
  <c r="X883" i="2"/>
  <c r="L883" i="2" s="1"/>
  <c r="T883" i="2"/>
  <c r="S883" i="2"/>
  <c r="R883" i="2"/>
  <c r="O883" i="2"/>
  <c r="A883" i="2"/>
  <c r="X882" i="2"/>
  <c r="L882" i="2" s="1"/>
  <c r="T882" i="2"/>
  <c r="S882" i="2"/>
  <c r="R882" i="2"/>
  <c r="O882" i="2"/>
  <c r="X881" i="2"/>
  <c r="T881" i="2"/>
  <c r="S881" i="2"/>
  <c r="R881" i="2"/>
  <c r="O881" i="2"/>
  <c r="L881" i="2"/>
  <c r="X880" i="2"/>
  <c r="T880" i="2"/>
  <c r="S880" i="2"/>
  <c r="R880" i="2"/>
  <c r="O880" i="2"/>
  <c r="L880" i="2"/>
  <c r="A880" i="2"/>
  <c r="G879" i="2"/>
  <c r="F879" i="2"/>
  <c r="E879" i="2"/>
  <c r="D879" i="2"/>
  <c r="AB878" i="2"/>
  <c r="Z878" i="2"/>
  <c r="V878" i="2"/>
  <c r="U878" i="2"/>
  <c r="T878" i="2"/>
  <c r="S878" i="2"/>
  <c r="P878" i="2"/>
  <c r="O878" i="2"/>
  <c r="N878" i="2"/>
  <c r="M878" i="2"/>
  <c r="L878" i="2"/>
  <c r="K878" i="2"/>
  <c r="J878" i="2"/>
  <c r="I878" i="2"/>
  <c r="D878" i="2"/>
  <c r="C878" i="2"/>
  <c r="B878" i="2"/>
  <c r="AB877" i="2"/>
  <c r="Z877" i="2"/>
  <c r="U877" i="2"/>
  <c r="R877" i="2"/>
  <c r="P875" i="2"/>
  <c r="C875" i="2"/>
  <c r="P874" i="2"/>
  <c r="P873" i="2"/>
  <c r="C873" i="2"/>
  <c r="AE872" i="2"/>
  <c r="AF872" i="2" s="1"/>
  <c r="X872" i="2"/>
  <c r="T872" i="2"/>
  <c r="S872" i="2"/>
  <c r="R872" i="2"/>
  <c r="O872" i="2"/>
  <c r="L872" i="2"/>
  <c r="A872" i="2"/>
  <c r="AF871" i="2"/>
  <c r="AE871" i="2"/>
  <c r="X871" i="2"/>
  <c r="L871" i="2" s="1"/>
  <c r="T871" i="2"/>
  <c r="A871" i="2" s="1"/>
  <c r="R871" i="2"/>
  <c r="O871" i="2"/>
  <c r="S871" i="2" s="1"/>
  <c r="X870" i="2"/>
  <c r="L870" i="2" s="1"/>
  <c r="T870" i="2"/>
  <c r="S870" i="2"/>
  <c r="R870" i="2"/>
  <c r="O870" i="2"/>
  <c r="X869" i="2"/>
  <c r="T869" i="2"/>
  <c r="R869" i="2"/>
  <c r="O869" i="2"/>
  <c r="S869" i="2" s="1"/>
  <c r="L869" i="2"/>
  <c r="AE868" i="2"/>
  <c r="AF868" i="2" s="1"/>
  <c r="X868" i="2"/>
  <c r="T868" i="2"/>
  <c r="A868" i="2" s="1"/>
  <c r="S868" i="2"/>
  <c r="R868" i="2"/>
  <c r="O868" i="2"/>
  <c r="L868" i="2"/>
  <c r="X867" i="2"/>
  <c r="T867" i="2"/>
  <c r="R867" i="2"/>
  <c r="O867" i="2"/>
  <c r="S867" i="2" s="1"/>
  <c r="L867" i="2"/>
  <c r="AF866" i="2"/>
  <c r="AE866" i="2"/>
  <c r="X866" i="2"/>
  <c r="T866" i="2"/>
  <c r="S866" i="2"/>
  <c r="R866" i="2"/>
  <c r="O866" i="2"/>
  <c r="L866" i="2"/>
  <c r="A866" i="2"/>
  <c r="AF865" i="2"/>
  <c r="AE865" i="2"/>
  <c r="X865" i="2"/>
  <c r="T865" i="2"/>
  <c r="S865" i="2"/>
  <c r="R865" i="2"/>
  <c r="O865" i="2"/>
  <c r="L865" i="2"/>
  <c r="A865" i="2"/>
  <c r="AF864" i="2"/>
  <c r="AE864" i="2"/>
  <c r="X864" i="2"/>
  <c r="T864" i="2"/>
  <c r="S864" i="2"/>
  <c r="R864" i="2"/>
  <c r="O864" i="2"/>
  <c r="L864" i="2"/>
  <c r="A864" i="2"/>
  <c r="AF863" i="2"/>
  <c r="AE863" i="2"/>
  <c r="X863" i="2"/>
  <c r="T863" i="2"/>
  <c r="S863" i="2"/>
  <c r="R863" i="2"/>
  <c r="O863" i="2"/>
  <c r="L863" i="2"/>
  <c r="A863" i="2"/>
  <c r="G862" i="2"/>
  <c r="F862" i="2"/>
  <c r="E862" i="2"/>
  <c r="D862" i="2"/>
  <c r="AB861" i="2"/>
  <c r="Z861" i="2"/>
  <c r="V861" i="2"/>
  <c r="U861" i="2"/>
  <c r="T861" i="2"/>
  <c r="S861" i="2"/>
  <c r="P861" i="2"/>
  <c r="O861" i="2"/>
  <c r="N861" i="2"/>
  <c r="M861" i="2"/>
  <c r="L861" i="2"/>
  <c r="K861" i="2"/>
  <c r="J861" i="2"/>
  <c r="I861" i="2"/>
  <c r="D861" i="2"/>
  <c r="C861" i="2"/>
  <c r="B861" i="2"/>
  <c r="AB860" i="2"/>
  <c r="Z860" i="2"/>
  <c r="U860" i="2"/>
  <c r="R860" i="2"/>
  <c r="P858" i="2"/>
  <c r="C858" i="2"/>
  <c r="P857" i="2"/>
  <c r="P856" i="2"/>
  <c r="C856" i="2"/>
  <c r="X855" i="2"/>
  <c r="L855" i="2" s="1"/>
  <c r="T855" i="2"/>
  <c r="AE855" i="2" s="1"/>
  <c r="AF855" i="2" s="1"/>
  <c r="S855" i="2"/>
  <c r="R855" i="2"/>
  <c r="O855" i="2"/>
  <c r="A855" i="2"/>
  <c r="AE854" i="2"/>
  <c r="AF854" i="2" s="1"/>
  <c r="X854" i="2"/>
  <c r="T854" i="2"/>
  <c r="A854" i="2" s="1"/>
  <c r="R854" i="2"/>
  <c r="O854" i="2"/>
  <c r="S854" i="2" s="1"/>
  <c r="L854" i="2"/>
  <c r="X853" i="2"/>
  <c r="L853" i="2" s="1"/>
  <c r="T853" i="2"/>
  <c r="R853" i="2"/>
  <c r="O853" i="2"/>
  <c r="S853" i="2" s="1"/>
  <c r="AF852" i="2"/>
  <c r="AE852" i="2"/>
  <c r="X852" i="2"/>
  <c r="T852" i="2"/>
  <c r="S852" i="2"/>
  <c r="R852" i="2"/>
  <c r="O852" i="2"/>
  <c r="L852" i="2"/>
  <c r="A852" i="2"/>
  <c r="AE851" i="2"/>
  <c r="AF851" i="2" s="1"/>
  <c r="X851" i="2"/>
  <c r="L851" i="2" s="1"/>
  <c r="T851" i="2"/>
  <c r="A851" i="2" s="1"/>
  <c r="S851" i="2"/>
  <c r="R851" i="2"/>
  <c r="O851" i="2"/>
  <c r="AE850" i="2"/>
  <c r="AF850" i="2" s="1"/>
  <c r="X850" i="2"/>
  <c r="L850" i="2" s="1"/>
  <c r="T850" i="2"/>
  <c r="T856" i="2" s="1"/>
  <c r="T857" i="2" s="1" a="1"/>
  <c r="T857" i="2" s="1"/>
  <c r="V843" i="2" s="1"/>
  <c r="S850" i="2"/>
  <c r="R850" i="2"/>
  <c r="O850" i="2"/>
  <c r="A850" i="2"/>
  <c r="X849" i="2"/>
  <c r="T849" i="2"/>
  <c r="AE849" i="2" s="1"/>
  <c r="AF849" i="2" s="1"/>
  <c r="S849" i="2"/>
  <c r="R849" i="2"/>
  <c r="O849" i="2"/>
  <c r="L849" i="2"/>
  <c r="A849" i="2"/>
  <c r="X848" i="2"/>
  <c r="T848" i="2"/>
  <c r="R848" i="2"/>
  <c r="O848" i="2"/>
  <c r="S848" i="2" s="1"/>
  <c r="L848" i="2"/>
  <c r="A848" i="2"/>
  <c r="AF847" i="2"/>
  <c r="X847" i="2"/>
  <c r="T847" i="2"/>
  <c r="AE847" i="2" s="1"/>
  <c r="R847" i="2"/>
  <c r="O847" i="2"/>
  <c r="S847" i="2" s="1"/>
  <c r="L847" i="2"/>
  <c r="A847" i="2"/>
  <c r="X846" i="2"/>
  <c r="T846" i="2"/>
  <c r="R846" i="2"/>
  <c r="O846" i="2"/>
  <c r="S846" i="2" s="1"/>
  <c r="L846" i="2"/>
  <c r="A846" i="2"/>
  <c r="G845" i="2"/>
  <c r="F845" i="2"/>
  <c r="E845" i="2"/>
  <c r="D845" i="2"/>
  <c r="AB844" i="2"/>
  <c r="Z844" i="2"/>
  <c r="V844" i="2"/>
  <c r="U844" i="2"/>
  <c r="T844" i="2"/>
  <c r="S844" i="2"/>
  <c r="P844" i="2"/>
  <c r="O844" i="2"/>
  <c r="N844" i="2"/>
  <c r="M844" i="2"/>
  <c r="L844" i="2"/>
  <c r="K844" i="2"/>
  <c r="J844" i="2"/>
  <c r="I844" i="2"/>
  <c r="D844" i="2"/>
  <c r="C844" i="2"/>
  <c r="B844" i="2"/>
  <c r="AB843" i="2"/>
  <c r="Z843" i="2"/>
  <c r="U843" i="2"/>
  <c r="R843" i="2"/>
  <c r="P841" i="2"/>
  <c r="C841" i="2"/>
  <c r="P840" i="2"/>
  <c r="P839" i="2"/>
  <c r="C839" i="2"/>
  <c r="X838" i="2"/>
  <c r="T838" i="2"/>
  <c r="R838" i="2"/>
  <c r="O838" i="2"/>
  <c r="S838" i="2" s="1"/>
  <c r="L838" i="2"/>
  <c r="A838" i="2"/>
  <c r="X837" i="2"/>
  <c r="T837" i="2"/>
  <c r="AE837" i="2" s="1"/>
  <c r="AF837" i="2" s="1"/>
  <c r="S837" i="2"/>
  <c r="R837" i="2"/>
  <c r="O837" i="2"/>
  <c r="L837" i="2"/>
  <c r="AE836" i="2"/>
  <c r="AF836" i="2" s="1"/>
  <c r="X836" i="2"/>
  <c r="L836" i="2" s="1"/>
  <c r="T836" i="2"/>
  <c r="R836" i="2"/>
  <c r="O836" i="2"/>
  <c r="S836" i="2" s="1"/>
  <c r="A836" i="2"/>
  <c r="X835" i="2"/>
  <c r="AE835" i="2" s="1"/>
  <c r="AF835" i="2" s="1"/>
  <c r="T835" i="2"/>
  <c r="S835" i="2"/>
  <c r="R835" i="2"/>
  <c r="O835" i="2"/>
  <c r="L835" i="2"/>
  <c r="A835" i="2"/>
  <c r="AF834" i="2"/>
  <c r="AE834" i="2"/>
  <c r="X834" i="2"/>
  <c r="T834" i="2"/>
  <c r="A834" i="2" s="1"/>
  <c r="R834" i="2"/>
  <c r="O834" i="2"/>
  <c r="S834" i="2" s="1"/>
  <c r="L834" i="2"/>
  <c r="AE833" i="2"/>
  <c r="AF833" i="2" s="1"/>
  <c r="X833" i="2"/>
  <c r="L833" i="2" s="1"/>
  <c r="T833" i="2"/>
  <c r="A833" i="2" s="1"/>
  <c r="S833" i="2"/>
  <c r="R833" i="2"/>
  <c r="O833" i="2"/>
  <c r="X832" i="2"/>
  <c r="L832" i="2" s="1"/>
  <c r="T832" i="2"/>
  <c r="S832" i="2"/>
  <c r="R832" i="2"/>
  <c r="O832" i="2"/>
  <c r="A832" i="2"/>
  <c r="X831" i="2"/>
  <c r="T831" i="2"/>
  <c r="S831" i="2"/>
  <c r="R831" i="2"/>
  <c r="O831" i="2"/>
  <c r="L831" i="2"/>
  <c r="X830" i="2"/>
  <c r="L830" i="2" s="1"/>
  <c r="T830" i="2"/>
  <c r="R830" i="2"/>
  <c r="O830" i="2"/>
  <c r="S830" i="2" s="1"/>
  <c r="A830" i="2"/>
  <c r="X829" i="2"/>
  <c r="T829" i="2"/>
  <c r="S829" i="2"/>
  <c r="R829" i="2"/>
  <c r="O829" i="2"/>
  <c r="L829" i="2"/>
  <c r="A829" i="2"/>
  <c r="G828" i="2"/>
  <c r="F828" i="2"/>
  <c r="E828" i="2"/>
  <c r="D828" i="2"/>
  <c r="AB827" i="2"/>
  <c r="Z827" i="2"/>
  <c r="V827" i="2"/>
  <c r="U827" i="2"/>
  <c r="T827" i="2"/>
  <c r="S827" i="2"/>
  <c r="P827" i="2"/>
  <c r="O827" i="2"/>
  <c r="N827" i="2"/>
  <c r="M827" i="2"/>
  <c r="L827" i="2"/>
  <c r="K827" i="2"/>
  <c r="J827" i="2"/>
  <c r="I827" i="2"/>
  <c r="D827" i="2"/>
  <c r="C827" i="2"/>
  <c r="B827" i="2"/>
  <c r="AB826" i="2"/>
  <c r="Z826" i="2"/>
  <c r="U826" i="2"/>
  <c r="R826" i="2"/>
  <c r="P824" i="2"/>
  <c r="C824" i="2"/>
  <c r="P823" i="2"/>
  <c r="P822" i="2"/>
  <c r="C822" i="2"/>
  <c r="AE821" i="2"/>
  <c r="AF821" i="2" s="1"/>
  <c r="X821" i="2"/>
  <c r="T821" i="2"/>
  <c r="S821" i="2"/>
  <c r="R821" i="2"/>
  <c r="O821" i="2"/>
  <c r="L821" i="2"/>
  <c r="A821" i="2"/>
  <c r="X820" i="2"/>
  <c r="T820" i="2"/>
  <c r="A820" i="2" s="1"/>
  <c r="S820" i="2"/>
  <c r="R820" i="2"/>
  <c r="O820" i="2"/>
  <c r="L820" i="2"/>
  <c r="X819" i="2"/>
  <c r="L819" i="2" s="1"/>
  <c r="T819" i="2"/>
  <c r="R819" i="2"/>
  <c r="O819" i="2"/>
  <c r="S819" i="2" s="1"/>
  <c r="X818" i="2"/>
  <c r="L818" i="2" s="1"/>
  <c r="T818" i="2"/>
  <c r="R818" i="2"/>
  <c r="O818" i="2"/>
  <c r="S818" i="2" s="1"/>
  <c r="A818" i="2"/>
  <c r="AE817" i="2"/>
  <c r="AF817" i="2" s="1"/>
  <c r="X817" i="2"/>
  <c r="T817" i="2"/>
  <c r="S817" i="2"/>
  <c r="R817" i="2"/>
  <c r="O817" i="2"/>
  <c r="L817" i="2"/>
  <c r="A817" i="2"/>
  <c r="AE816" i="2"/>
  <c r="AF816" i="2" s="1"/>
  <c r="X816" i="2"/>
  <c r="L816" i="2" s="1"/>
  <c r="T816" i="2"/>
  <c r="A816" i="2" s="1"/>
  <c r="R816" i="2"/>
  <c r="O816" i="2"/>
  <c r="S816" i="2" s="1"/>
  <c r="X815" i="2"/>
  <c r="T815" i="2"/>
  <c r="S815" i="2"/>
  <c r="R815" i="2"/>
  <c r="O815" i="2"/>
  <c r="A815" i="2"/>
  <c r="X814" i="2"/>
  <c r="L814" i="2" s="1"/>
  <c r="T814" i="2"/>
  <c r="S814" i="2"/>
  <c r="R814" i="2"/>
  <c r="O814" i="2"/>
  <c r="X813" i="2"/>
  <c r="T813" i="2"/>
  <c r="S813" i="2"/>
  <c r="R813" i="2"/>
  <c r="O813" i="2"/>
  <c r="L813" i="2"/>
  <c r="AF812" i="2"/>
  <c r="AE812" i="2"/>
  <c r="X812" i="2"/>
  <c r="T812" i="2"/>
  <c r="S812" i="2"/>
  <c r="R812" i="2"/>
  <c r="O812" i="2"/>
  <c r="L812" i="2"/>
  <c r="A812" i="2"/>
  <c r="G811" i="2"/>
  <c r="F811" i="2"/>
  <c r="E811" i="2"/>
  <c r="D811" i="2"/>
  <c r="AB810" i="2"/>
  <c r="Z810" i="2"/>
  <c r="V810" i="2"/>
  <c r="U810" i="2"/>
  <c r="T810" i="2"/>
  <c r="S810" i="2"/>
  <c r="P810" i="2"/>
  <c r="O810" i="2"/>
  <c r="N810" i="2"/>
  <c r="M810" i="2"/>
  <c r="L810" i="2"/>
  <c r="K810" i="2"/>
  <c r="J810" i="2"/>
  <c r="I810" i="2"/>
  <c r="D810" i="2"/>
  <c r="C810" i="2"/>
  <c r="B810" i="2"/>
  <c r="AB809" i="2"/>
  <c r="Z809" i="2"/>
  <c r="U809" i="2"/>
  <c r="R809" i="2"/>
  <c r="P807" i="2"/>
  <c r="C807" i="2"/>
  <c r="P806" i="2"/>
  <c r="P805" i="2"/>
  <c r="C805" i="2"/>
  <c r="AE804" i="2"/>
  <c r="AF804" i="2" s="1"/>
  <c r="X804" i="2"/>
  <c r="T804" i="2"/>
  <c r="S804" i="2"/>
  <c r="R804" i="2"/>
  <c r="O804" i="2"/>
  <c r="L804" i="2"/>
  <c r="A804" i="2"/>
  <c r="AE803" i="2"/>
  <c r="AF803" i="2" s="1"/>
  <c r="X803" i="2"/>
  <c r="L803" i="2" s="1"/>
  <c r="T803" i="2"/>
  <c r="A803" i="2" s="1"/>
  <c r="S803" i="2"/>
  <c r="R803" i="2"/>
  <c r="O803" i="2"/>
  <c r="AE802" i="2"/>
  <c r="AF802" i="2" s="1"/>
  <c r="X802" i="2"/>
  <c r="L802" i="2" s="1"/>
  <c r="T802" i="2"/>
  <c r="A802" i="2" s="1"/>
  <c r="R802" i="2"/>
  <c r="O802" i="2"/>
  <c r="S802" i="2" s="1"/>
  <c r="AF801" i="2"/>
  <c r="X801" i="2"/>
  <c r="T801" i="2"/>
  <c r="AE801" i="2" s="1"/>
  <c r="S801" i="2"/>
  <c r="R801" i="2"/>
  <c r="O801" i="2"/>
  <c r="L801" i="2"/>
  <c r="A801" i="2"/>
  <c r="AE800" i="2"/>
  <c r="AF800" i="2" s="1"/>
  <c r="X800" i="2"/>
  <c r="T800" i="2"/>
  <c r="S800" i="2"/>
  <c r="R800" i="2"/>
  <c r="O800" i="2"/>
  <c r="L800" i="2"/>
  <c r="A800" i="2"/>
  <c r="AE799" i="2"/>
  <c r="AF799" i="2" s="1"/>
  <c r="X799" i="2"/>
  <c r="T799" i="2"/>
  <c r="A799" i="2" s="1"/>
  <c r="R799" i="2"/>
  <c r="O799" i="2"/>
  <c r="S799" i="2" s="1"/>
  <c r="L799" i="2"/>
  <c r="X798" i="2"/>
  <c r="T798" i="2"/>
  <c r="S798" i="2"/>
  <c r="R798" i="2"/>
  <c r="O798" i="2"/>
  <c r="A798" i="2"/>
  <c r="X797" i="2"/>
  <c r="T797" i="2"/>
  <c r="S797" i="2"/>
  <c r="R797" i="2"/>
  <c r="O797" i="2"/>
  <c r="A797" i="2"/>
  <c r="X796" i="2"/>
  <c r="T796" i="2"/>
  <c r="S796" i="2"/>
  <c r="R796" i="2"/>
  <c r="O796" i="2"/>
  <c r="A796" i="2"/>
  <c r="X795" i="2"/>
  <c r="T795" i="2"/>
  <c r="S795" i="2"/>
  <c r="R795" i="2"/>
  <c r="O795" i="2"/>
  <c r="A795" i="2"/>
  <c r="G794" i="2"/>
  <c r="F794" i="2"/>
  <c r="E794" i="2"/>
  <c r="D794" i="2"/>
  <c r="AB793" i="2"/>
  <c r="Z793" i="2"/>
  <c r="V793" i="2"/>
  <c r="U793" i="2"/>
  <c r="T793" i="2"/>
  <c r="S793" i="2"/>
  <c r="P793" i="2"/>
  <c r="O793" i="2"/>
  <c r="N793" i="2"/>
  <c r="M793" i="2"/>
  <c r="L793" i="2"/>
  <c r="K793" i="2"/>
  <c r="J793" i="2"/>
  <c r="I793" i="2"/>
  <c r="D793" i="2"/>
  <c r="C793" i="2"/>
  <c r="B793" i="2"/>
  <c r="AB792" i="2"/>
  <c r="Z792" i="2"/>
  <c r="U792" i="2"/>
  <c r="R792" i="2"/>
  <c r="P790" i="2"/>
  <c r="C790" i="2"/>
  <c r="P789" i="2"/>
  <c r="P788" i="2"/>
  <c r="C788" i="2"/>
  <c r="AF787" i="2"/>
  <c r="X787" i="2"/>
  <c r="T787" i="2"/>
  <c r="AE787" i="2" s="1"/>
  <c r="S787" i="2"/>
  <c r="R787" i="2"/>
  <c r="O787" i="2"/>
  <c r="L787" i="2"/>
  <c r="A787" i="2"/>
  <c r="X786" i="2"/>
  <c r="T786" i="2"/>
  <c r="A786" i="2" s="1"/>
  <c r="R786" i="2"/>
  <c r="O786" i="2"/>
  <c r="S786" i="2" s="1"/>
  <c r="L786" i="2"/>
  <c r="X785" i="2"/>
  <c r="L785" i="2" s="1"/>
  <c r="T785" i="2"/>
  <c r="AE785" i="2" s="1"/>
  <c r="AF785" i="2" s="1"/>
  <c r="R785" i="2"/>
  <c r="O785" i="2"/>
  <c r="S785" i="2" s="1"/>
  <c r="AE784" i="2"/>
  <c r="AF784" i="2" s="1"/>
  <c r="X784" i="2"/>
  <c r="T784" i="2"/>
  <c r="A784" i="2" s="1"/>
  <c r="S784" i="2"/>
  <c r="R784" i="2"/>
  <c r="O784" i="2"/>
  <c r="L784" i="2"/>
  <c r="X783" i="2"/>
  <c r="T783" i="2"/>
  <c r="S783" i="2"/>
  <c r="R783" i="2"/>
  <c r="O783" i="2"/>
  <c r="L783" i="2"/>
  <c r="X782" i="2"/>
  <c r="AE782" i="2" s="1"/>
  <c r="AF782" i="2" s="1"/>
  <c r="T782" i="2"/>
  <c r="S782" i="2"/>
  <c r="R782" i="2"/>
  <c r="O782" i="2"/>
  <c r="L782" i="2"/>
  <c r="A782" i="2"/>
  <c r="X781" i="2"/>
  <c r="T781" i="2"/>
  <c r="AE781" i="2" s="1"/>
  <c r="AF781" i="2" s="1"/>
  <c r="S781" i="2"/>
  <c r="R781" i="2"/>
  <c r="O781" i="2"/>
  <c r="L781" i="2"/>
  <c r="A781" i="2"/>
  <c r="X780" i="2"/>
  <c r="L780" i="2" s="1"/>
  <c r="T780" i="2"/>
  <c r="S780" i="2"/>
  <c r="R780" i="2"/>
  <c r="O780" i="2"/>
  <c r="A780" i="2"/>
  <c r="AF779" i="2"/>
  <c r="X779" i="2"/>
  <c r="T779" i="2"/>
  <c r="AE779" i="2" s="1"/>
  <c r="R779" i="2"/>
  <c r="O779" i="2"/>
  <c r="S779" i="2" s="1"/>
  <c r="L779" i="2"/>
  <c r="X778" i="2"/>
  <c r="L778" i="2" s="1"/>
  <c r="T778" i="2"/>
  <c r="S778" i="2"/>
  <c r="R778" i="2"/>
  <c r="O778" i="2"/>
  <c r="A778" i="2"/>
  <c r="G777" i="2"/>
  <c r="F777" i="2"/>
  <c r="E777" i="2"/>
  <c r="D777" i="2"/>
  <c r="AB776" i="2"/>
  <c r="Z776" i="2"/>
  <c r="V776" i="2"/>
  <c r="U776" i="2"/>
  <c r="T776" i="2"/>
  <c r="S776" i="2"/>
  <c r="P776" i="2"/>
  <c r="O776" i="2"/>
  <c r="N776" i="2"/>
  <c r="M776" i="2"/>
  <c r="L776" i="2"/>
  <c r="K776" i="2"/>
  <c r="J776" i="2"/>
  <c r="I776" i="2"/>
  <c r="D776" i="2"/>
  <c r="C776" i="2"/>
  <c r="B776" i="2"/>
  <c r="AB775" i="2"/>
  <c r="Z775" i="2"/>
  <c r="U775" i="2"/>
  <c r="R775" i="2"/>
  <c r="P773" i="2"/>
  <c r="C773" i="2"/>
  <c r="P772" i="2"/>
  <c r="P771" i="2"/>
  <c r="C771" i="2"/>
  <c r="AF770" i="2"/>
  <c r="X770" i="2"/>
  <c r="T770" i="2"/>
  <c r="AE770" i="2" s="1"/>
  <c r="S770" i="2"/>
  <c r="R770" i="2"/>
  <c r="O770" i="2"/>
  <c r="L770" i="2"/>
  <c r="X769" i="2"/>
  <c r="L769" i="2" s="1"/>
  <c r="T769" i="2"/>
  <c r="S769" i="2"/>
  <c r="R769" i="2"/>
  <c r="O769" i="2"/>
  <c r="A769" i="2"/>
  <c r="AE768" i="2"/>
  <c r="AF768" i="2" s="1"/>
  <c r="X768" i="2"/>
  <c r="T768" i="2"/>
  <c r="S768" i="2"/>
  <c r="R768" i="2"/>
  <c r="O768" i="2"/>
  <c r="L768" i="2"/>
  <c r="A768" i="2"/>
  <c r="AF767" i="2"/>
  <c r="AE767" i="2"/>
  <c r="X767" i="2"/>
  <c r="T767" i="2"/>
  <c r="R767" i="2"/>
  <c r="O767" i="2"/>
  <c r="S767" i="2" s="1"/>
  <c r="L767" i="2"/>
  <c r="A767" i="2"/>
  <c r="X766" i="2"/>
  <c r="L766" i="2" s="1"/>
  <c r="T766" i="2"/>
  <c r="AE766" i="2" s="1"/>
  <c r="AF766" i="2" s="1"/>
  <c r="S766" i="2"/>
  <c r="R766" i="2"/>
  <c r="O766" i="2"/>
  <c r="A766" i="2"/>
  <c r="AF765" i="2"/>
  <c r="X765" i="2"/>
  <c r="L765" i="2" s="1"/>
  <c r="T765" i="2"/>
  <c r="AE765" i="2" s="1"/>
  <c r="S765" i="2"/>
  <c r="R765" i="2"/>
  <c r="O765" i="2"/>
  <c r="X764" i="2"/>
  <c r="L764" i="2" s="1"/>
  <c r="T764" i="2"/>
  <c r="AE764" i="2" s="1"/>
  <c r="AF764" i="2" s="1"/>
  <c r="S764" i="2"/>
  <c r="R764" i="2"/>
  <c r="O764" i="2"/>
  <c r="A764" i="2"/>
  <c r="X763" i="2"/>
  <c r="L763" i="2" s="1"/>
  <c r="T763" i="2"/>
  <c r="R763" i="2"/>
  <c r="O763" i="2"/>
  <c r="S763" i="2" s="1"/>
  <c r="X762" i="2"/>
  <c r="T762" i="2"/>
  <c r="S762" i="2"/>
  <c r="R762" i="2"/>
  <c r="O762" i="2"/>
  <c r="L762" i="2"/>
  <c r="AF761" i="2"/>
  <c r="AE761" i="2"/>
  <c r="X761" i="2"/>
  <c r="T761" i="2"/>
  <c r="S761" i="2"/>
  <c r="R761" i="2"/>
  <c r="O761" i="2"/>
  <c r="L761" i="2"/>
  <c r="A761" i="2"/>
  <c r="G760" i="2"/>
  <c r="F760" i="2"/>
  <c r="E760" i="2"/>
  <c r="D760" i="2"/>
  <c r="AB759" i="2"/>
  <c r="Z759" i="2"/>
  <c r="V759" i="2"/>
  <c r="U759" i="2"/>
  <c r="T759" i="2"/>
  <c r="S759" i="2"/>
  <c r="P759" i="2"/>
  <c r="O759" i="2"/>
  <c r="N759" i="2"/>
  <c r="M759" i="2"/>
  <c r="L759" i="2"/>
  <c r="K759" i="2"/>
  <c r="J759" i="2"/>
  <c r="I759" i="2"/>
  <c r="D759" i="2"/>
  <c r="C759" i="2"/>
  <c r="B759" i="2"/>
  <c r="AB758" i="2"/>
  <c r="Z758" i="2"/>
  <c r="U758" i="2"/>
  <c r="R758" i="2"/>
  <c r="P756" i="2"/>
  <c r="C756" i="2"/>
  <c r="P755" i="2"/>
  <c r="P754" i="2"/>
  <c r="C754" i="2"/>
  <c r="AF753" i="2"/>
  <c r="AE753" i="2"/>
  <c r="X753" i="2"/>
  <c r="T753" i="2"/>
  <c r="S753" i="2"/>
  <c r="R753" i="2"/>
  <c r="O753" i="2"/>
  <c r="L753" i="2"/>
  <c r="A753" i="2"/>
  <c r="X752" i="2"/>
  <c r="T752" i="2"/>
  <c r="A752" i="2" s="1"/>
  <c r="R752" i="2"/>
  <c r="O752" i="2"/>
  <c r="S752" i="2" s="1"/>
  <c r="L752" i="2"/>
  <c r="AE751" i="2"/>
  <c r="AF751" i="2" s="1"/>
  <c r="X751" i="2"/>
  <c r="L751" i="2" s="1"/>
  <c r="T751" i="2"/>
  <c r="A751" i="2" s="1"/>
  <c r="R751" i="2"/>
  <c r="O751" i="2"/>
  <c r="S751" i="2" s="1"/>
  <c r="X750" i="2"/>
  <c r="T750" i="2"/>
  <c r="R750" i="2"/>
  <c r="O750" i="2"/>
  <c r="S750" i="2" s="1"/>
  <c r="L750" i="2"/>
  <c r="X749" i="2"/>
  <c r="L749" i="2" s="1"/>
  <c r="T749" i="2"/>
  <c r="R749" i="2"/>
  <c r="O749" i="2"/>
  <c r="S749" i="2" s="1"/>
  <c r="AF748" i="2"/>
  <c r="AE748" i="2"/>
  <c r="X748" i="2"/>
  <c r="T748" i="2"/>
  <c r="S748" i="2"/>
  <c r="R748" i="2"/>
  <c r="O748" i="2"/>
  <c r="L748" i="2"/>
  <c r="A748" i="2"/>
  <c r="X747" i="2"/>
  <c r="T747" i="2"/>
  <c r="A747" i="2" s="1"/>
  <c r="R747" i="2"/>
  <c r="O747" i="2"/>
  <c r="S747" i="2" s="1"/>
  <c r="L747" i="2"/>
  <c r="X746" i="2"/>
  <c r="T746" i="2"/>
  <c r="A746" i="2" s="1"/>
  <c r="R746" i="2"/>
  <c r="O746" i="2"/>
  <c r="S746" i="2" s="1"/>
  <c r="L746" i="2"/>
  <c r="X745" i="2"/>
  <c r="T745" i="2"/>
  <c r="A745" i="2" s="1"/>
  <c r="R745" i="2"/>
  <c r="O745" i="2"/>
  <c r="S745" i="2" s="1"/>
  <c r="L745" i="2"/>
  <c r="X744" i="2"/>
  <c r="T744" i="2"/>
  <c r="R744" i="2"/>
  <c r="O744" i="2"/>
  <c r="S744" i="2" s="1"/>
  <c r="L744" i="2"/>
  <c r="G743" i="2"/>
  <c r="F743" i="2"/>
  <c r="E743" i="2"/>
  <c r="D743" i="2"/>
  <c r="AB742" i="2"/>
  <c r="Z742" i="2"/>
  <c r="V742" i="2"/>
  <c r="U742" i="2"/>
  <c r="T742" i="2"/>
  <c r="S742" i="2"/>
  <c r="P742" i="2"/>
  <c r="O742" i="2"/>
  <c r="N742" i="2"/>
  <c r="M742" i="2"/>
  <c r="L742" i="2"/>
  <c r="K742" i="2"/>
  <c r="J742" i="2"/>
  <c r="I742" i="2"/>
  <c r="D742" i="2"/>
  <c r="C742" i="2"/>
  <c r="B742" i="2"/>
  <c r="AB741" i="2"/>
  <c r="Z741" i="2"/>
  <c r="U741" i="2"/>
  <c r="R741" i="2"/>
  <c r="P739" i="2"/>
  <c r="C739" i="2"/>
  <c r="P738" i="2"/>
  <c r="P737" i="2"/>
  <c r="C737" i="2"/>
  <c r="X736" i="2"/>
  <c r="T736" i="2"/>
  <c r="S736" i="2"/>
  <c r="R736" i="2"/>
  <c r="O736" i="2"/>
  <c r="L736" i="2"/>
  <c r="X735" i="2"/>
  <c r="L735" i="2" s="1"/>
  <c r="T735" i="2"/>
  <c r="R735" i="2"/>
  <c r="O735" i="2"/>
  <c r="S735" i="2" s="1"/>
  <c r="A735" i="2"/>
  <c r="AE734" i="2"/>
  <c r="AF734" i="2" s="1"/>
  <c r="X734" i="2"/>
  <c r="T734" i="2"/>
  <c r="S734" i="2"/>
  <c r="R734" i="2"/>
  <c r="O734" i="2"/>
  <c r="L734" i="2"/>
  <c r="A734" i="2"/>
  <c r="AE733" i="2"/>
  <c r="AF733" i="2" s="1"/>
  <c r="X733" i="2"/>
  <c r="L733" i="2" s="1"/>
  <c r="T733" i="2"/>
  <c r="A733" i="2" s="1"/>
  <c r="R733" i="2"/>
  <c r="O733" i="2"/>
  <c r="S733" i="2" s="1"/>
  <c r="X732" i="2"/>
  <c r="L732" i="2" s="1"/>
  <c r="T732" i="2"/>
  <c r="S732" i="2"/>
  <c r="R732" i="2"/>
  <c r="O732" i="2"/>
  <c r="A732" i="2"/>
  <c r="X731" i="2"/>
  <c r="L731" i="2" s="1"/>
  <c r="T731" i="2"/>
  <c r="AE731" i="2" s="1"/>
  <c r="AF731" i="2" s="1"/>
  <c r="S731" i="2"/>
  <c r="R731" i="2"/>
  <c r="O731" i="2"/>
  <c r="A731" i="2"/>
  <c r="X730" i="2"/>
  <c r="T730" i="2"/>
  <c r="R730" i="2"/>
  <c r="O730" i="2"/>
  <c r="S730" i="2" s="1"/>
  <c r="L730" i="2"/>
  <c r="X729" i="2"/>
  <c r="T729" i="2"/>
  <c r="S729" i="2"/>
  <c r="R729" i="2"/>
  <c r="O729" i="2"/>
  <c r="L729" i="2"/>
  <c r="X728" i="2"/>
  <c r="T728" i="2"/>
  <c r="R728" i="2"/>
  <c r="O728" i="2"/>
  <c r="S728" i="2" s="1"/>
  <c r="L728" i="2"/>
  <c r="X727" i="2"/>
  <c r="T727" i="2"/>
  <c r="S727" i="2"/>
  <c r="R727" i="2"/>
  <c r="O727" i="2"/>
  <c r="L727" i="2"/>
  <c r="G726" i="2"/>
  <c r="F726" i="2"/>
  <c r="E726" i="2"/>
  <c r="D726" i="2"/>
  <c r="AB725" i="2"/>
  <c r="Z725" i="2"/>
  <c r="V725" i="2"/>
  <c r="U725" i="2"/>
  <c r="T725" i="2"/>
  <c r="S725" i="2"/>
  <c r="P725" i="2"/>
  <c r="O725" i="2"/>
  <c r="N725" i="2"/>
  <c r="M725" i="2"/>
  <c r="L725" i="2"/>
  <c r="K725" i="2"/>
  <c r="J725" i="2"/>
  <c r="I725" i="2"/>
  <c r="D725" i="2"/>
  <c r="C725" i="2"/>
  <c r="B725" i="2"/>
  <c r="AB724" i="2"/>
  <c r="Z724" i="2"/>
  <c r="U724" i="2"/>
  <c r="R724" i="2"/>
  <c r="P722" i="2"/>
  <c r="C722" i="2"/>
  <c r="P721" i="2"/>
  <c r="P720" i="2"/>
  <c r="C720" i="2"/>
  <c r="AE719" i="2"/>
  <c r="AF719" i="2" s="1"/>
  <c r="X719" i="2"/>
  <c r="T719" i="2"/>
  <c r="A719" i="2" s="1"/>
  <c r="S719" i="2"/>
  <c r="R719" i="2"/>
  <c r="O719" i="2"/>
  <c r="L719" i="2"/>
  <c r="X718" i="2"/>
  <c r="L718" i="2" s="1"/>
  <c r="T718" i="2"/>
  <c r="R718" i="2"/>
  <c r="O718" i="2"/>
  <c r="S718" i="2" s="1"/>
  <c r="AE717" i="2"/>
  <c r="AF717" i="2" s="1"/>
  <c r="X717" i="2"/>
  <c r="T717" i="2"/>
  <c r="S717" i="2"/>
  <c r="R717" i="2"/>
  <c r="O717" i="2"/>
  <c r="L717" i="2"/>
  <c r="A717" i="2"/>
  <c r="X716" i="2"/>
  <c r="T716" i="2"/>
  <c r="A716" i="2" s="1"/>
  <c r="R716" i="2"/>
  <c r="O716" i="2"/>
  <c r="S716" i="2" s="1"/>
  <c r="L716" i="2"/>
  <c r="AF715" i="2"/>
  <c r="AE715" i="2"/>
  <c r="X715" i="2"/>
  <c r="L715" i="2" s="1"/>
  <c r="T715" i="2"/>
  <c r="S715" i="2"/>
  <c r="R715" i="2"/>
  <c r="O715" i="2"/>
  <c r="A715" i="2"/>
  <c r="X714" i="2"/>
  <c r="T714" i="2"/>
  <c r="AE714" i="2" s="1"/>
  <c r="AF714" i="2" s="1"/>
  <c r="R714" i="2"/>
  <c r="O714" i="2"/>
  <c r="S714" i="2" s="1"/>
  <c r="L714" i="2"/>
  <c r="AE713" i="2"/>
  <c r="AF713" i="2" s="1"/>
  <c r="X713" i="2"/>
  <c r="T713" i="2"/>
  <c r="A713" i="2" s="1"/>
  <c r="S713" i="2"/>
  <c r="R713" i="2"/>
  <c r="O713" i="2"/>
  <c r="L713" i="2"/>
  <c r="AE712" i="2"/>
  <c r="AF712" i="2" s="1"/>
  <c r="X712" i="2"/>
  <c r="T712" i="2"/>
  <c r="A712" i="2" s="1"/>
  <c r="R712" i="2"/>
  <c r="O712" i="2"/>
  <c r="S712" i="2" s="1"/>
  <c r="L712" i="2"/>
  <c r="X711" i="2"/>
  <c r="T711" i="2"/>
  <c r="R711" i="2"/>
  <c r="O711" i="2"/>
  <c r="S711" i="2" s="1"/>
  <c r="L711" i="2"/>
  <c r="X710" i="2"/>
  <c r="T710" i="2"/>
  <c r="AE710" i="2" s="1"/>
  <c r="AF710" i="2" s="1"/>
  <c r="R710" i="2"/>
  <c r="O710" i="2"/>
  <c r="S710" i="2" s="1"/>
  <c r="L710" i="2"/>
  <c r="G709" i="2"/>
  <c r="F709" i="2"/>
  <c r="E709" i="2"/>
  <c r="D709" i="2"/>
  <c r="AB708" i="2"/>
  <c r="Z708" i="2"/>
  <c r="V708" i="2"/>
  <c r="U708" i="2"/>
  <c r="T708" i="2"/>
  <c r="S708" i="2"/>
  <c r="P708" i="2"/>
  <c r="O708" i="2"/>
  <c r="N708" i="2"/>
  <c r="M708" i="2"/>
  <c r="L708" i="2"/>
  <c r="K708" i="2"/>
  <c r="J708" i="2"/>
  <c r="I708" i="2"/>
  <c r="D708" i="2"/>
  <c r="C708" i="2"/>
  <c r="B708" i="2"/>
  <c r="AB707" i="2"/>
  <c r="Z707" i="2"/>
  <c r="U707" i="2"/>
  <c r="R707" i="2"/>
  <c r="P705" i="2"/>
  <c r="C705" i="2"/>
  <c r="P704" i="2"/>
  <c r="P703" i="2"/>
  <c r="C703" i="2"/>
  <c r="AE702" i="2"/>
  <c r="AF702" i="2" s="1"/>
  <c r="X702" i="2"/>
  <c r="L702" i="2" s="1"/>
  <c r="T702" i="2"/>
  <c r="A702" i="2" s="1"/>
  <c r="R702" i="2"/>
  <c r="O702" i="2"/>
  <c r="S702" i="2" s="1"/>
  <c r="AE701" i="2"/>
  <c r="AF701" i="2" s="1"/>
  <c r="X701" i="2"/>
  <c r="L701" i="2" s="1"/>
  <c r="T701" i="2"/>
  <c r="S701" i="2"/>
  <c r="R701" i="2"/>
  <c r="O701" i="2"/>
  <c r="A701" i="2"/>
  <c r="X700" i="2"/>
  <c r="L700" i="2" s="1"/>
  <c r="T700" i="2"/>
  <c r="S700" i="2"/>
  <c r="R700" i="2"/>
  <c r="O700" i="2"/>
  <c r="A700" i="2"/>
  <c r="X699" i="2"/>
  <c r="T699" i="2"/>
  <c r="R699" i="2"/>
  <c r="O699" i="2"/>
  <c r="S699" i="2" s="1"/>
  <c r="L699" i="2"/>
  <c r="X698" i="2"/>
  <c r="L698" i="2" s="1"/>
  <c r="T698" i="2"/>
  <c r="R698" i="2"/>
  <c r="O698" i="2"/>
  <c r="S698" i="2" s="1"/>
  <c r="A698" i="2"/>
  <c r="AE697" i="2"/>
  <c r="AF697" i="2" s="1"/>
  <c r="X697" i="2"/>
  <c r="T697" i="2"/>
  <c r="S697" i="2"/>
  <c r="R697" i="2"/>
  <c r="O697" i="2"/>
  <c r="L697" i="2"/>
  <c r="A697" i="2"/>
  <c r="AE696" i="2"/>
  <c r="AF696" i="2" s="1"/>
  <c r="X696" i="2"/>
  <c r="L696" i="2" s="1"/>
  <c r="T696" i="2"/>
  <c r="A696" i="2" s="1"/>
  <c r="R696" i="2"/>
  <c r="O696" i="2"/>
  <c r="S696" i="2" s="1"/>
  <c r="AE695" i="2"/>
  <c r="AF695" i="2" s="1"/>
  <c r="X695" i="2"/>
  <c r="L695" i="2" s="1"/>
  <c r="T695" i="2"/>
  <c r="A695" i="2" s="1"/>
  <c r="R695" i="2"/>
  <c r="O695" i="2"/>
  <c r="S695" i="2" s="1"/>
  <c r="AE694" i="2"/>
  <c r="AF694" i="2" s="1"/>
  <c r="X694" i="2"/>
  <c r="L694" i="2" s="1"/>
  <c r="T694" i="2"/>
  <c r="A694" i="2" s="1"/>
  <c r="R694" i="2"/>
  <c r="O694" i="2"/>
  <c r="S694" i="2" s="1"/>
  <c r="AE693" i="2"/>
  <c r="AF693" i="2" s="1"/>
  <c r="X693" i="2"/>
  <c r="L693" i="2" s="1"/>
  <c r="T693" i="2"/>
  <c r="T703" i="2" s="1"/>
  <c r="T704" i="2" s="1" a="1"/>
  <c r="T704" i="2" s="1"/>
  <c r="V690" i="2" s="1"/>
  <c r="R693" i="2"/>
  <c r="O693" i="2"/>
  <c r="S693" i="2" s="1"/>
  <c r="G692" i="2"/>
  <c r="F692" i="2"/>
  <c r="E692" i="2"/>
  <c r="D692" i="2"/>
  <c r="AB691" i="2"/>
  <c r="Z691" i="2"/>
  <c r="V691" i="2"/>
  <c r="U691" i="2"/>
  <c r="T691" i="2"/>
  <c r="S691" i="2"/>
  <c r="P691" i="2"/>
  <c r="O691" i="2"/>
  <c r="N691" i="2"/>
  <c r="M691" i="2"/>
  <c r="L691" i="2"/>
  <c r="K691" i="2"/>
  <c r="J691" i="2"/>
  <c r="I691" i="2"/>
  <c r="D691" i="2"/>
  <c r="C691" i="2"/>
  <c r="B691" i="2"/>
  <c r="AB690" i="2"/>
  <c r="Z690" i="2"/>
  <c r="U690" i="2"/>
  <c r="R690" i="2"/>
  <c r="P688" i="2"/>
  <c r="C688" i="2"/>
  <c r="P687" i="2"/>
  <c r="P686" i="2"/>
  <c r="C686" i="2"/>
  <c r="X685" i="2"/>
  <c r="T685" i="2"/>
  <c r="R685" i="2"/>
  <c r="O685" i="2"/>
  <c r="S685" i="2" s="1"/>
  <c r="L685" i="2"/>
  <c r="X684" i="2"/>
  <c r="L684" i="2" s="1"/>
  <c r="T684" i="2"/>
  <c r="AE684" i="2" s="1"/>
  <c r="AF684" i="2" s="1"/>
  <c r="S684" i="2"/>
  <c r="R684" i="2"/>
  <c r="O684" i="2"/>
  <c r="A684" i="2"/>
  <c r="AF683" i="2"/>
  <c r="X683" i="2"/>
  <c r="T683" i="2"/>
  <c r="AE683" i="2" s="1"/>
  <c r="S683" i="2"/>
  <c r="R683" i="2"/>
  <c r="O683" i="2"/>
  <c r="L683" i="2"/>
  <c r="AE682" i="2"/>
  <c r="AF682" i="2" s="1"/>
  <c r="X682" i="2"/>
  <c r="T682" i="2"/>
  <c r="A682" i="2" s="1"/>
  <c r="R682" i="2"/>
  <c r="O682" i="2"/>
  <c r="S682" i="2" s="1"/>
  <c r="L682" i="2"/>
  <c r="X681" i="2"/>
  <c r="L681" i="2" s="1"/>
  <c r="T681" i="2"/>
  <c r="R681" i="2"/>
  <c r="O681" i="2"/>
  <c r="S681" i="2" s="1"/>
  <c r="A681" i="2"/>
  <c r="AE680" i="2"/>
  <c r="AF680" i="2" s="1"/>
  <c r="X680" i="2"/>
  <c r="T680" i="2"/>
  <c r="S680" i="2"/>
  <c r="R680" i="2"/>
  <c r="O680" i="2"/>
  <c r="L680" i="2"/>
  <c r="A680" i="2"/>
  <c r="X679" i="2"/>
  <c r="L679" i="2" s="1"/>
  <c r="T679" i="2"/>
  <c r="R679" i="2"/>
  <c r="O679" i="2"/>
  <c r="S679" i="2" s="1"/>
  <c r="X678" i="2"/>
  <c r="AE678" i="2" s="1"/>
  <c r="AF678" i="2" s="1"/>
  <c r="T678" i="2"/>
  <c r="A678" i="2" s="1"/>
  <c r="R678" i="2"/>
  <c r="O678" i="2"/>
  <c r="S678" i="2" s="1"/>
  <c r="L678" i="2"/>
  <c r="AE677" i="2"/>
  <c r="AF677" i="2" s="1"/>
  <c r="X677" i="2"/>
  <c r="L677" i="2" s="1"/>
  <c r="T677" i="2"/>
  <c r="A677" i="2" s="1"/>
  <c r="R677" i="2"/>
  <c r="O677" i="2"/>
  <c r="S677" i="2" s="1"/>
  <c r="X676" i="2"/>
  <c r="T676" i="2"/>
  <c r="A676" i="2" s="1"/>
  <c r="R676" i="2"/>
  <c r="O676" i="2"/>
  <c r="S676" i="2" s="1"/>
  <c r="L676" i="2"/>
  <c r="G675" i="2"/>
  <c r="F675" i="2"/>
  <c r="E675" i="2"/>
  <c r="D675" i="2"/>
  <c r="AB674" i="2"/>
  <c r="Z674" i="2"/>
  <c r="V674" i="2"/>
  <c r="U674" i="2"/>
  <c r="T674" i="2"/>
  <c r="S674" i="2"/>
  <c r="P674" i="2"/>
  <c r="O674" i="2"/>
  <c r="N674" i="2"/>
  <c r="M674" i="2"/>
  <c r="L674" i="2"/>
  <c r="K674" i="2"/>
  <c r="J674" i="2"/>
  <c r="I674" i="2"/>
  <c r="D674" i="2"/>
  <c r="C674" i="2"/>
  <c r="B674" i="2"/>
  <c r="AB673" i="2"/>
  <c r="Z673" i="2"/>
  <c r="U673" i="2"/>
  <c r="R673" i="2"/>
  <c r="P671" i="2"/>
  <c r="C671" i="2"/>
  <c r="P670" i="2"/>
  <c r="P669" i="2"/>
  <c r="C669" i="2"/>
  <c r="X668" i="2"/>
  <c r="T668" i="2"/>
  <c r="S668" i="2"/>
  <c r="R668" i="2"/>
  <c r="O668" i="2"/>
  <c r="L668" i="2"/>
  <c r="X667" i="2"/>
  <c r="T667" i="2"/>
  <c r="R667" i="2"/>
  <c r="O667" i="2"/>
  <c r="S667" i="2" s="1"/>
  <c r="A667" i="2"/>
  <c r="X666" i="2"/>
  <c r="T666" i="2"/>
  <c r="S666" i="2"/>
  <c r="R666" i="2"/>
  <c r="O666" i="2"/>
  <c r="L666" i="2"/>
  <c r="X665" i="2"/>
  <c r="L665" i="2" s="1"/>
  <c r="T665" i="2"/>
  <c r="R665" i="2"/>
  <c r="O665" i="2"/>
  <c r="S665" i="2" s="1"/>
  <c r="AE664" i="2"/>
  <c r="AF664" i="2" s="1"/>
  <c r="X664" i="2"/>
  <c r="T664" i="2"/>
  <c r="S664" i="2"/>
  <c r="R664" i="2"/>
  <c r="O664" i="2"/>
  <c r="L664" i="2"/>
  <c r="A664" i="2"/>
  <c r="X663" i="2"/>
  <c r="L663" i="2" s="1"/>
  <c r="T663" i="2"/>
  <c r="AE663" i="2" s="1"/>
  <c r="AF663" i="2" s="1"/>
  <c r="S663" i="2"/>
  <c r="R663" i="2"/>
  <c r="O663" i="2"/>
  <c r="A663" i="2"/>
  <c r="X662" i="2"/>
  <c r="T662" i="2"/>
  <c r="AE662" i="2" s="1"/>
  <c r="AF662" i="2" s="1"/>
  <c r="S662" i="2"/>
  <c r="R662" i="2"/>
  <c r="O662" i="2"/>
  <c r="L662" i="2"/>
  <c r="A662" i="2"/>
  <c r="AE661" i="2"/>
  <c r="AF661" i="2" s="1"/>
  <c r="X661" i="2"/>
  <c r="T661" i="2"/>
  <c r="A661" i="2" s="1"/>
  <c r="S661" i="2"/>
  <c r="R661" i="2"/>
  <c r="O661" i="2"/>
  <c r="L661" i="2"/>
  <c r="X660" i="2"/>
  <c r="T660" i="2"/>
  <c r="AE660" i="2" s="1"/>
  <c r="AF660" i="2" s="1"/>
  <c r="R660" i="2"/>
  <c r="O660" i="2"/>
  <c r="S660" i="2" s="1"/>
  <c r="L660" i="2"/>
  <c r="A660" i="2"/>
  <c r="X659" i="2"/>
  <c r="T659" i="2"/>
  <c r="A659" i="2" s="1"/>
  <c r="R659" i="2"/>
  <c r="O659" i="2"/>
  <c r="S659" i="2" s="1"/>
  <c r="L659" i="2"/>
  <c r="G658" i="2"/>
  <c r="F658" i="2"/>
  <c r="E658" i="2"/>
  <c r="D658" i="2"/>
  <c r="AB657" i="2"/>
  <c r="Z657" i="2"/>
  <c r="V657" i="2"/>
  <c r="U657" i="2"/>
  <c r="T657" i="2"/>
  <c r="S657" i="2"/>
  <c r="P657" i="2"/>
  <c r="O657" i="2"/>
  <c r="N657" i="2"/>
  <c r="M657" i="2"/>
  <c r="L657" i="2"/>
  <c r="K657" i="2"/>
  <c r="J657" i="2"/>
  <c r="I657" i="2"/>
  <c r="D657" i="2"/>
  <c r="C657" i="2"/>
  <c r="B657" i="2"/>
  <c r="AB656" i="2"/>
  <c r="Z656" i="2"/>
  <c r="U656" i="2"/>
  <c r="R656" i="2"/>
  <c r="P654" i="2"/>
  <c r="C654" i="2"/>
  <c r="T653" i="2" a="1"/>
  <c r="T653" i="2" s="1"/>
  <c r="V639" i="2" s="1"/>
  <c r="P653" i="2"/>
  <c r="P652" i="2"/>
  <c r="C652" i="2"/>
  <c r="AE651" i="2"/>
  <c r="AF651" i="2" s="1"/>
  <c r="X651" i="2"/>
  <c r="L651" i="2" s="1"/>
  <c r="T651" i="2"/>
  <c r="R651" i="2"/>
  <c r="O651" i="2"/>
  <c r="S651" i="2" s="1"/>
  <c r="A651" i="2"/>
  <c r="X650" i="2"/>
  <c r="L650" i="2" s="1"/>
  <c r="T650" i="2"/>
  <c r="A650" i="2" s="1"/>
  <c r="S650" i="2"/>
  <c r="R650" i="2"/>
  <c r="O650" i="2"/>
  <c r="AE649" i="2"/>
  <c r="AF649" i="2" s="1"/>
  <c r="X649" i="2"/>
  <c r="T649" i="2"/>
  <c r="R649" i="2"/>
  <c r="O649" i="2"/>
  <c r="S649" i="2" s="1"/>
  <c r="L649" i="2"/>
  <c r="A649" i="2"/>
  <c r="X648" i="2"/>
  <c r="T648" i="2"/>
  <c r="AE648" i="2" s="1"/>
  <c r="AF648" i="2" s="1"/>
  <c r="R648" i="2"/>
  <c r="O648" i="2"/>
  <c r="S648" i="2" s="1"/>
  <c r="L648" i="2"/>
  <c r="A648" i="2"/>
  <c r="AF647" i="2"/>
  <c r="AE647" i="2"/>
  <c r="X647" i="2"/>
  <c r="L647" i="2" s="1"/>
  <c r="T647" i="2"/>
  <c r="S647" i="2"/>
  <c r="R647" i="2"/>
  <c r="O647" i="2"/>
  <c r="A647" i="2"/>
  <c r="AE646" i="2"/>
  <c r="AF646" i="2" s="1"/>
  <c r="X646" i="2"/>
  <c r="L646" i="2" s="1"/>
  <c r="T646" i="2"/>
  <c r="A646" i="2" s="1"/>
  <c r="S646" i="2"/>
  <c r="R646" i="2"/>
  <c r="O646" i="2"/>
  <c r="AE645" i="2"/>
  <c r="AF645" i="2" s="1"/>
  <c r="X645" i="2"/>
  <c r="L645" i="2" s="1"/>
  <c r="T645" i="2"/>
  <c r="R645" i="2"/>
  <c r="O645" i="2"/>
  <c r="S645" i="2" s="1"/>
  <c r="A645" i="2"/>
  <c r="X644" i="2"/>
  <c r="T644" i="2"/>
  <c r="T652" i="2" s="1"/>
  <c r="R644" i="2"/>
  <c r="O644" i="2"/>
  <c r="S644" i="2" s="1"/>
  <c r="L644" i="2"/>
  <c r="X643" i="2"/>
  <c r="L643" i="2" s="1"/>
  <c r="T643" i="2"/>
  <c r="AE643" i="2" s="1"/>
  <c r="AF643" i="2" s="1"/>
  <c r="R643" i="2"/>
  <c r="O643" i="2"/>
  <c r="S643" i="2" s="1"/>
  <c r="A643" i="2"/>
  <c r="X642" i="2"/>
  <c r="L642" i="2" s="1"/>
  <c r="T642" i="2"/>
  <c r="R642" i="2"/>
  <c r="O642" i="2"/>
  <c r="S642" i="2" s="1"/>
  <c r="A642" i="2"/>
  <c r="G641" i="2"/>
  <c r="F641" i="2"/>
  <c r="E641" i="2"/>
  <c r="D641" i="2"/>
  <c r="AB640" i="2"/>
  <c r="Z640" i="2"/>
  <c r="V640" i="2"/>
  <c r="U640" i="2"/>
  <c r="T640" i="2"/>
  <c r="S640" i="2"/>
  <c r="P640" i="2"/>
  <c r="O640" i="2"/>
  <c r="N640" i="2"/>
  <c r="M640" i="2"/>
  <c r="L640" i="2"/>
  <c r="K640" i="2"/>
  <c r="J640" i="2"/>
  <c r="I640" i="2"/>
  <c r="D640" i="2"/>
  <c r="C640" i="2"/>
  <c r="B640" i="2"/>
  <c r="AB639" i="2"/>
  <c r="Z639" i="2"/>
  <c r="U639" i="2"/>
  <c r="R639" i="2"/>
  <c r="P637" i="2"/>
  <c r="C637" i="2"/>
  <c r="P636" i="2"/>
  <c r="P635" i="2"/>
  <c r="C635" i="2"/>
  <c r="X634" i="2"/>
  <c r="T634" i="2"/>
  <c r="S634" i="2"/>
  <c r="R634" i="2"/>
  <c r="O634" i="2"/>
  <c r="L634" i="2"/>
  <c r="X633" i="2"/>
  <c r="T633" i="2"/>
  <c r="A633" i="2" s="1"/>
  <c r="R633" i="2"/>
  <c r="O633" i="2"/>
  <c r="S633" i="2" s="1"/>
  <c r="L633" i="2"/>
  <c r="X632" i="2"/>
  <c r="T632" i="2"/>
  <c r="R632" i="2"/>
  <c r="O632" i="2"/>
  <c r="S632" i="2" s="1"/>
  <c r="L632" i="2"/>
  <c r="AF631" i="2"/>
  <c r="AE631" i="2"/>
  <c r="X631" i="2"/>
  <c r="T631" i="2"/>
  <c r="R631" i="2"/>
  <c r="O631" i="2"/>
  <c r="S631" i="2" s="1"/>
  <c r="L631" i="2"/>
  <c r="A631" i="2"/>
  <c r="X630" i="2"/>
  <c r="T630" i="2"/>
  <c r="S630" i="2"/>
  <c r="R630" i="2"/>
  <c r="O630" i="2"/>
  <c r="L630" i="2"/>
  <c r="X629" i="2"/>
  <c r="L629" i="2" s="1"/>
  <c r="T629" i="2"/>
  <c r="S629" i="2"/>
  <c r="R629" i="2"/>
  <c r="O629" i="2"/>
  <c r="X628" i="2"/>
  <c r="T628" i="2"/>
  <c r="S628" i="2"/>
  <c r="R628" i="2"/>
  <c r="O628" i="2"/>
  <c r="L628" i="2"/>
  <c r="X627" i="2"/>
  <c r="T627" i="2"/>
  <c r="S627" i="2"/>
  <c r="R627" i="2"/>
  <c r="O627" i="2"/>
  <c r="L627" i="2"/>
  <c r="X626" i="2"/>
  <c r="T626" i="2"/>
  <c r="S626" i="2"/>
  <c r="R626" i="2"/>
  <c r="O626" i="2"/>
  <c r="L626" i="2"/>
  <c r="X625" i="2"/>
  <c r="T625" i="2"/>
  <c r="S625" i="2"/>
  <c r="R625" i="2"/>
  <c r="O625" i="2"/>
  <c r="L625" i="2"/>
  <c r="G624" i="2"/>
  <c r="F624" i="2"/>
  <c r="E624" i="2"/>
  <c r="D624" i="2"/>
  <c r="AB623" i="2"/>
  <c r="Z623" i="2"/>
  <c r="V623" i="2"/>
  <c r="U623" i="2"/>
  <c r="T623" i="2"/>
  <c r="S623" i="2"/>
  <c r="P623" i="2"/>
  <c r="O623" i="2"/>
  <c r="N623" i="2"/>
  <c r="M623" i="2"/>
  <c r="L623" i="2"/>
  <c r="K623" i="2"/>
  <c r="J623" i="2"/>
  <c r="I623" i="2"/>
  <c r="D623" i="2"/>
  <c r="C623" i="2"/>
  <c r="B623" i="2"/>
  <c r="AB622" i="2"/>
  <c r="Z622" i="2"/>
  <c r="U622" i="2"/>
  <c r="R622" i="2"/>
  <c r="P620" i="2"/>
  <c r="C620" i="2"/>
  <c r="T619" i="2" a="1"/>
  <c r="T619" i="2" s="1"/>
  <c r="V605" i="2" s="1"/>
  <c r="P619" i="2"/>
  <c r="P618" i="2"/>
  <c r="C618" i="2"/>
  <c r="X617" i="2"/>
  <c r="L617" i="2" s="1"/>
  <c r="T617" i="2"/>
  <c r="S617" i="2"/>
  <c r="R617" i="2"/>
  <c r="O617" i="2"/>
  <c r="A617" i="2"/>
  <c r="X616" i="2"/>
  <c r="L616" i="2" s="1"/>
  <c r="T616" i="2"/>
  <c r="A616" i="2" s="1"/>
  <c r="S616" i="2"/>
  <c r="R616" i="2"/>
  <c r="O616" i="2"/>
  <c r="AE615" i="2"/>
  <c r="AF615" i="2" s="1"/>
  <c r="X615" i="2"/>
  <c r="L615" i="2" s="1"/>
  <c r="T615" i="2"/>
  <c r="S615" i="2"/>
  <c r="R615" i="2"/>
  <c r="O615" i="2"/>
  <c r="A615" i="2"/>
  <c r="X614" i="2"/>
  <c r="T614" i="2"/>
  <c r="AE614" i="2" s="1"/>
  <c r="AF614" i="2" s="1"/>
  <c r="S614" i="2"/>
  <c r="R614" i="2"/>
  <c r="O614" i="2"/>
  <c r="L614" i="2"/>
  <c r="A614" i="2"/>
  <c r="AE613" i="2"/>
  <c r="AF613" i="2" s="1"/>
  <c r="X613" i="2"/>
  <c r="T613" i="2"/>
  <c r="R613" i="2"/>
  <c r="O613" i="2"/>
  <c r="S613" i="2" s="1"/>
  <c r="L613" i="2"/>
  <c r="A613" i="2"/>
  <c r="X612" i="2"/>
  <c r="L612" i="2" s="1"/>
  <c r="T612" i="2"/>
  <c r="R612" i="2"/>
  <c r="O612" i="2"/>
  <c r="S612" i="2" s="1"/>
  <c r="A612" i="2"/>
  <c r="X611" i="2"/>
  <c r="L611" i="2" s="1"/>
  <c r="T611" i="2"/>
  <c r="S611" i="2"/>
  <c r="R611" i="2"/>
  <c r="O611" i="2"/>
  <c r="A611" i="2"/>
  <c r="X610" i="2"/>
  <c r="L610" i="2" s="1"/>
  <c r="T610" i="2"/>
  <c r="S610" i="2"/>
  <c r="R610" i="2"/>
  <c r="O610" i="2"/>
  <c r="A610" i="2"/>
  <c r="AE609" i="2"/>
  <c r="AF609" i="2" s="1"/>
  <c r="X609" i="2"/>
  <c r="L609" i="2" s="1"/>
  <c r="T609" i="2"/>
  <c r="S609" i="2"/>
  <c r="R609" i="2"/>
  <c r="O609" i="2"/>
  <c r="A609" i="2"/>
  <c r="AE608" i="2"/>
  <c r="AF608" i="2" s="1"/>
  <c r="X608" i="2"/>
  <c r="L608" i="2" s="1"/>
  <c r="T608" i="2"/>
  <c r="T618" i="2" s="1"/>
  <c r="S608" i="2"/>
  <c r="R608" i="2"/>
  <c r="O608" i="2"/>
  <c r="A608" i="2"/>
  <c r="G607" i="2"/>
  <c r="F607" i="2"/>
  <c r="E607" i="2"/>
  <c r="D607" i="2"/>
  <c r="AB606" i="2"/>
  <c r="Z606" i="2"/>
  <c r="V606" i="2"/>
  <c r="U606" i="2"/>
  <c r="T606" i="2"/>
  <c r="S606" i="2"/>
  <c r="P606" i="2"/>
  <c r="O606" i="2"/>
  <c r="N606" i="2"/>
  <c r="M606" i="2"/>
  <c r="L606" i="2"/>
  <c r="K606" i="2"/>
  <c r="J606" i="2"/>
  <c r="I606" i="2"/>
  <c r="D606" i="2"/>
  <c r="C606" i="2"/>
  <c r="B606" i="2"/>
  <c r="AB605" i="2"/>
  <c r="Z605" i="2"/>
  <c r="U605" i="2"/>
  <c r="R605" i="2"/>
  <c r="P603" i="2"/>
  <c r="C603" i="2"/>
  <c r="P602" i="2"/>
  <c r="P601" i="2"/>
  <c r="C601" i="2"/>
  <c r="AF600" i="2"/>
  <c r="AE600" i="2"/>
  <c r="X600" i="2"/>
  <c r="T600" i="2"/>
  <c r="R600" i="2"/>
  <c r="O600" i="2"/>
  <c r="S600" i="2" s="1"/>
  <c r="L600" i="2"/>
  <c r="A600" i="2"/>
  <c r="X599" i="2"/>
  <c r="L599" i="2" s="1"/>
  <c r="T599" i="2"/>
  <c r="A599" i="2" s="1"/>
  <c r="S599" i="2"/>
  <c r="R599" i="2"/>
  <c r="O599" i="2"/>
  <c r="X598" i="2"/>
  <c r="L598" i="2" s="1"/>
  <c r="T598" i="2"/>
  <c r="S598" i="2"/>
  <c r="R598" i="2"/>
  <c r="O598" i="2"/>
  <c r="X597" i="2"/>
  <c r="T597" i="2"/>
  <c r="R597" i="2"/>
  <c r="O597" i="2"/>
  <c r="S597" i="2" s="1"/>
  <c r="L597" i="2"/>
  <c r="X596" i="2"/>
  <c r="T596" i="2"/>
  <c r="AE596" i="2" s="1"/>
  <c r="AF596" i="2" s="1"/>
  <c r="R596" i="2"/>
  <c r="O596" i="2"/>
  <c r="S596" i="2" s="1"/>
  <c r="L596" i="2"/>
  <c r="AF595" i="2"/>
  <c r="X595" i="2"/>
  <c r="T595" i="2"/>
  <c r="AE595" i="2" s="1"/>
  <c r="R595" i="2"/>
  <c r="O595" i="2"/>
  <c r="S595" i="2" s="1"/>
  <c r="L595" i="2"/>
  <c r="A595" i="2"/>
  <c r="AE594" i="2"/>
  <c r="AF594" i="2" s="1"/>
  <c r="X594" i="2"/>
  <c r="T594" i="2"/>
  <c r="R594" i="2"/>
  <c r="O594" i="2"/>
  <c r="S594" i="2" s="1"/>
  <c r="L594" i="2"/>
  <c r="A594" i="2"/>
  <c r="AE593" i="2"/>
  <c r="AF593" i="2" s="1"/>
  <c r="X593" i="2"/>
  <c r="T593" i="2"/>
  <c r="R593" i="2"/>
  <c r="O593" i="2"/>
  <c r="S593" i="2" s="1"/>
  <c r="L593" i="2"/>
  <c r="A593" i="2"/>
  <c r="AF592" i="2"/>
  <c r="AE592" i="2"/>
  <c r="X592" i="2"/>
  <c r="T592" i="2"/>
  <c r="R592" i="2"/>
  <c r="O592" i="2"/>
  <c r="S592" i="2" s="1"/>
  <c r="L592" i="2"/>
  <c r="A592" i="2"/>
  <c r="AF591" i="2"/>
  <c r="AE591" i="2"/>
  <c r="X591" i="2"/>
  <c r="T591" i="2"/>
  <c r="T601" i="2" s="1"/>
  <c r="T602" i="2" s="1" a="1"/>
  <c r="T602" i="2" s="1"/>
  <c r="V588" i="2" s="1"/>
  <c r="R591" i="2"/>
  <c r="O591" i="2"/>
  <c r="S591" i="2" s="1"/>
  <c r="L591" i="2"/>
  <c r="A591" i="2"/>
  <c r="G590" i="2"/>
  <c r="F590" i="2"/>
  <c r="E590" i="2"/>
  <c r="D590" i="2"/>
  <c r="AB589" i="2"/>
  <c r="Z589" i="2"/>
  <c r="V589" i="2"/>
  <c r="U589" i="2"/>
  <c r="T589" i="2"/>
  <c r="S589" i="2"/>
  <c r="P589" i="2"/>
  <c r="O589" i="2"/>
  <c r="N589" i="2"/>
  <c r="M589" i="2"/>
  <c r="L589" i="2"/>
  <c r="K589" i="2"/>
  <c r="J589" i="2"/>
  <c r="I589" i="2"/>
  <c r="D589" i="2"/>
  <c r="C589" i="2"/>
  <c r="B589" i="2"/>
  <c r="AB588" i="2"/>
  <c r="Z588" i="2"/>
  <c r="U588" i="2"/>
  <c r="R588" i="2"/>
  <c r="P586" i="2"/>
  <c r="C586" i="2"/>
  <c r="P585" i="2"/>
  <c r="P584" i="2"/>
  <c r="C584" i="2"/>
  <c r="X583" i="2"/>
  <c r="L583" i="2" s="1"/>
  <c r="T583" i="2"/>
  <c r="R583" i="2"/>
  <c r="O583" i="2"/>
  <c r="S583" i="2" s="1"/>
  <c r="A583" i="2"/>
  <c r="AE582" i="2"/>
  <c r="AF582" i="2" s="1"/>
  <c r="X582" i="2"/>
  <c r="T582" i="2"/>
  <c r="S582" i="2"/>
  <c r="R582" i="2"/>
  <c r="O582" i="2"/>
  <c r="L582" i="2"/>
  <c r="A582" i="2"/>
  <c r="X581" i="2"/>
  <c r="L581" i="2" s="1"/>
  <c r="T581" i="2"/>
  <c r="R581" i="2"/>
  <c r="O581" i="2"/>
  <c r="S581" i="2" s="1"/>
  <c r="A581" i="2"/>
  <c r="X580" i="2"/>
  <c r="L580" i="2" s="1"/>
  <c r="T580" i="2"/>
  <c r="AE580" i="2" s="1"/>
  <c r="AF580" i="2" s="1"/>
  <c r="S580" i="2"/>
  <c r="R580" i="2"/>
  <c r="O580" i="2"/>
  <c r="A580" i="2"/>
  <c r="AF579" i="2"/>
  <c r="AE579" i="2"/>
  <c r="X579" i="2"/>
  <c r="L579" i="2" s="1"/>
  <c r="T579" i="2"/>
  <c r="A579" i="2" s="1"/>
  <c r="S579" i="2"/>
  <c r="R579" i="2"/>
  <c r="O579" i="2"/>
  <c r="X578" i="2"/>
  <c r="L578" i="2" s="1"/>
  <c r="T578" i="2"/>
  <c r="A578" i="2" s="1"/>
  <c r="R578" i="2"/>
  <c r="O578" i="2"/>
  <c r="S578" i="2" s="1"/>
  <c r="X577" i="2"/>
  <c r="T577" i="2"/>
  <c r="R577" i="2"/>
  <c r="O577" i="2"/>
  <c r="S577" i="2" s="1"/>
  <c r="L577" i="2"/>
  <c r="X576" i="2"/>
  <c r="L576" i="2" s="1"/>
  <c r="T576" i="2"/>
  <c r="A576" i="2" s="1"/>
  <c r="R576" i="2"/>
  <c r="O576" i="2"/>
  <c r="S576" i="2" s="1"/>
  <c r="X575" i="2"/>
  <c r="L575" i="2" s="1"/>
  <c r="T575" i="2"/>
  <c r="S575" i="2"/>
  <c r="R575" i="2"/>
  <c r="O575" i="2"/>
  <c r="A575" i="2"/>
  <c r="X574" i="2"/>
  <c r="T574" i="2"/>
  <c r="T584" i="2" s="1"/>
  <c r="T585" i="2" s="1" a="1"/>
  <c r="T585" i="2" s="1"/>
  <c r="V571" i="2" s="1"/>
  <c r="S574" i="2"/>
  <c r="R574" i="2"/>
  <c r="O574" i="2"/>
  <c r="L574" i="2"/>
  <c r="G573" i="2"/>
  <c r="F573" i="2"/>
  <c r="E573" i="2"/>
  <c r="D573" i="2"/>
  <c r="AB572" i="2"/>
  <c r="Z572" i="2"/>
  <c r="V572" i="2"/>
  <c r="U572" i="2"/>
  <c r="T572" i="2"/>
  <c r="S572" i="2"/>
  <c r="P572" i="2"/>
  <c r="O572" i="2"/>
  <c r="N572" i="2"/>
  <c r="M572" i="2"/>
  <c r="L572" i="2"/>
  <c r="K572" i="2"/>
  <c r="J572" i="2"/>
  <c r="I572" i="2"/>
  <c r="D572" i="2"/>
  <c r="C572" i="2"/>
  <c r="B572" i="2"/>
  <c r="AB571" i="2"/>
  <c r="Z571" i="2"/>
  <c r="U571" i="2"/>
  <c r="R571" i="2"/>
  <c r="P569" i="2"/>
  <c r="C569" i="2"/>
  <c r="P568" i="2"/>
  <c r="P567" i="2"/>
  <c r="C567" i="2"/>
  <c r="X566" i="2"/>
  <c r="L566" i="2" s="1"/>
  <c r="T566" i="2"/>
  <c r="A566" i="2" s="1"/>
  <c r="R566" i="2"/>
  <c r="O566" i="2"/>
  <c r="S566" i="2" s="1"/>
  <c r="X565" i="2"/>
  <c r="L565" i="2" s="1"/>
  <c r="T565" i="2"/>
  <c r="A565" i="2" s="1"/>
  <c r="R565" i="2"/>
  <c r="O565" i="2"/>
  <c r="S565" i="2" s="1"/>
  <c r="X564" i="2"/>
  <c r="T564" i="2"/>
  <c r="AE564" i="2" s="1"/>
  <c r="AF564" i="2" s="1"/>
  <c r="R564" i="2"/>
  <c r="O564" i="2"/>
  <c r="S564" i="2" s="1"/>
  <c r="L564" i="2"/>
  <c r="A564" i="2"/>
  <c r="X563" i="2"/>
  <c r="T563" i="2"/>
  <c r="A563" i="2" s="1"/>
  <c r="R563" i="2"/>
  <c r="O563" i="2"/>
  <c r="S563" i="2" s="1"/>
  <c r="L563" i="2"/>
  <c r="X562" i="2"/>
  <c r="L562" i="2" s="1"/>
  <c r="T562" i="2"/>
  <c r="AE562" i="2" s="1"/>
  <c r="AF562" i="2" s="1"/>
  <c r="S562" i="2"/>
  <c r="R562" i="2"/>
  <c r="O562" i="2"/>
  <c r="A562" i="2"/>
  <c r="X561" i="2"/>
  <c r="T561" i="2"/>
  <c r="A561" i="2" s="1"/>
  <c r="S561" i="2"/>
  <c r="R561" i="2"/>
  <c r="O561" i="2"/>
  <c r="L561" i="2"/>
  <c r="X560" i="2"/>
  <c r="T560" i="2"/>
  <c r="A560" i="2" s="1"/>
  <c r="S560" i="2"/>
  <c r="R560" i="2"/>
  <c r="O560" i="2"/>
  <c r="L560" i="2"/>
  <c r="R559" i="2"/>
  <c r="O559" i="2"/>
  <c r="S559" i="2" s="1"/>
  <c r="S558" i="2"/>
  <c r="X558" i="2" s="1"/>
  <c r="R558" i="2"/>
  <c r="O558" i="2"/>
  <c r="R557" i="2"/>
  <c r="O557" i="2"/>
  <c r="S557" i="2" s="1"/>
  <c r="G556" i="2"/>
  <c r="F556" i="2"/>
  <c r="E556" i="2"/>
  <c r="D556" i="2"/>
  <c r="AB555" i="2"/>
  <c r="Z555" i="2"/>
  <c r="V555" i="2"/>
  <c r="U555" i="2"/>
  <c r="T555" i="2"/>
  <c r="S555" i="2"/>
  <c r="P555" i="2"/>
  <c r="O555" i="2"/>
  <c r="N555" i="2"/>
  <c r="M555" i="2"/>
  <c r="L555" i="2"/>
  <c r="K555" i="2"/>
  <c r="J555" i="2"/>
  <c r="I555" i="2"/>
  <c r="D555" i="2"/>
  <c r="C555" i="2"/>
  <c r="B555" i="2"/>
  <c r="AB554" i="2"/>
  <c r="Z554" i="2"/>
  <c r="U554" i="2"/>
  <c r="R554" i="2"/>
  <c r="P552" i="2"/>
  <c r="C552" i="2"/>
  <c r="P551" i="2"/>
  <c r="P550" i="2"/>
  <c r="C550" i="2"/>
  <c r="AE549" i="2"/>
  <c r="AF549" i="2" s="1"/>
  <c r="X549" i="2"/>
  <c r="L549" i="2" s="1"/>
  <c r="T549" i="2"/>
  <c r="R549" i="2"/>
  <c r="O549" i="2"/>
  <c r="S549" i="2" s="1"/>
  <c r="A549" i="2"/>
  <c r="X548" i="2"/>
  <c r="L548" i="2" s="1"/>
  <c r="T548" i="2"/>
  <c r="R548" i="2"/>
  <c r="O548" i="2"/>
  <c r="S548" i="2" s="1"/>
  <c r="X547" i="2"/>
  <c r="T547" i="2"/>
  <c r="A547" i="2" s="1"/>
  <c r="R547" i="2"/>
  <c r="O547" i="2"/>
  <c r="S547" i="2" s="1"/>
  <c r="L547" i="2"/>
  <c r="X546" i="2"/>
  <c r="L546" i="2" s="1"/>
  <c r="T546" i="2"/>
  <c r="R546" i="2"/>
  <c r="O546" i="2"/>
  <c r="S546" i="2" s="1"/>
  <c r="A546" i="2"/>
  <c r="X545" i="2"/>
  <c r="T545" i="2"/>
  <c r="S545" i="2"/>
  <c r="R545" i="2"/>
  <c r="O545" i="2"/>
  <c r="A545" i="2"/>
  <c r="AF544" i="2"/>
  <c r="AE544" i="2"/>
  <c r="X544" i="2"/>
  <c r="T544" i="2"/>
  <c r="S544" i="2"/>
  <c r="R544" i="2"/>
  <c r="O544" i="2"/>
  <c r="L544" i="2"/>
  <c r="A544" i="2"/>
  <c r="X543" i="2"/>
  <c r="L543" i="2" s="1"/>
  <c r="T543" i="2"/>
  <c r="A543" i="2" s="1"/>
  <c r="R543" i="2"/>
  <c r="O543" i="2"/>
  <c r="S543" i="2" s="1"/>
  <c r="R542" i="2"/>
  <c r="O542" i="2"/>
  <c r="S542" i="2" s="1"/>
  <c r="S541" i="2"/>
  <c r="X541" i="2" s="1"/>
  <c r="R541" i="2"/>
  <c r="O541" i="2"/>
  <c r="S540" i="2"/>
  <c r="R540" i="2"/>
  <c r="O540" i="2"/>
  <c r="G539" i="2"/>
  <c r="F539" i="2"/>
  <c r="E539" i="2"/>
  <c r="D539" i="2"/>
  <c r="AB538" i="2"/>
  <c r="Z538" i="2"/>
  <c r="V538" i="2"/>
  <c r="U538" i="2"/>
  <c r="T538" i="2"/>
  <c r="S538" i="2"/>
  <c r="P538" i="2"/>
  <c r="O538" i="2"/>
  <c r="N538" i="2"/>
  <c r="M538" i="2"/>
  <c r="L538" i="2"/>
  <c r="K538" i="2"/>
  <c r="J538" i="2"/>
  <c r="I538" i="2"/>
  <c r="D538" i="2"/>
  <c r="C538" i="2"/>
  <c r="B538" i="2"/>
  <c r="AB537" i="2"/>
  <c r="Z537" i="2"/>
  <c r="U537" i="2"/>
  <c r="R537" i="2"/>
  <c r="P535" i="2"/>
  <c r="C535" i="2"/>
  <c r="P534" i="2"/>
  <c r="P533" i="2"/>
  <c r="C533" i="2"/>
  <c r="X532" i="2"/>
  <c r="T532" i="2"/>
  <c r="AE532" i="2" s="1"/>
  <c r="AF532" i="2" s="1"/>
  <c r="R532" i="2"/>
  <c r="O532" i="2"/>
  <c r="S532" i="2" s="1"/>
  <c r="L532" i="2"/>
  <c r="A532" i="2"/>
  <c r="X531" i="2"/>
  <c r="T531" i="2"/>
  <c r="S531" i="2"/>
  <c r="R531" i="2"/>
  <c r="O531" i="2"/>
  <c r="A531" i="2"/>
  <c r="AF530" i="2"/>
  <c r="AE530" i="2"/>
  <c r="X530" i="2"/>
  <c r="T530" i="2"/>
  <c r="A530" i="2" s="1"/>
  <c r="S530" i="2"/>
  <c r="R530" i="2"/>
  <c r="O530" i="2"/>
  <c r="L530" i="2"/>
  <c r="X529" i="2"/>
  <c r="T529" i="2"/>
  <c r="A529" i="2" s="1"/>
  <c r="R529" i="2"/>
  <c r="O529" i="2"/>
  <c r="S529" i="2" s="1"/>
  <c r="L529" i="2"/>
  <c r="X528" i="2"/>
  <c r="T528" i="2"/>
  <c r="R528" i="2"/>
  <c r="O528" i="2"/>
  <c r="S528" i="2" s="1"/>
  <c r="L528" i="2"/>
  <c r="A528" i="2"/>
  <c r="AE527" i="2"/>
  <c r="AF527" i="2" s="1"/>
  <c r="X527" i="2"/>
  <c r="T527" i="2"/>
  <c r="A527" i="2" s="1"/>
  <c r="R527" i="2"/>
  <c r="O527" i="2"/>
  <c r="S527" i="2" s="1"/>
  <c r="L527" i="2"/>
  <c r="X526" i="2"/>
  <c r="T526" i="2"/>
  <c r="R526" i="2"/>
  <c r="O526" i="2"/>
  <c r="S526" i="2" s="1"/>
  <c r="A526" i="2"/>
  <c r="X525" i="2"/>
  <c r="T525" i="2"/>
  <c r="R525" i="2"/>
  <c r="O525" i="2"/>
  <c r="S525" i="2" s="1"/>
  <c r="L525" i="2"/>
  <c r="S524" i="2"/>
  <c r="R524" i="2"/>
  <c r="O524" i="2"/>
  <c r="S523" i="2"/>
  <c r="R523" i="2"/>
  <c r="O523" i="2"/>
  <c r="G522" i="2"/>
  <c r="F522" i="2"/>
  <c r="E522" i="2"/>
  <c r="D522" i="2"/>
  <c r="AB521" i="2"/>
  <c r="Z521" i="2"/>
  <c r="V521" i="2"/>
  <c r="U521" i="2"/>
  <c r="T521" i="2"/>
  <c r="S521" i="2"/>
  <c r="P521" i="2"/>
  <c r="O521" i="2"/>
  <c r="N521" i="2"/>
  <c r="M521" i="2"/>
  <c r="L521" i="2"/>
  <c r="K521" i="2"/>
  <c r="J521" i="2"/>
  <c r="I521" i="2"/>
  <c r="D521" i="2"/>
  <c r="C521" i="2"/>
  <c r="B521" i="2"/>
  <c r="AB520" i="2"/>
  <c r="Z520" i="2"/>
  <c r="U520" i="2"/>
  <c r="R520" i="2"/>
  <c r="P518" i="2"/>
  <c r="C518" i="2"/>
  <c r="P517" i="2"/>
  <c r="P516" i="2"/>
  <c r="C516" i="2"/>
  <c r="X515" i="2"/>
  <c r="T515" i="2"/>
  <c r="AE515" i="2" s="1"/>
  <c r="AF515" i="2" s="1"/>
  <c r="S515" i="2"/>
  <c r="R515" i="2"/>
  <c r="O515" i="2"/>
  <c r="L515" i="2"/>
  <c r="A515" i="2"/>
  <c r="X514" i="2"/>
  <c r="L514" i="2" s="1"/>
  <c r="T514" i="2"/>
  <c r="R514" i="2"/>
  <c r="O514" i="2"/>
  <c r="S514" i="2" s="1"/>
  <c r="AE513" i="2"/>
  <c r="AF513" i="2" s="1"/>
  <c r="X513" i="2"/>
  <c r="T513" i="2"/>
  <c r="S513" i="2"/>
  <c r="R513" i="2"/>
  <c r="O513" i="2"/>
  <c r="L513" i="2"/>
  <c r="A513" i="2"/>
  <c r="X512" i="2"/>
  <c r="T512" i="2"/>
  <c r="A512" i="2" s="1"/>
  <c r="R512" i="2"/>
  <c r="O512" i="2"/>
  <c r="S512" i="2" s="1"/>
  <c r="L512" i="2"/>
  <c r="AE511" i="2"/>
  <c r="AF511" i="2" s="1"/>
  <c r="X511" i="2"/>
  <c r="T511" i="2"/>
  <c r="A511" i="2" s="1"/>
  <c r="S511" i="2"/>
  <c r="R511" i="2"/>
  <c r="O511" i="2"/>
  <c r="L511" i="2"/>
  <c r="R510" i="2"/>
  <c r="O510" i="2"/>
  <c r="S510" i="2" s="1"/>
  <c r="S509" i="2"/>
  <c r="X509" i="2" s="1"/>
  <c r="L509" i="2" s="1"/>
  <c r="R509" i="2"/>
  <c r="O509" i="2"/>
  <c r="X508" i="2"/>
  <c r="T508" i="2"/>
  <c r="AE508" i="2" s="1"/>
  <c r="AF508" i="2" s="1"/>
  <c r="S508" i="2"/>
  <c r="R508" i="2"/>
  <c r="O508" i="2"/>
  <c r="L508" i="2"/>
  <c r="A508" i="2"/>
  <c r="X507" i="2"/>
  <c r="T507" i="2"/>
  <c r="AE507" i="2" s="1"/>
  <c r="AF507" i="2" s="1"/>
  <c r="S507" i="2"/>
  <c r="R507" i="2"/>
  <c r="O507" i="2"/>
  <c r="L507" i="2"/>
  <c r="A507" i="2"/>
  <c r="S506" i="2"/>
  <c r="X506" i="2" s="1"/>
  <c r="L506" i="2" s="1"/>
  <c r="R506" i="2"/>
  <c r="O506" i="2"/>
  <c r="G505" i="2"/>
  <c r="F505" i="2"/>
  <c r="E505" i="2"/>
  <c r="D505" i="2"/>
  <c r="AB504" i="2"/>
  <c r="Z504" i="2"/>
  <c r="V504" i="2"/>
  <c r="U504" i="2"/>
  <c r="T504" i="2"/>
  <c r="S504" i="2"/>
  <c r="P504" i="2"/>
  <c r="O504" i="2"/>
  <c r="N504" i="2"/>
  <c r="M504" i="2"/>
  <c r="L504" i="2"/>
  <c r="K504" i="2"/>
  <c r="J504" i="2"/>
  <c r="I504" i="2"/>
  <c r="D504" i="2"/>
  <c r="C504" i="2"/>
  <c r="B504" i="2"/>
  <c r="AB503" i="2"/>
  <c r="Z503" i="2"/>
  <c r="U503" i="2"/>
  <c r="R503" i="2"/>
  <c r="P501" i="2"/>
  <c r="C501" i="2"/>
  <c r="P500" i="2"/>
  <c r="P499" i="2"/>
  <c r="C499" i="2"/>
  <c r="AE498" i="2"/>
  <c r="AF498" i="2" s="1"/>
  <c r="X498" i="2"/>
  <c r="T498" i="2"/>
  <c r="S498" i="2"/>
  <c r="R498" i="2"/>
  <c r="O498" i="2"/>
  <c r="L498" i="2"/>
  <c r="A498" i="2"/>
  <c r="AE497" i="2"/>
  <c r="AF497" i="2" s="1"/>
  <c r="X497" i="2"/>
  <c r="T497" i="2"/>
  <c r="A497" i="2" s="1"/>
  <c r="R497" i="2"/>
  <c r="O497" i="2"/>
  <c r="S497" i="2" s="1"/>
  <c r="L497" i="2"/>
  <c r="X496" i="2"/>
  <c r="T496" i="2"/>
  <c r="S496" i="2"/>
  <c r="R496" i="2"/>
  <c r="O496" i="2"/>
  <c r="A496" i="2"/>
  <c r="AF495" i="2"/>
  <c r="X495" i="2"/>
  <c r="T495" i="2"/>
  <c r="AE495" i="2" s="1"/>
  <c r="S495" i="2"/>
  <c r="R495" i="2"/>
  <c r="O495" i="2"/>
  <c r="L495" i="2"/>
  <c r="AE494" i="2"/>
  <c r="AF494" i="2" s="1"/>
  <c r="X494" i="2"/>
  <c r="L494" i="2" s="1"/>
  <c r="T494" i="2"/>
  <c r="R494" i="2"/>
  <c r="O494" i="2"/>
  <c r="S494" i="2" s="1"/>
  <c r="A494" i="2"/>
  <c r="X493" i="2"/>
  <c r="L493" i="2" s="1"/>
  <c r="T493" i="2"/>
  <c r="AE493" i="2" s="1"/>
  <c r="AF493" i="2" s="1"/>
  <c r="S493" i="2"/>
  <c r="R493" i="2"/>
  <c r="O493" i="2"/>
  <c r="R492" i="2"/>
  <c r="S492" i="2" s="1"/>
  <c r="O492" i="2"/>
  <c r="R491" i="2"/>
  <c r="S491" i="2" s="1"/>
  <c r="O491" i="2"/>
  <c r="R490" i="2"/>
  <c r="S490" i="2" s="1"/>
  <c r="O490" i="2"/>
  <c r="R489" i="2"/>
  <c r="S489" i="2" s="1"/>
  <c r="O489" i="2"/>
  <c r="G488" i="2"/>
  <c r="F488" i="2"/>
  <c r="E488" i="2"/>
  <c r="D488" i="2"/>
  <c r="AB487" i="2"/>
  <c r="Z487" i="2"/>
  <c r="V487" i="2"/>
  <c r="U487" i="2"/>
  <c r="T487" i="2"/>
  <c r="S487" i="2"/>
  <c r="P487" i="2"/>
  <c r="O487" i="2"/>
  <c r="N487" i="2"/>
  <c r="M487" i="2"/>
  <c r="L487" i="2"/>
  <c r="K487" i="2"/>
  <c r="J487" i="2"/>
  <c r="I487" i="2"/>
  <c r="D487" i="2"/>
  <c r="C487" i="2"/>
  <c r="B487" i="2"/>
  <c r="AB486" i="2"/>
  <c r="Z486" i="2"/>
  <c r="U486" i="2"/>
  <c r="R486" i="2"/>
  <c r="P484" i="2"/>
  <c r="C484" i="2"/>
  <c r="P483" i="2"/>
  <c r="P482" i="2"/>
  <c r="C482" i="2"/>
  <c r="X481" i="2"/>
  <c r="T481" i="2"/>
  <c r="A481" i="2" s="1"/>
  <c r="S481" i="2"/>
  <c r="R481" i="2"/>
  <c r="O481" i="2"/>
  <c r="L481" i="2"/>
  <c r="AE480" i="2"/>
  <c r="AF480" i="2" s="1"/>
  <c r="X480" i="2"/>
  <c r="T480" i="2"/>
  <c r="A480" i="2" s="1"/>
  <c r="S480" i="2"/>
  <c r="R480" i="2"/>
  <c r="O480" i="2"/>
  <c r="L480" i="2"/>
  <c r="X479" i="2"/>
  <c r="L479" i="2" s="1"/>
  <c r="T479" i="2"/>
  <c r="R479" i="2"/>
  <c r="O479" i="2"/>
  <c r="S479" i="2" s="1"/>
  <c r="A479" i="2"/>
  <c r="X478" i="2"/>
  <c r="T478" i="2"/>
  <c r="AE478" i="2" s="1"/>
  <c r="AF478" i="2" s="1"/>
  <c r="S478" i="2"/>
  <c r="R478" i="2"/>
  <c r="O478" i="2"/>
  <c r="L478" i="2"/>
  <c r="A478" i="2"/>
  <c r="X477" i="2"/>
  <c r="L477" i="2" s="1"/>
  <c r="T477" i="2"/>
  <c r="R477" i="2"/>
  <c r="O477" i="2"/>
  <c r="S477" i="2" s="1"/>
  <c r="AF476" i="2"/>
  <c r="AE476" i="2"/>
  <c r="X476" i="2"/>
  <c r="T476" i="2"/>
  <c r="S476" i="2"/>
  <c r="R476" i="2"/>
  <c r="O476" i="2"/>
  <c r="L476" i="2"/>
  <c r="A476" i="2"/>
  <c r="X475" i="2"/>
  <c r="L475" i="2" s="1"/>
  <c r="T475" i="2"/>
  <c r="R475" i="2"/>
  <c r="O475" i="2"/>
  <c r="S475" i="2" s="1"/>
  <c r="R474" i="2"/>
  <c r="O474" i="2"/>
  <c r="S474" i="2" s="1"/>
  <c r="X474" i="2" s="1"/>
  <c r="R473" i="2"/>
  <c r="O473" i="2"/>
  <c r="S473" i="2" s="1"/>
  <c r="X473" i="2" s="1"/>
  <c r="L473" i="2" s="1"/>
  <c r="X472" i="2"/>
  <c r="L472" i="2" s="1"/>
  <c r="T472" i="2" s="1"/>
  <c r="S472" i="2"/>
  <c r="O472" i="2"/>
  <c r="G471" i="2"/>
  <c r="F471" i="2"/>
  <c r="E471" i="2"/>
  <c r="D471" i="2"/>
  <c r="AB470" i="2"/>
  <c r="Z470" i="2"/>
  <c r="V470" i="2"/>
  <c r="U470" i="2"/>
  <c r="T470" i="2"/>
  <c r="S470" i="2"/>
  <c r="P470" i="2"/>
  <c r="O470" i="2"/>
  <c r="N470" i="2"/>
  <c r="M470" i="2"/>
  <c r="L470" i="2"/>
  <c r="K470" i="2"/>
  <c r="J470" i="2"/>
  <c r="I470" i="2"/>
  <c r="D470" i="2"/>
  <c r="C470" i="2"/>
  <c r="B470" i="2"/>
  <c r="AB469" i="2"/>
  <c r="Z469" i="2"/>
  <c r="U469" i="2"/>
  <c r="R469" i="2"/>
  <c r="P467" i="2"/>
  <c r="C467" i="2"/>
  <c r="P466" i="2"/>
  <c r="P465" i="2"/>
  <c r="C465" i="2"/>
  <c r="AE464" i="2"/>
  <c r="AF464" i="2" s="1"/>
  <c r="X464" i="2"/>
  <c r="T464" i="2"/>
  <c r="S464" i="2"/>
  <c r="R464" i="2"/>
  <c r="O464" i="2"/>
  <c r="L464" i="2"/>
  <c r="A464" i="2"/>
  <c r="X463" i="2"/>
  <c r="T463" i="2"/>
  <c r="S463" i="2"/>
  <c r="R463" i="2"/>
  <c r="O463" i="2"/>
  <c r="L463" i="2"/>
  <c r="X462" i="2"/>
  <c r="T462" i="2"/>
  <c r="AE462" i="2" s="1"/>
  <c r="AF462" i="2" s="1"/>
  <c r="R462" i="2"/>
  <c r="O462" i="2"/>
  <c r="S462" i="2" s="1"/>
  <c r="L462" i="2"/>
  <c r="A462" i="2"/>
  <c r="X461" i="2"/>
  <c r="L461" i="2" s="1"/>
  <c r="T461" i="2"/>
  <c r="R461" i="2"/>
  <c r="O461" i="2"/>
  <c r="S461" i="2" s="1"/>
  <c r="A461" i="2"/>
  <c r="X460" i="2"/>
  <c r="T460" i="2"/>
  <c r="A460" i="2" s="1"/>
  <c r="S460" i="2"/>
  <c r="R460" i="2"/>
  <c r="O460" i="2"/>
  <c r="L460" i="2"/>
  <c r="X459" i="2"/>
  <c r="L459" i="2" s="1"/>
  <c r="T459" i="2"/>
  <c r="A459" i="2" s="1"/>
  <c r="R459" i="2"/>
  <c r="O459" i="2"/>
  <c r="S459" i="2" s="1"/>
  <c r="X458" i="2"/>
  <c r="AE458" i="2" s="1"/>
  <c r="AF458" i="2" s="1"/>
  <c r="T458" i="2"/>
  <c r="S458" i="2"/>
  <c r="R458" i="2"/>
  <c r="O458" i="2"/>
  <c r="A458" i="2"/>
  <c r="X457" i="2"/>
  <c r="T457" i="2"/>
  <c r="AE457" i="2" s="1"/>
  <c r="AF457" i="2" s="1"/>
  <c r="S457" i="2"/>
  <c r="R457" i="2"/>
  <c r="O457" i="2"/>
  <c r="L457" i="2"/>
  <c r="A457" i="2"/>
  <c r="R456" i="2"/>
  <c r="S456" i="2" s="1"/>
  <c r="O456" i="2"/>
  <c r="R455" i="2"/>
  <c r="S455" i="2" s="1"/>
  <c r="O455" i="2"/>
  <c r="G454" i="2"/>
  <c r="F454" i="2"/>
  <c r="E454" i="2"/>
  <c r="D454" i="2"/>
  <c r="AB453" i="2"/>
  <c r="Z453" i="2"/>
  <c r="V453" i="2"/>
  <c r="U453" i="2"/>
  <c r="T453" i="2"/>
  <c r="S453" i="2"/>
  <c r="P453" i="2"/>
  <c r="O453" i="2"/>
  <c r="N453" i="2"/>
  <c r="M453" i="2"/>
  <c r="L453" i="2"/>
  <c r="K453" i="2"/>
  <c r="J453" i="2"/>
  <c r="I453" i="2"/>
  <c r="D453" i="2"/>
  <c r="C453" i="2"/>
  <c r="B453" i="2"/>
  <c r="AB452" i="2"/>
  <c r="Z452" i="2"/>
  <c r="U452" i="2"/>
  <c r="R452" i="2"/>
  <c r="P450" i="2"/>
  <c r="C450" i="2"/>
  <c r="P449" i="2"/>
  <c r="P448" i="2"/>
  <c r="C448" i="2"/>
  <c r="AF447" i="2"/>
  <c r="AE447" i="2"/>
  <c r="X447" i="2"/>
  <c r="L447" i="2" s="1"/>
  <c r="T447" i="2"/>
  <c r="R447" i="2"/>
  <c r="O447" i="2"/>
  <c r="S447" i="2" s="1"/>
  <c r="A447" i="2"/>
  <c r="X446" i="2"/>
  <c r="L446" i="2" s="1"/>
  <c r="T446" i="2"/>
  <c r="AE446" i="2" s="1"/>
  <c r="AF446" i="2" s="1"/>
  <c r="R446" i="2"/>
  <c r="O446" i="2"/>
  <c r="S446" i="2" s="1"/>
  <c r="X445" i="2"/>
  <c r="L445" i="2" s="1"/>
  <c r="T445" i="2"/>
  <c r="A445" i="2" s="1"/>
  <c r="R445" i="2"/>
  <c r="O445" i="2"/>
  <c r="S445" i="2" s="1"/>
  <c r="X444" i="2"/>
  <c r="L444" i="2" s="1"/>
  <c r="T444" i="2"/>
  <c r="A444" i="2" s="1"/>
  <c r="R444" i="2"/>
  <c r="O444" i="2"/>
  <c r="S444" i="2" s="1"/>
  <c r="AE443" i="2"/>
  <c r="AF443" i="2" s="1"/>
  <c r="X443" i="2"/>
  <c r="T443" i="2"/>
  <c r="R443" i="2"/>
  <c r="O443" i="2"/>
  <c r="S443" i="2" s="1"/>
  <c r="L443" i="2"/>
  <c r="A443" i="2"/>
  <c r="X442" i="2"/>
  <c r="T442" i="2"/>
  <c r="AE442" i="2" s="1"/>
  <c r="AF442" i="2" s="1"/>
  <c r="S442" i="2"/>
  <c r="R442" i="2"/>
  <c r="O442" i="2"/>
  <c r="L442" i="2"/>
  <c r="X441" i="2"/>
  <c r="L441" i="2" s="1"/>
  <c r="T441" i="2"/>
  <c r="R441" i="2"/>
  <c r="O441" i="2"/>
  <c r="S441" i="2" s="1"/>
  <c r="A441" i="2"/>
  <c r="AE440" i="2"/>
  <c r="AF440" i="2" s="1"/>
  <c r="X440" i="2"/>
  <c r="L440" i="2" s="1"/>
  <c r="T440" i="2"/>
  <c r="R440" i="2"/>
  <c r="O440" i="2"/>
  <c r="S440" i="2" s="1"/>
  <c r="A440" i="2"/>
  <c r="R439" i="2"/>
  <c r="O439" i="2"/>
  <c r="S439" i="2" s="1"/>
  <c r="R438" i="2"/>
  <c r="S438" i="2" s="1"/>
  <c r="O438" i="2"/>
  <c r="G437" i="2"/>
  <c r="F437" i="2"/>
  <c r="E437" i="2"/>
  <c r="D437" i="2"/>
  <c r="AB436" i="2"/>
  <c r="Z436" i="2"/>
  <c r="V436" i="2"/>
  <c r="U436" i="2"/>
  <c r="T436" i="2"/>
  <c r="S436" i="2"/>
  <c r="P436" i="2"/>
  <c r="O436" i="2"/>
  <c r="N436" i="2"/>
  <c r="M436" i="2"/>
  <c r="L436" i="2"/>
  <c r="K436" i="2"/>
  <c r="J436" i="2"/>
  <c r="I436" i="2"/>
  <c r="D436" i="2"/>
  <c r="C436" i="2"/>
  <c r="B436" i="2"/>
  <c r="AB435" i="2"/>
  <c r="Z435" i="2"/>
  <c r="U435" i="2"/>
  <c r="R435" i="2"/>
  <c r="P433" i="2"/>
  <c r="C433" i="2"/>
  <c r="P432" i="2"/>
  <c r="P431" i="2"/>
  <c r="C431" i="2"/>
  <c r="X430" i="2"/>
  <c r="L430" i="2" s="1"/>
  <c r="T430" i="2"/>
  <c r="R430" i="2"/>
  <c r="O430" i="2"/>
  <c r="S430" i="2" s="1"/>
  <c r="A430" i="2"/>
  <c r="X429" i="2"/>
  <c r="T429" i="2"/>
  <c r="AE429" i="2" s="1"/>
  <c r="AF429" i="2" s="1"/>
  <c r="S429" i="2"/>
  <c r="R429" i="2"/>
  <c r="O429" i="2"/>
  <c r="L429" i="2"/>
  <c r="A429" i="2"/>
  <c r="X428" i="2"/>
  <c r="T428" i="2"/>
  <c r="R428" i="2"/>
  <c r="O428" i="2"/>
  <c r="S428" i="2" s="1"/>
  <c r="L428" i="2"/>
  <c r="X427" i="2"/>
  <c r="L427" i="2" s="1"/>
  <c r="T427" i="2"/>
  <c r="A427" i="2" s="1"/>
  <c r="R427" i="2"/>
  <c r="O427" i="2"/>
  <c r="S427" i="2" s="1"/>
  <c r="AE426" i="2"/>
  <c r="AF426" i="2" s="1"/>
  <c r="X426" i="2"/>
  <c r="L426" i="2" s="1"/>
  <c r="T426" i="2"/>
  <c r="R426" i="2"/>
  <c r="O426" i="2"/>
  <c r="S426" i="2" s="1"/>
  <c r="A426" i="2"/>
  <c r="X425" i="2"/>
  <c r="AE425" i="2" s="1"/>
  <c r="AF425" i="2" s="1"/>
  <c r="T425" i="2"/>
  <c r="S425" i="2"/>
  <c r="R425" i="2"/>
  <c r="O425" i="2"/>
  <c r="A425" i="2"/>
  <c r="AE424" i="2"/>
  <c r="AF424" i="2" s="1"/>
  <c r="X424" i="2"/>
  <c r="T424" i="2"/>
  <c r="A424" i="2" s="1"/>
  <c r="S424" i="2"/>
  <c r="R424" i="2"/>
  <c r="O424" i="2"/>
  <c r="L424" i="2"/>
  <c r="AE423" i="2"/>
  <c r="AF423" i="2" s="1"/>
  <c r="X423" i="2"/>
  <c r="T423" i="2"/>
  <c r="A423" i="2" s="1"/>
  <c r="S423" i="2"/>
  <c r="R423" i="2"/>
  <c r="O423" i="2"/>
  <c r="L423" i="2"/>
  <c r="AE422" i="2"/>
  <c r="AF422" i="2" s="1"/>
  <c r="X422" i="2"/>
  <c r="T422" i="2"/>
  <c r="A422" i="2" s="1"/>
  <c r="S422" i="2"/>
  <c r="R422" i="2"/>
  <c r="O422" i="2"/>
  <c r="L422" i="2"/>
  <c r="R421" i="2"/>
  <c r="O421" i="2"/>
  <c r="S421" i="2" s="1"/>
  <c r="G420" i="2"/>
  <c r="F420" i="2"/>
  <c r="E420" i="2"/>
  <c r="D420" i="2"/>
  <c r="AB419" i="2"/>
  <c r="Z419" i="2"/>
  <c r="V419" i="2"/>
  <c r="U419" i="2"/>
  <c r="T419" i="2"/>
  <c r="S419" i="2"/>
  <c r="P419" i="2"/>
  <c r="O419" i="2"/>
  <c r="N419" i="2"/>
  <c r="M419" i="2"/>
  <c r="L419" i="2"/>
  <c r="K419" i="2"/>
  <c r="J419" i="2"/>
  <c r="I419" i="2"/>
  <c r="D419" i="2"/>
  <c r="C419" i="2"/>
  <c r="B419" i="2"/>
  <c r="AB418" i="2"/>
  <c r="Z418" i="2"/>
  <c r="U418" i="2"/>
  <c r="R418" i="2"/>
  <c r="P416" i="2"/>
  <c r="C416" i="2"/>
  <c r="P415" i="2"/>
  <c r="P414" i="2"/>
  <c r="C414" i="2"/>
  <c r="X413" i="2"/>
  <c r="T413" i="2"/>
  <c r="AE413" i="2" s="1"/>
  <c r="AF413" i="2" s="1"/>
  <c r="S413" i="2"/>
  <c r="R413" i="2"/>
  <c r="O413" i="2"/>
  <c r="L413" i="2"/>
  <c r="AF412" i="2"/>
  <c r="X412" i="2"/>
  <c r="L412" i="2" s="1"/>
  <c r="T412" i="2"/>
  <c r="AE412" i="2" s="1"/>
  <c r="R412" i="2"/>
  <c r="O412" i="2"/>
  <c r="S412" i="2" s="1"/>
  <c r="X411" i="2"/>
  <c r="T411" i="2"/>
  <c r="AE411" i="2" s="1"/>
  <c r="AF411" i="2" s="1"/>
  <c r="S411" i="2"/>
  <c r="R411" i="2"/>
  <c r="O411" i="2"/>
  <c r="L411" i="2"/>
  <c r="A411" i="2"/>
  <c r="X410" i="2"/>
  <c r="T410" i="2"/>
  <c r="R410" i="2"/>
  <c r="O410" i="2"/>
  <c r="S410" i="2" s="1"/>
  <c r="L410" i="2"/>
  <c r="AE409" i="2"/>
  <c r="AF409" i="2" s="1"/>
  <c r="X409" i="2"/>
  <c r="L409" i="2" s="1"/>
  <c r="T409" i="2"/>
  <c r="A409" i="2" s="1"/>
  <c r="R409" i="2"/>
  <c r="O409" i="2"/>
  <c r="S409" i="2" s="1"/>
  <c r="X408" i="2"/>
  <c r="T408" i="2"/>
  <c r="A408" i="2" s="1"/>
  <c r="S408" i="2"/>
  <c r="R408" i="2"/>
  <c r="O408" i="2"/>
  <c r="L408" i="2"/>
  <c r="X407" i="2"/>
  <c r="T407" i="2"/>
  <c r="AE407" i="2" s="1"/>
  <c r="AF407" i="2" s="1"/>
  <c r="S407" i="2"/>
  <c r="R407" i="2"/>
  <c r="O407" i="2"/>
  <c r="L407" i="2"/>
  <c r="S406" i="2"/>
  <c r="R406" i="2"/>
  <c r="O406" i="2"/>
  <c r="S405" i="2"/>
  <c r="R405" i="2"/>
  <c r="O405" i="2"/>
  <c r="S404" i="2"/>
  <c r="R404" i="2"/>
  <c r="O404" i="2"/>
  <c r="G403" i="2"/>
  <c r="F403" i="2"/>
  <c r="E403" i="2"/>
  <c r="D403" i="2"/>
  <c r="AB402" i="2"/>
  <c r="Z402" i="2"/>
  <c r="V402" i="2"/>
  <c r="U402" i="2"/>
  <c r="T402" i="2"/>
  <c r="S402" i="2"/>
  <c r="P402" i="2"/>
  <c r="O402" i="2"/>
  <c r="N402" i="2"/>
  <c r="M402" i="2"/>
  <c r="L402" i="2"/>
  <c r="K402" i="2"/>
  <c r="J402" i="2"/>
  <c r="I402" i="2"/>
  <c r="D402" i="2"/>
  <c r="C402" i="2"/>
  <c r="B402" i="2"/>
  <c r="AB401" i="2"/>
  <c r="Z401" i="2"/>
  <c r="U401" i="2"/>
  <c r="R401" i="2"/>
  <c r="P399" i="2"/>
  <c r="C399" i="2"/>
  <c r="P398" i="2"/>
  <c r="P397" i="2"/>
  <c r="C397" i="2"/>
  <c r="X396" i="2"/>
  <c r="L396" i="2" s="1"/>
  <c r="T396" i="2"/>
  <c r="A396" i="2" s="1"/>
  <c r="R396" i="2"/>
  <c r="O396" i="2"/>
  <c r="S396" i="2" s="1"/>
  <c r="X395" i="2"/>
  <c r="L395" i="2" s="1"/>
  <c r="T395" i="2"/>
  <c r="AE395" i="2" s="1"/>
  <c r="AF395" i="2" s="1"/>
  <c r="R395" i="2"/>
  <c r="O395" i="2"/>
  <c r="S395" i="2" s="1"/>
  <c r="A395" i="2"/>
  <c r="X394" i="2"/>
  <c r="AE394" i="2" s="1"/>
  <c r="AF394" i="2" s="1"/>
  <c r="T394" i="2"/>
  <c r="S394" i="2"/>
  <c r="R394" i="2"/>
  <c r="O394" i="2"/>
  <c r="L394" i="2"/>
  <c r="A394" i="2"/>
  <c r="AE393" i="2"/>
  <c r="AF393" i="2" s="1"/>
  <c r="X393" i="2"/>
  <c r="T393" i="2"/>
  <c r="A393" i="2" s="1"/>
  <c r="R393" i="2"/>
  <c r="O393" i="2"/>
  <c r="S393" i="2" s="1"/>
  <c r="L393" i="2"/>
  <c r="X392" i="2"/>
  <c r="T392" i="2"/>
  <c r="R392" i="2"/>
  <c r="O392" i="2"/>
  <c r="S392" i="2" s="1"/>
  <c r="A392" i="2"/>
  <c r="X391" i="2"/>
  <c r="L391" i="2" s="1"/>
  <c r="T391" i="2"/>
  <c r="S391" i="2"/>
  <c r="R391" i="2"/>
  <c r="O391" i="2"/>
  <c r="A391" i="2"/>
  <c r="AE390" i="2"/>
  <c r="AF390" i="2" s="1"/>
  <c r="X390" i="2"/>
  <c r="L390" i="2" s="1"/>
  <c r="T390" i="2"/>
  <c r="A390" i="2" s="1"/>
  <c r="R390" i="2"/>
  <c r="O390" i="2"/>
  <c r="S390" i="2" s="1"/>
  <c r="R389" i="2"/>
  <c r="O389" i="2"/>
  <c r="S389" i="2" s="1"/>
  <c r="R388" i="2"/>
  <c r="O388" i="2"/>
  <c r="S388" i="2" s="1"/>
  <c r="R387" i="2"/>
  <c r="O387" i="2"/>
  <c r="S387" i="2" s="1"/>
  <c r="G386" i="2"/>
  <c r="F386" i="2"/>
  <c r="E386" i="2"/>
  <c r="D386" i="2"/>
  <c r="AB385" i="2"/>
  <c r="Z385" i="2"/>
  <c r="V385" i="2"/>
  <c r="U385" i="2"/>
  <c r="T385" i="2"/>
  <c r="S385" i="2"/>
  <c r="P385" i="2"/>
  <c r="O385" i="2"/>
  <c r="N385" i="2"/>
  <c r="M385" i="2"/>
  <c r="L385" i="2"/>
  <c r="K385" i="2"/>
  <c r="J385" i="2"/>
  <c r="I385" i="2"/>
  <c r="D385" i="2"/>
  <c r="C385" i="2"/>
  <c r="B385" i="2"/>
  <c r="AB384" i="2"/>
  <c r="Z384" i="2"/>
  <c r="U384" i="2"/>
  <c r="R384" i="2"/>
  <c r="P382" i="2"/>
  <c r="C382" i="2"/>
  <c r="P381" i="2"/>
  <c r="P380" i="2"/>
  <c r="C380" i="2"/>
  <c r="AE379" i="2"/>
  <c r="AF379" i="2" s="1"/>
  <c r="X379" i="2"/>
  <c r="T379" i="2"/>
  <c r="A379" i="2" s="1"/>
  <c r="R379" i="2"/>
  <c r="O379" i="2"/>
  <c r="S379" i="2" s="1"/>
  <c r="L379" i="2"/>
  <c r="AF378" i="2"/>
  <c r="AE378" i="2"/>
  <c r="X378" i="2"/>
  <c r="L378" i="2" s="1"/>
  <c r="T378" i="2"/>
  <c r="A378" i="2" s="1"/>
  <c r="R378" i="2"/>
  <c r="O378" i="2"/>
  <c r="S378" i="2" s="1"/>
  <c r="X377" i="2"/>
  <c r="T377" i="2"/>
  <c r="A377" i="2" s="1"/>
  <c r="S377" i="2"/>
  <c r="R377" i="2"/>
  <c r="O377" i="2"/>
  <c r="L377" i="2"/>
  <c r="X376" i="2"/>
  <c r="T376" i="2"/>
  <c r="R376" i="2"/>
  <c r="O376" i="2"/>
  <c r="S376" i="2" s="1"/>
  <c r="L376" i="2"/>
  <c r="X375" i="2"/>
  <c r="L375" i="2" s="1"/>
  <c r="T375" i="2"/>
  <c r="AE375" i="2" s="1"/>
  <c r="AF375" i="2" s="1"/>
  <c r="R375" i="2"/>
  <c r="O375" i="2"/>
  <c r="S375" i="2" s="1"/>
  <c r="A375" i="2"/>
  <c r="X374" i="2"/>
  <c r="T374" i="2"/>
  <c r="AE374" i="2" s="1"/>
  <c r="AF374" i="2" s="1"/>
  <c r="S374" i="2"/>
  <c r="R374" i="2"/>
  <c r="O374" i="2"/>
  <c r="L374" i="2"/>
  <c r="A374" i="2"/>
  <c r="R373" i="2"/>
  <c r="O373" i="2"/>
  <c r="R372" i="2"/>
  <c r="O372" i="2"/>
  <c r="S372" i="2" s="1"/>
  <c r="X372" i="2" s="1"/>
  <c r="L372" i="2" s="1"/>
  <c r="R371" i="2"/>
  <c r="O371" i="2"/>
  <c r="S371" i="2" s="1"/>
  <c r="X371" i="2" s="1"/>
  <c r="L371" i="2" s="1"/>
  <c r="AE370" i="2"/>
  <c r="AF370" i="2" s="1"/>
  <c r="T370" i="2"/>
  <c r="R370" i="2"/>
  <c r="O370" i="2"/>
  <c r="S370" i="2" s="1"/>
  <c r="X370" i="2" s="1"/>
  <c r="L370" i="2"/>
  <c r="G369" i="2"/>
  <c r="F369" i="2"/>
  <c r="E369" i="2"/>
  <c r="D369" i="2"/>
  <c r="AB368" i="2"/>
  <c r="Z368" i="2"/>
  <c r="V368" i="2"/>
  <c r="U368" i="2"/>
  <c r="T368" i="2"/>
  <c r="S368" i="2"/>
  <c r="P368" i="2"/>
  <c r="O368" i="2"/>
  <c r="N368" i="2"/>
  <c r="M368" i="2"/>
  <c r="L368" i="2"/>
  <c r="K368" i="2"/>
  <c r="J368" i="2"/>
  <c r="I368" i="2"/>
  <c r="D368" i="2"/>
  <c r="C368" i="2"/>
  <c r="B368" i="2"/>
  <c r="AB367" i="2"/>
  <c r="Z367" i="2"/>
  <c r="U367" i="2"/>
  <c r="R367" i="2"/>
  <c r="P365" i="2"/>
  <c r="C365" i="2"/>
  <c r="P364" i="2"/>
  <c r="P363" i="2"/>
  <c r="C363" i="2"/>
  <c r="X362" i="2"/>
  <c r="T362" i="2"/>
  <c r="A362" i="2" s="1"/>
  <c r="R362" i="2"/>
  <c r="O362" i="2"/>
  <c r="S362" i="2" s="1"/>
  <c r="L362" i="2"/>
  <c r="X361" i="2"/>
  <c r="L361" i="2" s="1"/>
  <c r="T361" i="2"/>
  <c r="R361" i="2"/>
  <c r="O361" i="2"/>
  <c r="S361" i="2" s="1"/>
  <c r="A361" i="2"/>
  <c r="X360" i="2"/>
  <c r="AE360" i="2" s="1"/>
  <c r="AF360" i="2" s="1"/>
  <c r="T360" i="2"/>
  <c r="S360" i="2"/>
  <c r="R360" i="2"/>
  <c r="O360" i="2"/>
  <c r="L360" i="2"/>
  <c r="A360" i="2"/>
  <c r="AE359" i="2"/>
  <c r="AF359" i="2" s="1"/>
  <c r="X359" i="2"/>
  <c r="L359" i="2" s="1"/>
  <c r="T359" i="2"/>
  <c r="A359" i="2" s="1"/>
  <c r="R359" i="2"/>
  <c r="O359" i="2"/>
  <c r="S359" i="2" s="1"/>
  <c r="X358" i="2"/>
  <c r="L358" i="2" s="1"/>
  <c r="T358" i="2"/>
  <c r="AE358" i="2" s="1"/>
  <c r="AF358" i="2" s="1"/>
  <c r="R358" i="2"/>
  <c r="O358" i="2"/>
  <c r="S358" i="2" s="1"/>
  <c r="X357" i="2"/>
  <c r="AE357" i="2" s="1"/>
  <c r="AF357" i="2" s="1"/>
  <c r="T357" i="2"/>
  <c r="S357" i="2"/>
  <c r="R357" i="2"/>
  <c r="O357" i="2"/>
  <c r="A357" i="2"/>
  <c r="X356" i="2"/>
  <c r="T356" i="2"/>
  <c r="A356" i="2" s="1"/>
  <c r="R356" i="2"/>
  <c r="O356" i="2"/>
  <c r="S356" i="2" s="1"/>
  <c r="L356" i="2"/>
  <c r="R355" i="2"/>
  <c r="O355" i="2"/>
  <c r="S355" i="2" s="1"/>
  <c r="S354" i="2"/>
  <c r="X354" i="2" s="1"/>
  <c r="R354" i="2"/>
  <c r="O354" i="2"/>
  <c r="R353" i="2"/>
  <c r="O353" i="2"/>
  <c r="S353" i="2" s="1"/>
  <c r="G352" i="2"/>
  <c r="F352" i="2"/>
  <c r="E352" i="2"/>
  <c r="D352" i="2"/>
  <c r="AB351" i="2"/>
  <c r="Z351" i="2"/>
  <c r="V351" i="2"/>
  <c r="U351" i="2"/>
  <c r="T351" i="2"/>
  <c r="S351" i="2"/>
  <c r="P351" i="2"/>
  <c r="O351" i="2"/>
  <c r="N351" i="2"/>
  <c r="M351" i="2"/>
  <c r="L351" i="2"/>
  <c r="K351" i="2"/>
  <c r="J351" i="2"/>
  <c r="I351" i="2"/>
  <c r="D351" i="2"/>
  <c r="C351" i="2"/>
  <c r="B351" i="2"/>
  <c r="AB350" i="2"/>
  <c r="Z350" i="2"/>
  <c r="U350" i="2"/>
  <c r="R350" i="2"/>
  <c r="P348" i="2"/>
  <c r="C348" i="2"/>
  <c r="P347" i="2"/>
  <c r="P346" i="2"/>
  <c r="C346" i="2"/>
  <c r="X345" i="2"/>
  <c r="T345" i="2"/>
  <c r="A345" i="2" s="1"/>
  <c r="R345" i="2"/>
  <c r="O345" i="2"/>
  <c r="S345" i="2" s="1"/>
  <c r="L345" i="2"/>
  <c r="X344" i="2"/>
  <c r="T344" i="2"/>
  <c r="R344" i="2"/>
  <c r="O344" i="2"/>
  <c r="S344" i="2" s="1"/>
  <c r="L344" i="2"/>
  <c r="A344" i="2"/>
  <c r="X343" i="2"/>
  <c r="T343" i="2"/>
  <c r="AE343" i="2" s="1"/>
  <c r="AF343" i="2" s="1"/>
  <c r="S343" i="2"/>
  <c r="R343" i="2"/>
  <c r="O343" i="2"/>
  <c r="L343" i="2"/>
  <c r="AE342" i="2"/>
  <c r="AF342" i="2" s="1"/>
  <c r="X342" i="2"/>
  <c r="T342" i="2"/>
  <c r="A342" i="2" s="1"/>
  <c r="R342" i="2"/>
  <c r="O342" i="2"/>
  <c r="S342" i="2" s="1"/>
  <c r="L342" i="2"/>
  <c r="X341" i="2"/>
  <c r="L341" i="2" s="1"/>
  <c r="T341" i="2"/>
  <c r="A341" i="2" s="1"/>
  <c r="R341" i="2"/>
  <c r="O341" i="2"/>
  <c r="S341" i="2" s="1"/>
  <c r="X340" i="2"/>
  <c r="T340" i="2"/>
  <c r="S340" i="2"/>
  <c r="R340" i="2"/>
  <c r="O340" i="2"/>
  <c r="L340" i="2"/>
  <c r="AE339" i="2"/>
  <c r="AF339" i="2" s="1"/>
  <c r="X339" i="2"/>
  <c r="T339" i="2"/>
  <c r="A339" i="2" s="1"/>
  <c r="R339" i="2"/>
  <c r="O339" i="2"/>
  <c r="S339" i="2" s="1"/>
  <c r="L339" i="2"/>
  <c r="R338" i="2"/>
  <c r="O338" i="2"/>
  <c r="S338" i="2" s="1"/>
  <c r="R337" i="2"/>
  <c r="O337" i="2"/>
  <c r="S337" i="2" s="1"/>
  <c r="R336" i="2"/>
  <c r="O336" i="2"/>
  <c r="S336" i="2" s="1"/>
  <c r="G335" i="2"/>
  <c r="F335" i="2"/>
  <c r="E335" i="2"/>
  <c r="D335" i="2"/>
  <c r="AB334" i="2"/>
  <c r="Z334" i="2"/>
  <c r="V334" i="2"/>
  <c r="U334" i="2"/>
  <c r="T334" i="2"/>
  <c r="S334" i="2"/>
  <c r="P334" i="2"/>
  <c r="O334" i="2"/>
  <c r="N334" i="2"/>
  <c r="M334" i="2"/>
  <c r="L334" i="2"/>
  <c r="K334" i="2"/>
  <c r="J334" i="2"/>
  <c r="I334" i="2"/>
  <c r="D334" i="2"/>
  <c r="C334" i="2"/>
  <c r="B334" i="2"/>
  <c r="AB333" i="2"/>
  <c r="Z333" i="2"/>
  <c r="U333" i="2"/>
  <c r="R333" i="2"/>
  <c r="P331" i="2"/>
  <c r="C331" i="2"/>
  <c r="P330" i="2"/>
  <c r="P329" i="2"/>
  <c r="C329" i="2"/>
  <c r="AE328" i="2"/>
  <c r="AF328" i="2" s="1"/>
  <c r="X328" i="2"/>
  <c r="T328" i="2"/>
  <c r="R328" i="2"/>
  <c r="O328" i="2"/>
  <c r="S328" i="2" s="1"/>
  <c r="L328" i="2"/>
  <c r="A328" i="2"/>
  <c r="X327" i="2"/>
  <c r="L327" i="2" s="1"/>
  <c r="T327" i="2"/>
  <c r="AE327" i="2" s="1"/>
  <c r="AF327" i="2" s="1"/>
  <c r="S327" i="2"/>
  <c r="R327" i="2"/>
  <c r="O327" i="2"/>
  <c r="AF326" i="2"/>
  <c r="AE326" i="2"/>
  <c r="X326" i="2"/>
  <c r="T326" i="2"/>
  <c r="R326" i="2"/>
  <c r="O326" i="2"/>
  <c r="S326" i="2" s="1"/>
  <c r="L326" i="2"/>
  <c r="A326" i="2"/>
  <c r="X325" i="2"/>
  <c r="L325" i="2" s="1"/>
  <c r="T325" i="2"/>
  <c r="AE325" i="2" s="1"/>
  <c r="AF325" i="2" s="1"/>
  <c r="S325" i="2"/>
  <c r="R325" i="2"/>
  <c r="O325" i="2"/>
  <c r="A325" i="2"/>
  <c r="AE324" i="2"/>
  <c r="AF324" i="2" s="1"/>
  <c r="X324" i="2"/>
  <c r="L324" i="2" s="1"/>
  <c r="T324" i="2"/>
  <c r="R324" i="2"/>
  <c r="O324" i="2"/>
  <c r="S324" i="2" s="1"/>
  <c r="A324" i="2"/>
  <c r="X323" i="2"/>
  <c r="L323" i="2" s="1"/>
  <c r="T323" i="2"/>
  <c r="S323" i="2"/>
  <c r="R323" i="2"/>
  <c r="O323" i="2"/>
  <c r="A323" i="2"/>
  <c r="AE322" i="2"/>
  <c r="AF322" i="2" s="1"/>
  <c r="X322" i="2"/>
  <c r="T322" i="2"/>
  <c r="R322" i="2"/>
  <c r="O322" i="2"/>
  <c r="S322" i="2" s="1"/>
  <c r="L322" i="2"/>
  <c r="A322" i="2"/>
  <c r="R321" i="2"/>
  <c r="O321" i="2"/>
  <c r="S321" i="2" s="1"/>
  <c r="R320" i="2"/>
  <c r="O320" i="2"/>
  <c r="S320" i="2" s="1"/>
  <c r="S319" i="2"/>
  <c r="X319" i="2" s="1"/>
  <c r="L319" i="2" s="1"/>
  <c r="R319" i="2"/>
  <c r="O319" i="2"/>
  <c r="G318" i="2"/>
  <c r="F318" i="2"/>
  <c r="E318" i="2"/>
  <c r="D318" i="2"/>
  <c r="AB317" i="2"/>
  <c r="Z317" i="2"/>
  <c r="V317" i="2"/>
  <c r="U317" i="2"/>
  <c r="T317" i="2"/>
  <c r="S317" i="2"/>
  <c r="P317" i="2"/>
  <c r="O317" i="2"/>
  <c r="N317" i="2"/>
  <c r="M317" i="2"/>
  <c r="L317" i="2"/>
  <c r="K317" i="2"/>
  <c r="J317" i="2"/>
  <c r="I317" i="2"/>
  <c r="D317" i="2"/>
  <c r="C317" i="2"/>
  <c r="B317" i="2"/>
  <c r="AB316" i="2"/>
  <c r="Z316" i="2"/>
  <c r="U316" i="2"/>
  <c r="R316" i="2"/>
  <c r="P314" i="2"/>
  <c r="C314" i="2"/>
  <c r="P313" i="2"/>
  <c r="P312" i="2"/>
  <c r="C312" i="2"/>
  <c r="AE311" i="2"/>
  <c r="AF311" i="2" s="1"/>
  <c r="X311" i="2"/>
  <c r="T311" i="2"/>
  <c r="A311" i="2" s="1"/>
  <c r="R311" i="2"/>
  <c r="O311" i="2"/>
  <c r="S311" i="2" s="1"/>
  <c r="L311" i="2"/>
  <c r="X310" i="2"/>
  <c r="L310" i="2" s="1"/>
  <c r="T310" i="2"/>
  <c r="AE310" i="2" s="1"/>
  <c r="AF310" i="2" s="1"/>
  <c r="R310" i="2"/>
  <c r="O310" i="2"/>
  <c r="S310" i="2" s="1"/>
  <c r="AF309" i="2"/>
  <c r="X309" i="2"/>
  <c r="T309" i="2"/>
  <c r="AE309" i="2" s="1"/>
  <c r="S309" i="2"/>
  <c r="R309" i="2"/>
  <c r="O309" i="2"/>
  <c r="L309" i="2"/>
  <c r="A309" i="2"/>
  <c r="X308" i="2"/>
  <c r="T308" i="2"/>
  <c r="A308" i="2" s="1"/>
  <c r="R308" i="2"/>
  <c r="O308" i="2"/>
  <c r="S308" i="2" s="1"/>
  <c r="L308" i="2"/>
  <c r="AE307" i="2"/>
  <c r="AF307" i="2" s="1"/>
  <c r="X307" i="2"/>
  <c r="T307" i="2"/>
  <c r="A307" i="2" s="1"/>
  <c r="R307" i="2"/>
  <c r="O307" i="2"/>
  <c r="S307" i="2" s="1"/>
  <c r="L307" i="2"/>
  <c r="X306" i="2"/>
  <c r="L306" i="2" s="1"/>
  <c r="T306" i="2"/>
  <c r="S306" i="2"/>
  <c r="R306" i="2"/>
  <c r="O306" i="2"/>
  <c r="A306" i="2"/>
  <c r="AE305" i="2"/>
  <c r="AF305" i="2" s="1"/>
  <c r="X305" i="2"/>
  <c r="T305" i="2"/>
  <c r="A305" i="2" s="1"/>
  <c r="R305" i="2"/>
  <c r="O305" i="2"/>
  <c r="S305" i="2" s="1"/>
  <c r="L305" i="2"/>
  <c r="R304" i="2"/>
  <c r="O304" i="2"/>
  <c r="S304" i="2" s="1"/>
  <c r="S303" i="2"/>
  <c r="X303" i="2" s="1"/>
  <c r="L303" i="2" s="1"/>
  <c r="O303" i="2"/>
  <c r="R302" i="2"/>
  <c r="O302" i="2"/>
  <c r="S302" i="2" s="1"/>
  <c r="G301" i="2"/>
  <c r="F301" i="2"/>
  <c r="E301" i="2"/>
  <c r="D301" i="2"/>
  <c r="AB300" i="2"/>
  <c r="Z300" i="2"/>
  <c r="V300" i="2"/>
  <c r="U300" i="2"/>
  <c r="T300" i="2"/>
  <c r="S300" i="2"/>
  <c r="P300" i="2"/>
  <c r="O300" i="2"/>
  <c r="N300" i="2"/>
  <c r="M300" i="2"/>
  <c r="L300" i="2"/>
  <c r="K300" i="2"/>
  <c r="J300" i="2"/>
  <c r="I300" i="2"/>
  <c r="D300" i="2"/>
  <c r="C300" i="2"/>
  <c r="B300" i="2"/>
  <c r="AB299" i="2"/>
  <c r="Z299" i="2"/>
  <c r="U299" i="2"/>
  <c r="R299" i="2"/>
  <c r="P297" i="2"/>
  <c r="C297" i="2"/>
  <c r="P296" i="2"/>
  <c r="P295" i="2"/>
  <c r="C295" i="2"/>
  <c r="X294" i="2"/>
  <c r="L294" i="2" s="1"/>
  <c r="T294" i="2"/>
  <c r="S294" i="2"/>
  <c r="R294" i="2"/>
  <c r="O294" i="2"/>
  <c r="A294" i="2"/>
  <c r="AE293" i="2"/>
  <c r="AF293" i="2" s="1"/>
  <c r="X293" i="2"/>
  <c r="T293" i="2"/>
  <c r="A293" i="2" s="1"/>
  <c r="R293" i="2"/>
  <c r="O293" i="2"/>
  <c r="S293" i="2" s="1"/>
  <c r="L293" i="2"/>
  <c r="X292" i="2"/>
  <c r="L292" i="2" s="1"/>
  <c r="T292" i="2"/>
  <c r="A292" i="2" s="1"/>
  <c r="R292" i="2"/>
  <c r="O292" i="2"/>
  <c r="S292" i="2" s="1"/>
  <c r="X291" i="2"/>
  <c r="T291" i="2"/>
  <c r="S291" i="2"/>
  <c r="R291" i="2"/>
  <c r="O291" i="2"/>
  <c r="L291" i="2"/>
  <c r="A291" i="2"/>
  <c r="X290" i="2"/>
  <c r="T290" i="2"/>
  <c r="AE290" i="2" s="1"/>
  <c r="AF290" i="2" s="1"/>
  <c r="R290" i="2"/>
  <c r="O290" i="2"/>
  <c r="S290" i="2" s="1"/>
  <c r="L290" i="2"/>
  <c r="X289" i="2"/>
  <c r="L289" i="2" s="1"/>
  <c r="T289" i="2"/>
  <c r="A289" i="2" s="1"/>
  <c r="R289" i="2"/>
  <c r="O289" i="2"/>
  <c r="S289" i="2" s="1"/>
  <c r="X288" i="2"/>
  <c r="L288" i="2" s="1"/>
  <c r="T288" i="2"/>
  <c r="R288" i="2"/>
  <c r="O288" i="2"/>
  <c r="S288" i="2" s="1"/>
  <c r="A288" i="2"/>
  <c r="R287" i="2"/>
  <c r="O287" i="2"/>
  <c r="S287" i="2" s="1"/>
  <c r="R286" i="2"/>
  <c r="O286" i="2"/>
  <c r="S286" i="2" s="1"/>
  <c r="R285" i="2"/>
  <c r="O285" i="2"/>
  <c r="S285" i="2" s="1"/>
  <c r="G284" i="2"/>
  <c r="F284" i="2"/>
  <c r="E284" i="2"/>
  <c r="D284" i="2"/>
  <c r="AB283" i="2"/>
  <c r="Z283" i="2"/>
  <c r="V283" i="2"/>
  <c r="U283" i="2"/>
  <c r="T283" i="2"/>
  <c r="S283" i="2"/>
  <c r="P283" i="2"/>
  <c r="O283" i="2"/>
  <c r="N283" i="2"/>
  <c r="M283" i="2"/>
  <c r="L283" i="2"/>
  <c r="K283" i="2"/>
  <c r="J283" i="2"/>
  <c r="I283" i="2"/>
  <c r="D283" i="2"/>
  <c r="C283" i="2"/>
  <c r="B283" i="2"/>
  <c r="AB282" i="2"/>
  <c r="Z282" i="2"/>
  <c r="U282" i="2"/>
  <c r="R282" i="2"/>
  <c r="P280" i="2"/>
  <c r="C280" i="2"/>
  <c r="P279" i="2"/>
  <c r="P278" i="2"/>
  <c r="C278" i="2"/>
  <c r="X277" i="2"/>
  <c r="L277" i="2" s="1"/>
  <c r="T277" i="2"/>
  <c r="A277" i="2" s="1"/>
  <c r="S277" i="2"/>
  <c r="R277" i="2"/>
  <c r="O277" i="2"/>
  <c r="AF276" i="2"/>
  <c r="AE276" i="2"/>
  <c r="X276" i="2"/>
  <c r="T276" i="2"/>
  <c r="R276" i="2"/>
  <c r="O276" i="2"/>
  <c r="S276" i="2" s="1"/>
  <c r="L276" i="2"/>
  <c r="A276" i="2"/>
  <c r="X275" i="2"/>
  <c r="T275" i="2"/>
  <c r="A275" i="2" s="1"/>
  <c r="R275" i="2"/>
  <c r="O275" i="2"/>
  <c r="S275" i="2" s="1"/>
  <c r="L275" i="2"/>
  <c r="X274" i="2"/>
  <c r="L274" i="2" s="1"/>
  <c r="T274" i="2"/>
  <c r="A274" i="2" s="1"/>
  <c r="S274" i="2"/>
  <c r="R274" i="2"/>
  <c r="O274" i="2"/>
  <c r="AF273" i="2"/>
  <c r="AE273" i="2"/>
  <c r="X273" i="2"/>
  <c r="T273" i="2"/>
  <c r="R273" i="2"/>
  <c r="O273" i="2"/>
  <c r="S273" i="2" s="1"/>
  <c r="L273" i="2"/>
  <c r="A273" i="2"/>
  <c r="R272" i="2"/>
  <c r="O272" i="2"/>
  <c r="R271" i="2"/>
  <c r="S271" i="2" s="1"/>
  <c r="O271" i="2"/>
  <c r="R270" i="2"/>
  <c r="S270" i="2" s="1"/>
  <c r="O270" i="2"/>
  <c r="R269" i="2"/>
  <c r="S269" i="2" s="1"/>
  <c r="O269" i="2"/>
  <c r="R268" i="2"/>
  <c r="S268" i="2" s="1"/>
  <c r="O268" i="2"/>
  <c r="G267" i="2"/>
  <c r="F267" i="2"/>
  <c r="E267" i="2"/>
  <c r="D267" i="2"/>
  <c r="AB266" i="2"/>
  <c r="Z266" i="2"/>
  <c r="V266" i="2"/>
  <c r="U266" i="2"/>
  <c r="T266" i="2"/>
  <c r="S266" i="2"/>
  <c r="P266" i="2"/>
  <c r="O266" i="2"/>
  <c r="N266" i="2"/>
  <c r="M266" i="2"/>
  <c r="L266" i="2"/>
  <c r="K266" i="2"/>
  <c r="J266" i="2"/>
  <c r="I266" i="2"/>
  <c r="D266" i="2"/>
  <c r="C266" i="2"/>
  <c r="B266" i="2"/>
  <c r="AB265" i="2"/>
  <c r="Z265" i="2"/>
  <c r="U265" i="2"/>
  <c r="R265" i="2"/>
  <c r="P263" i="2"/>
  <c r="C263" i="2"/>
  <c r="P262" i="2"/>
  <c r="P261" i="2"/>
  <c r="C261" i="2"/>
  <c r="X260" i="2"/>
  <c r="T260" i="2"/>
  <c r="R260" i="2"/>
  <c r="O260" i="2"/>
  <c r="S260" i="2" s="1"/>
  <c r="A260" i="2"/>
  <c r="X259" i="2"/>
  <c r="L259" i="2" s="1"/>
  <c r="T259" i="2"/>
  <c r="AE259" i="2" s="1"/>
  <c r="AF259" i="2" s="1"/>
  <c r="S259" i="2"/>
  <c r="R259" i="2"/>
  <c r="O259" i="2"/>
  <c r="A259" i="2"/>
  <c r="AE258" i="2"/>
  <c r="AF258" i="2" s="1"/>
  <c r="X258" i="2"/>
  <c r="T258" i="2"/>
  <c r="A258" i="2" s="1"/>
  <c r="R258" i="2"/>
  <c r="O258" i="2"/>
  <c r="S258" i="2" s="1"/>
  <c r="L258" i="2"/>
  <c r="AE257" i="2"/>
  <c r="AF257" i="2" s="1"/>
  <c r="X257" i="2"/>
  <c r="L257" i="2" s="1"/>
  <c r="T257" i="2"/>
  <c r="R257" i="2"/>
  <c r="O257" i="2"/>
  <c r="S257" i="2" s="1"/>
  <c r="A257" i="2"/>
  <c r="X256" i="2"/>
  <c r="L256" i="2" s="1"/>
  <c r="T256" i="2"/>
  <c r="S256" i="2"/>
  <c r="R256" i="2"/>
  <c r="O256" i="2"/>
  <c r="A256" i="2"/>
  <c r="AE255" i="2"/>
  <c r="AF255" i="2" s="1"/>
  <c r="X255" i="2"/>
  <c r="T255" i="2"/>
  <c r="A255" i="2" s="1"/>
  <c r="S255" i="2"/>
  <c r="R255" i="2"/>
  <c r="O255" i="2"/>
  <c r="L255" i="2"/>
  <c r="X254" i="2"/>
  <c r="T254" i="2"/>
  <c r="R254" i="2"/>
  <c r="O254" i="2"/>
  <c r="S254" i="2" s="1"/>
  <c r="A254" i="2"/>
  <c r="R253" i="2"/>
  <c r="O253" i="2"/>
  <c r="S253" i="2" s="1"/>
  <c r="R252" i="2"/>
  <c r="O252" i="2"/>
  <c r="S252" i="2" s="1"/>
  <c r="R251" i="2"/>
  <c r="O251" i="2"/>
  <c r="S251" i="2" s="1"/>
  <c r="G250" i="2"/>
  <c r="F250" i="2"/>
  <c r="E250" i="2"/>
  <c r="D250" i="2"/>
  <c r="AB249" i="2"/>
  <c r="Z249" i="2"/>
  <c r="V249" i="2"/>
  <c r="U249" i="2"/>
  <c r="T249" i="2"/>
  <c r="S249" i="2"/>
  <c r="P249" i="2"/>
  <c r="O249" i="2"/>
  <c r="N249" i="2"/>
  <c r="M249" i="2"/>
  <c r="L249" i="2"/>
  <c r="K249" i="2"/>
  <c r="J249" i="2"/>
  <c r="I249" i="2"/>
  <c r="D249" i="2"/>
  <c r="C249" i="2"/>
  <c r="B249" i="2"/>
  <c r="AB248" i="2"/>
  <c r="Z248" i="2"/>
  <c r="U248" i="2"/>
  <c r="R248" i="2"/>
  <c r="P246" i="2"/>
  <c r="C246" i="2"/>
  <c r="P245" i="2"/>
  <c r="P244" i="2"/>
  <c r="C244" i="2"/>
  <c r="X243" i="2"/>
  <c r="L243" i="2" s="1"/>
  <c r="T243" i="2"/>
  <c r="S243" i="2"/>
  <c r="R243" i="2"/>
  <c r="O243" i="2"/>
  <c r="AF242" i="2"/>
  <c r="AE242" i="2"/>
  <c r="X242" i="2"/>
  <c r="T242" i="2"/>
  <c r="R242" i="2"/>
  <c r="O242" i="2"/>
  <c r="S242" i="2" s="1"/>
  <c r="L242" i="2"/>
  <c r="A242" i="2"/>
  <c r="X241" i="2"/>
  <c r="T241" i="2"/>
  <c r="R241" i="2"/>
  <c r="O241" i="2"/>
  <c r="S241" i="2" s="1"/>
  <c r="L241" i="2"/>
  <c r="X240" i="2"/>
  <c r="L240" i="2" s="1"/>
  <c r="T240" i="2"/>
  <c r="A240" i="2" s="1"/>
  <c r="S240" i="2"/>
  <c r="R240" i="2"/>
  <c r="O240" i="2"/>
  <c r="AF239" i="2"/>
  <c r="AE239" i="2"/>
  <c r="X239" i="2"/>
  <c r="T239" i="2"/>
  <c r="R239" i="2"/>
  <c r="O239" i="2"/>
  <c r="S239" i="2" s="1"/>
  <c r="L239" i="2"/>
  <c r="A239" i="2"/>
  <c r="X238" i="2"/>
  <c r="T238" i="2"/>
  <c r="AE238" i="2" s="1"/>
  <c r="AF238" i="2" s="1"/>
  <c r="R238" i="2"/>
  <c r="O238" i="2"/>
  <c r="S238" i="2" s="1"/>
  <c r="L238" i="2"/>
  <c r="A238" i="2"/>
  <c r="X237" i="2"/>
  <c r="L237" i="2" s="1"/>
  <c r="T237" i="2"/>
  <c r="S237" i="2"/>
  <c r="R237" i="2"/>
  <c r="O237" i="2"/>
  <c r="X236" i="2"/>
  <c r="L236" i="2" s="1"/>
  <c r="R236" i="2"/>
  <c r="S236" i="2" s="1"/>
  <c r="O236" i="2"/>
  <c r="X235" i="2"/>
  <c r="L235" i="2" s="1"/>
  <c r="R235" i="2"/>
  <c r="S235" i="2" s="1"/>
  <c r="T235" i="2" s="1"/>
  <c r="O235" i="2"/>
  <c r="X234" i="2"/>
  <c r="L234" i="2" s="1"/>
  <c r="T234" i="2"/>
  <c r="R234" i="2"/>
  <c r="S234" i="2" s="1"/>
  <c r="O234" i="2"/>
  <c r="G233" i="2"/>
  <c r="F233" i="2"/>
  <c r="E233" i="2"/>
  <c r="D233" i="2"/>
  <c r="AB232" i="2"/>
  <c r="Z232" i="2"/>
  <c r="V232" i="2"/>
  <c r="U232" i="2"/>
  <c r="T232" i="2"/>
  <c r="S232" i="2"/>
  <c r="P232" i="2"/>
  <c r="O232" i="2"/>
  <c r="N232" i="2"/>
  <c r="M232" i="2"/>
  <c r="L232" i="2"/>
  <c r="K232" i="2"/>
  <c r="J232" i="2"/>
  <c r="I232" i="2"/>
  <c r="D232" i="2"/>
  <c r="C232" i="2"/>
  <c r="B232" i="2"/>
  <c r="AB231" i="2"/>
  <c r="Z231" i="2"/>
  <c r="U231" i="2"/>
  <c r="R231" i="2"/>
  <c r="P229" i="2"/>
  <c r="C229" i="2"/>
  <c r="P228" i="2"/>
  <c r="P227" i="2"/>
  <c r="C227" i="2"/>
  <c r="X226" i="2"/>
  <c r="AE226" i="2" s="1"/>
  <c r="AF226" i="2" s="1"/>
  <c r="T226" i="2"/>
  <c r="R226" i="2"/>
  <c r="O226" i="2"/>
  <c r="S226" i="2" s="1"/>
  <c r="A226" i="2"/>
  <c r="X225" i="2"/>
  <c r="T225" i="2"/>
  <c r="S225" i="2"/>
  <c r="R225" i="2"/>
  <c r="O225" i="2"/>
  <c r="L225" i="2"/>
  <c r="A225" i="2"/>
  <c r="X224" i="2"/>
  <c r="T224" i="2"/>
  <c r="A224" i="2" s="1"/>
  <c r="S224" i="2"/>
  <c r="R224" i="2"/>
  <c r="O224" i="2"/>
  <c r="L224" i="2"/>
  <c r="X223" i="2"/>
  <c r="AE223" i="2" s="1"/>
  <c r="AF223" i="2" s="1"/>
  <c r="T223" i="2"/>
  <c r="R223" i="2"/>
  <c r="O223" i="2"/>
  <c r="S223" i="2" s="1"/>
  <c r="A223" i="2"/>
  <c r="X222" i="2"/>
  <c r="T222" i="2"/>
  <c r="AE222" i="2" s="1"/>
  <c r="AF222" i="2" s="1"/>
  <c r="S222" i="2"/>
  <c r="R222" i="2"/>
  <c r="O222" i="2"/>
  <c r="L222" i="2"/>
  <c r="X221" i="2"/>
  <c r="T221" i="2"/>
  <c r="A221" i="2" s="1"/>
  <c r="R221" i="2"/>
  <c r="O221" i="2"/>
  <c r="S221" i="2" s="1"/>
  <c r="L221" i="2"/>
  <c r="R220" i="2"/>
  <c r="O220" i="2"/>
  <c r="S220" i="2" s="1"/>
  <c r="S219" i="2"/>
  <c r="R219" i="2"/>
  <c r="O219" i="2"/>
  <c r="R218" i="2"/>
  <c r="O218" i="2"/>
  <c r="S218" i="2" s="1"/>
  <c r="R217" i="2"/>
  <c r="O217" i="2"/>
  <c r="S217" i="2" s="1"/>
  <c r="G216" i="2"/>
  <c r="F216" i="2"/>
  <c r="E216" i="2"/>
  <c r="D216" i="2"/>
  <c r="AB215" i="2"/>
  <c r="Z215" i="2"/>
  <c r="V215" i="2"/>
  <c r="U215" i="2"/>
  <c r="T215" i="2"/>
  <c r="S215" i="2"/>
  <c r="P215" i="2"/>
  <c r="O215" i="2"/>
  <c r="N215" i="2"/>
  <c r="M215" i="2"/>
  <c r="L215" i="2"/>
  <c r="K215" i="2"/>
  <c r="J215" i="2"/>
  <c r="I215" i="2"/>
  <c r="D215" i="2"/>
  <c r="C215" i="2"/>
  <c r="B215" i="2"/>
  <c r="AB214" i="2"/>
  <c r="Z214" i="2"/>
  <c r="U214" i="2"/>
  <c r="R214" i="2"/>
  <c r="P212" i="2"/>
  <c r="C212" i="2"/>
  <c r="P211" i="2"/>
  <c r="P210" i="2"/>
  <c r="C210" i="2"/>
  <c r="X209" i="2"/>
  <c r="L209" i="2" s="1"/>
  <c r="T209" i="2"/>
  <c r="AE209" i="2" s="1"/>
  <c r="AF209" i="2" s="1"/>
  <c r="S209" i="2"/>
  <c r="R209" i="2"/>
  <c r="O209" i="2"/>
  <c r="A209" i="2"/>
  <c r="AE208" i="2"/>
  <c r="AF208" i="2" s="1"/>
  <c r="X208" i="2"/>
  <c r="T208" i="2"/>
  <c r="A208" i="2" s="1"/>
  <c r="R208" i="2"/>
  <c r="O208" i="2"/>
  <c r="S208" i="2" s="1"/>
  <c r="L208" i="2"/>
  <c r="X207" i="2"/>
  <c r="T207" i="2"/>
  <c r="R207" i="2"/>
  <c r="O207" i="2"/>
  <c r="S207" i="2" s="1"/>
  <c r="A207" i="2"/>
  <c r="X206" i="2"/>
  <c r="T206" i="2"/>
  <c r="S206" i="2"/>
  <c r="R206" i="2"/>
  <c r="O206" i="2"/>
  <c r="L206" i="2"/>
  <c r="A206" i="2"/>
  <c r="AF205" i="2"/>
  <c r="AE205" i="2"/>
  <c r="X205" i="2"/>
  <c r="T205" i="2"/>
  <c r="A205" i="2" s="1"/>
  <c r="S205" i="2"/>
  <c r="R205" i="2"/>
  <c r="O205" i="2"/>
  <c r="L205" i="2"/>
  <c r="X204" i="2"/>
  <c r="AE204" i="2" s="1"/>
  <c r="AF204" i="2" s="1"/>
  <c r="T204" i="2"/>
  <c r="R204" i="2"/>
  <c r="O204" i="2"/>
  <c r="S204" i="2" s="1"/>
  <c r="A204" i="2"/>
  <c r="X203" i="2"/>
  <c r="T203" i="2"/>
  <c r="S203" i="2"/>
  <c r="R203" i="2"/>
  <c r="O203" i="2"/>
  <c r="L203" i="2"/>
  <c r="A203" i="2"/>
  <c r="X202" i="2"/>
  <c r="L202" i="2" s="1"/>
  <c r="T202" i="2" s="1"/>
  <c r="AE202" i="2" s="1"/>
  <c r="AF202" i="2" s="1"/>
  <c r="S202" i="2"/>
  <c r="R202" i="2"/>
  <c r="O202" i="2"/>
  <c r="S201" i="2"/>
  <c r="X201" i="2" s="1"/>
  <c r="L201" i="2" s="1"/>
  <c r="R201" i="2"/>
  <c r="O201" i="2"/>
  <c r="X200" i="2"/>
  <c r="S200" i="2"/>
  <c r="T200" i="2" s="1"/>
  <c r="R200" i="2"/>
  <c r="O200" i="2"/>
  <c r="L200" i="2"/>
  <c r="G199" i="2"/>
  <c r="F199" i="2"/>
  <c r="E199" i="2"/>
  <c r="D199" i="2"/>
  <c r="AB198" i="2"/>
  <c r="Z198" i="2"/>
  <c r="V198" i="2"/>
  <c r="U198" i="2"/>
  <c r="T198" i="2"/>
  <c r="S198" i="2"/>
  <c r="P198" i="2"/>
  <c r="O198" i="2"/>
  <c r="N198" i="2"/>
  <c r="M198" i="2"/>
  <c r="L198" i="2"/>
  <c r="K198" i="2"/>
  <c r="J198" i="2"/>
  <c r="I198" i="2"/>
  <c r="D198" i="2"/>
  <c r="C198" i="2"/>
  <c r="B198" i="2"/>
  <c r="AB197" i="2"/>
  <c r="Z197" i="2"/>
  <c r="U197" i="2"/>
  <c r="R197" i="2"/>
  <c r="P195" i="2"/>
  <c r="C195" i="2"/>
  <c r="P194" i="2"/>
  <c r="P193" i="2"/>
  <c r="C193" i="2"/>
  <c r="AE192" i="2"/>
  <c r="AF192" i="2" s="1"/>
  <c r="X192" i="2"/>
  <c r="T192" i="2"/>
  <c r="R192" i="2"/>
  <c r="O192" i="2"/>
  <c r="S192" i="2" s="1"/>
  <c r="L192" i="2"/>
  <c r="A192" i="2"/>
  <c r="X191" i="2"/>
  <c r="L191" i="2" s="1"/>
  <c r="T191" i="2"/>
  <c r="A191" i="2" s="1"/>
  <c r="R191" i="2"/>
  <c r="O191" i="2"/>
  <c r="S191" i="2" s="1"/>
  <c r="AF190" i="2"/>
  <c r="X190" i="2"/>
  <c r="L190" i="2" s="1"/>
  <c r="T190" i="2"/>
  <c r="AE190" i="2" s="1"/>
  <c r="S190" i="2"/>
  <c r="R190" i="2"/>
  <c r="O190" i="2"/>
  <c r="AF189" i="2"/>
  <c r="AE189" i="2"/>
  <c r="X189" i="2"/>
  <c r="T189" i="2"/>
  <c r="S189" i="2"/>
  <c r="R189" i="2"/>
  <c r="O189" i="2"/>
  <c r="L189" i="2"/>
  <c r="A189" i="2"/>
  <c r="X188" i="2"/>
  <c r="L188" i="2" s="1"/>
  <c r="T188" i="2"/>
  <c r="AE188" i="2" s="1"/>
  <c r="AF188" i="2" s="1"/>
  <c r="R188" i="2"/>
  <c r="O188" i="2"/>
  <c r="S188" i="2" s="1"/>
  <c r="A188" i="2"/>
  <c r="X187" i="2"/>
  <c r="L187" i="2" s="1"/>
  <c r="T187" i="2"/>
  <c r="S187" i="2"/>
  <c r="R187" i="2"/>
  <c r="O187" i="2"/>
  <c r="A187" i="2"/>
  <c r="AF186" i="2"/>
  <c r="AE186" i="2"/>
  <c r="X186" i="2"/>
  <c r="T186" i="2"/>
  <c r="S186" i="2"/>
  <c r="R186" i="2"/>
  <c r="O186" i="2"/>
  <c r="L186" i="2"/>
  <c r="A186" i="2"/>
  <c r="R185" i="2"/>
  <c r="O185" i="2"/>
  <c r="S185" i="2" s="1"/>
  <c r="AE184" i="2"/>
  <c r="AF184" i="2" s="1"/>
  <c r="X184" i="2"/>
  <c r="T184" i="2"/>
  <c r="R184" i="2"/>
  <c r="O184" i="2"/>
  <c r="S184" i="2" s="1"/>
  <c r="L184" i="2"/>
  <c r="A184" i="2"/>
  <c r="R183" i="2"/>
  <c r="S183" i="2" s="1"/>
  <c r="O183" i="2"/>
  <c r="G182" i="2"/>
  <c r="F182" i="2"/>
  <c r="E182" i="2"/>
  <c r="D182" i="2"/>
  <c r="AB181" i="2"/>
  <c r="Z181" i="2"/>
  <c r="V181" i="2"/>
  <c r="U181" i="2"/>
  <c r="T181" i="2"/>
  <c r="S181" i="2"/>
  <c r="P181" i="2"/>
  <c r="O181" i="2"/>
  <c r="N181" i="2"/>
  <c r="M181" i="2"/>
  <c r="L181" i="2"/>
  <c r="K181" i="2"/>
  <c r="J181" i="2"/>
  <c r="I181" i="2"/>
  <c r="D181" i="2"/>
  <c r="C181" i="2"/>
  <c r="B181" i="2"/>
  <c r="AB180" i="2"/>
  <c r="Z180" i="2"/>
  <c r="U180" i="2"/>
  <c r="R180" i="2"/>
  <c r="P178" i="2"/>
  <c r="C178" i="2"/>
  <c r="P177" i="2"/>
  <c r="P176" i="2"/>
  <c r="C176" i="2"/>
  <c r="X175" i="2"/>
  <c r="L175" i="2" s="1"/>
  <c r="T175" i="2"/>
  <c r="S175" i="2"/>
  <c r="R175" i="2"/>
  <c r="O175" i="2"/>
  <c r="A175" i="2"/>
  <c r="AF174" i="2"/>
  <c r="AE174" i="2"/>
  <c r="X174" i="2"/>
  <c r="T174" i="2"/>
  <c r="A174" i="2" s="1"/>
  <c r="S174" i="2"/>
  <c r="R174" i="2"/>
  <c r="O174" i="2"/>
  <c r="L174" i="2"/>
  <c r="X173" i="2"/>
  <c r="L173" i="2" s="1"/>
  <c r="T173" i="2"/>
  <c r="AE173" i="2" s="1"/>
  <c r="AF173" i="2" s="1"/>
  <c r="R173" i="2"/>
  <c r="O173" i="2"/>
  <c r="S173" i="2" s="1"/>
  <c r="A173" i="2"/>
  <c r="AF172" i="2"/>
  <c r="X172" i="2"/>
  <c r="T172" i="2"/>
  <c r="AE172" i="2" s="1"/>
  <c r="S172" i="2"/>
  <c r="R172" i="2"/>
  <c r="O172" i="2"/>
  <c r="L172" i="2"/>
  <c r="X171" i="2"/>
  <c r="T171" i="2"/>
  <c r="A171" i="2" s="1"/>
  <c r="S171" i="2"/>
  <c r="R171" i="2"/>
  <c r="O171" i="2"/>
  <c r="L171" i="2"/>
  <c r="AF170" i="2"/>
  <c r="X170" i="2"/>
  <c r="AE170" i="2" s="1"/>
  <c r="T170" i="2"/>
  <c r="R170" i="2"/>
  <c r="O170" i="2"/>
  <c r="S170" i="2" s="1"/>
  <c r="L170" i="2"/>
  <c r="A170" i="2"/>
  <c r="X169" i="2"/>
  <c r="L169" i="2" s="1"/>
  <c r="T169" i="2"/>
  <c r="AE169" i="2" s="1"/>
  <c r="AF169" i="2" s="1"/>
  <c r="S169" i="2"/>
  <c r="R169" i="2"/>
  <c r="O169" i="2"/>
  <c r="A169" i="2"/>
  <c r="X168" i="2"/>
  <c r="L168" i="2" s="1"/>
  <c r="T168" i="2" s="1"/>
  <c r="S168" i="2"/>
  <c r="R168" i="2"/>
  <c r="O168" i="2"/>
  <c r="R167" i="2"/>
  <c r="O167" i="2"/>
  <c r="S167" i="2" s="1"/>
  <c r="X167" i="2" s="1"/>
  <c r="L167" i="2" s="1"/>
  <c r="R166" i="2"/>
  <c r="O166" i="2"/>
  <c r="S166" i="2" s="1"/>
  <c r="X166" i="2" s="1"/>
  <c r="L166" i="2" s="1"/>
  <c r="G165" i="2"/>
  <c r="F165" i="2"/>
  <c r="E165" i="2"/>
  <c r="D165" i="2"/>
  <c r="AB164" i="2"/>
  <c r="Z164" i="2"/>
  <c r="V164" i="2"/>
  <c r="U164" i="2"/>
  <c r="T164" i="2"/>
  <c r="S164" i="2"/>
  <c r="P164" i="2"/>
  <c r="O164" i="2"/>
  <c r="N164" i="2"/>
  <c r="M164" i="2"/>
  <c r="L164" i="2"/>
  <c r="K164" i="2"/>
  <c r="J164" i="2"/>
  <c r="I164" i="2"/>
  <c r="D164" i="2"/>
  <c r="C164" i="2"/>
  <c r="B164" i="2"/>
  <c r="AB163" i="2"/>
  <c r="Z163" i="2"/>
  <c r="U163" i="2"/>
  <c r="R163" i="2"/>
  <c r="P161" i="2"/>
  <c r="C161" i="2"/>
  <c r="P160" i="2"/>
  <c r="P159" i="2"/>
  <c r="C159" i="2"/>
  <c r="AE158" i="2"/>
  <c r="AF158" i="2" s="1"/>
  <c r="X158" i="2"/>
  <c r="T158" i="2"/>
  <c r="A158" i="2" s="1"/>
  <c r="R158" i="2"/>
  <c r="O158" i="2"/>
  <c r="S158" i="2" s="1"/>
  <c r="L158" i="2"/>
  <c r="X157" i="2"/>
  <c r="T157" i="2"/>
  <c r="AE157" i="2" s="1"/>
  <c r="AF157" i="2" s="1"/>
  <c r="S157" i="2"/>
  <c r="R157" i="2"/>
  <c r="O157" i="2"/>
  <c r="L157" i="2"/>
  <c r="A157" i="2"/>
  <c r="X156" i="2"/>
  <c r="T156" i="2"/>
  <c r="A156" i="2" s="1"/>
  <c r="S156" i="2"/>
  <c r="R156" i="2"/>
  <c r="O156" i="2"/>
  <c r="L156" i="2"/>
  <c r="AF155" i="2"/>
  <c r="AE155" i="2"/>
  <c r="X155" i="2"/>
  <c r="T155" i="2"/>
  <c r="A155" i="2" s="1"/>
  <c r="R155" i="2"/>
  <c r="O155" i="2"/>
  <c r="S155" i="2" s="1"/>
  <c r="L155" i="2"/>
  <c r="X154" i="2"/>
  <c r="T154" i="2"/>
  <c r="AE154" i="2" s="1"/>
  <c r="AF154" i="2" s="1"/>
  <c r="S154" i="2"/>
  <c r="R154" i="2"/>
  <c r="O154" i="2"/>
  <c r="L154" i="2"/>
  <c r="A154" i="2"/>
  <c r="X153" i="2"/>
  <c r="L153" i="2" s="1"/>
  <c r="S153" i="2"/>
  <c r="R153" i="2"/>
  <c r="O153" i="2"/>
  <c r="R152" i="2"/>
  <c r="S152" i="2" s="1"/>
  <c r="X152" i="2" s="1"/>
  <c r="L152" i="2" s="1"/>
  <c r="O152" i="2"/>
  <c r="T151" i="2"/>
  <c r="R151" i="2"/>
  <c r="S151" i="2" s="1"/>
  <c r="X151" i="2" s="1"/>
  <c r="L151" i="2" s="1"/>
  <c r="O151" i="2"/>
  <c r="T150" i="2"/>
  <c r="R150" i="2"/>
  <c r="S150" i="2" s="1"/>
  <c r="X150" i="2" s="1"/>
  <c r="L150" i="2" s="1"/>
  <c r="O150" i="2"/>
  <c r="R149" i="2"/>
  <c r="S149" i="2" s="1"/>
  <c r="X149" i="2" s="1"/>
  <c r="L149" i="2" s="1"/>
  <c r="O149" i="2"/>
  <c r="G148" i="2"/>
  <c r="F148" i="2"/>
  <c r="E148" i="2"/>
  <c r="D148" i="2"/>
  <c r="AB147" i="2"/>
  <c r="Z147" i="2"/>
  <c r="V147" i="2"/>
  <c r="U147" i="2"/>
  <c r="T147" i="2"/>
  <c r="S147" i="2"/>
  <c r="P147" i="2"/>
  <c r="O147" i="2"/>
  <c r="N147" i="2"/>
  <c r="M147" i="2"/>
  <c r="L147" i="2"/>
  <c r="K147" i="2"/>
  <c r="J147" i="2"/>
  <c r="I147" i="2"/>
  <c r="D147" i="2"/>
  <c r="C147" i="2"/>
  <c r="B147" i="2"/>
  <c r="AB146" i="2"/>
  <c r="Z146" i="2"/>
  <c r="U146" i="2"/>
  <c r="R146" i="2"/>
  <c r="P144" i="2"/>
  <c r="C144" i="2"/>
  <c r="P143" i="2"/>
  <c r="P142" i="2"/>
  <c r="C142" i="2"/>
  <c r="X141" i="2"/>
  <c r="AE141" i="2" s="1"/>
  <c r="AF141" i="2" s="1"/>
  <c r="T141" i="2"/>
  <c r="R141" i="2"/>
  <c r="O141" i="2"/>
  <c r="S141" i="2" s="1"/>
  <c r="L141" i="2"/>
  <c r="A141" i="2"/>
  <c r="X140" i="2"/>
  <c r="L140" i="2" s="1"/>
  <c r="T140" i="2"/>
  <c r="S140" i="2"/>
  <c r="R140" i="2"/>
  <c r="O140" i="2"/>
  <c r="A140" i="2"/>
  <c r="AF139" i="2"/>
  <c r="AE139" i="2"/>
  <c r="X139" i="2"/>
  <c r="L139" i="2" s="1"/>
  <c r="T139" i="2"/>
  <c r="S139" i="2"/>
  <c r="R139" i="2"/>
  <c r="O139" i="2"/>
  <c r="A139" i="2"/>
  <c r="X138" i="2"/>
  <c r="L138" i="2" s="1"/>
  <c r="T138" i="2"/>
  <c r="R138" i="2"/>
  <c r="O138" i="2"/>
  <c r="S138" i="2" s="1"/>
  <c r="A138" i="2"/>
  <c r="X137" i="2"/>
  <c r="L137" i="2" s="1"/>
  <c r="T137" i="2"/>
  <c r="AE137" i="2" s="1"/>
  <c r="AF137" i="2" s="1"/>
  <c r="S137" i="2"/>
  <c r="R137" i="2"/>
  <c r="O137" i="2"/>
  <c r="AE136" i="2"/>
  <c r="AF136" i="2" s="1"/>
  <c r="X136" i="2"/>
  <c r="L136" i="2" s="1"/>
  <c r="T136" i="2"/>
  <c r="R136" i="2"/>
  <c r="O136" i="2"/>
  <c r="S136" i="2" s="1"/>
  <c r="A136" i="2"/>
  <c r="X135" i="2"/>
  <c r="L135" i="2" s="1"/>
  <c r="R135" i="2"/>
  <c r="O135" i="2"/>
  <c r="S135" i="2" s="1"/>
  <c r="X134" i="2"/>
  <c r="AE134" i="2" s="1"/>
  <c r="AF134" i="2" s="1"/>
  <c r="T134" i="2"/>
  <c r="R134" i="2"/>
  <c r="O134" i="2"/>
  <c r="S134" i="2" s="1"/>
  <c r="L134" i="2"/>
  <c r="A134" i="2"/>
  <c r="X133" i="2"/>
  <c r="L133" i="2" s="1"/>
  <c r="R133" i="2"/>
  <c r="O133" i="2"/>
  <c r="S133" i="2" s="1"/>
  <c r="X132" i="2"/>
  <c r="L132" i="2" s="1"/>
  <c r="R132" i="2"/>
  <c r="O132" i="2"/>
  <c r="S132" i="2" s="1"/>
  <c r="G131" i="2"/>
  <c r="F131" i="2"/>
  <c r="E131" i="2"/>
  <c r="D131" i="2"/>
  <c r="AB130" i="2"/>
  <c r="Z130" i="2"/>
  <c r="V130" i="2"/>
  <c r="U130" i="2"/>
  <c r="T130" i="2"/>
  <c r="S130" i="2"/>
  <c r="P130" i="2"/>
  <c r="O130" i="2"/>
  <c r="N130" i="2"/>
  <c r="M130" i="2"/>
  <c r="L130" i="2"/>
  <c r="K130" i="2"/>
  <c r="J130" i="2"/>
  <c r="I130" i="2"/>
  <c r="D130" i="2"/>
  <c r="C130" i="2"/>
  <c r="B130" i="2"/>
  <c r="AB129" i="2"/>
  <c r="Z129" i="2"/>
  <c r="U129" i="2"/>
  <c r="R129" i="2"/>
  <c r="P127" i="2"/>
  <c r="C127" i="2"/>
  <c r="P126" i="2"/>
  <c r="P125" i="2"/>
  <c r="C125" i="2"/>
  <c r="X124" i="2"/>
  <c r="T124" i="2"/>
  <c r="A124" i="2" s="1"/>
  <c r="S124" i="2"/>
  <c r="R124" i="2"/>
  <c r="O124" i="2"/>
  <c r="L124" i="2"/>
  <c r="AF123" i="2"/>
  <c r="AE123" i="2"/>
  <c r="X123" i="2"/>
  <c r="T123" i="2"/>
  <c r="A123" i="2" s="1"/>
  <c r="R123" i="2"/>
  <c r="O123" i="2"/>
  <c r="S123" i="2" s="1"/>
  <c r="L123" i="2"/>
  <c r="X122" i="2"/>
  <c r="T122" i="2"/>
  <c r="AE122" i="2" s="1"/>
  <c r="AF122" i="2" s="1"/>
  <c r="S122" i="2"/>
  <c r="R122" i="2"/>
  <c r="O122" i="2"/>
  <c r="L122" i="2"/>
  <c r="A122" i="2"/>
  <c r="X121" i="2"/>
  <c r="T121" i="2"/>
  <c r="S121" i="2"/>
  <c r="R121" i="2"/>
  <c r="O121" i="2"/>
  <c r="L121" i="2"/>
  <c r="AE120" i="2"/>
  <c r="AF120" i="2" s="1"/>
  <c r="X120" i="2"/>
  <c r="T120" i="2"/>
  <c r="A120" i="2" s="1"/>
  <c r="R120" i="2"/>
  <c r="O120" i="2"/>
  <c r="S120" i="2" s="1"/>
  <c r="L120" i="2"/>
  <c r="X119" i="2"/>
  <c r="L119" i="2" s="1"/>
  <c r="T119" i="2"/>
  <c r="S119" i="2"/>
  <c r="R119" i="2"/>
  <c r="O119" i="2"/>
  <c r="X118" i="2"/>
  <c r="T118" i="2"/>
  <c r="A118" i="2" s="1"/>
  <c r="S118" i="2"/>
  <c r="R118" i="2"/>
  <c r="O118" i="2"/>
  <c r="L118" i="2"/>
  <c r="X117" i="2"/>
  <c r="T117" i="2"/>
  <c r="A117" i="2" s="1"/>
  <c r="S117" i="2"/>
  <c r="R117" i="2"/>
  <c r="O117" i="2"/>
  <c r="L117" i="2"/>
  <c r="R116" i="2"/>
  <c r="S116" i="2" s="1"/>
  <c r="O116" i="2"/>
  <c r="R115" i="2"/>
  <c r="S115" i="2" s="1"/>
  <c r="O115" i="2"/>
  <c r="G114" i="2"/>
  <c r="F114" i="2"/>
  <c r="E114" i="2"/>
  <c r="D114" i="2"/>
  <c r="AB113" i="2"/>
  <c r="Z113" i="2"/>
  <c r="V113" i="2"/>
  <c r="U113" i="2"/>
  <c r="T113" i="2"/>
  <c r="S113" i="2"/>
  <c r="P113" i="2"/>
  <c r="O113" i="2"/>
  <c r="N113" i="2"/>
  <c r="M113" i="2"/>
  <c r="L113" i="2"/>
  <c r="K113" i="2"/>
  <c r="J113" i="2"/>
  <c r="I113" i="2"/>
  <c r="D113" i="2"/>
  <c r="C113" i="2"/>
  <c r="B113" i="2"/>
  <c r="AB112" i="2"/>
  <c r="Z112" i="2"/>
  <c r="U112" i="2"/>
  <c r="R112" i="2"/>
  <c r="P110" i="2"/>
  <c r="C110" i="2"/>
  <c r="P109" i="2"/>
  <c r="P108" i="2"/>
  <c r="C108" i="2"/>
  <c r="X107" i="2"/>
  <c r="L107" i="2" s="1"/>
  <c r="T107" i="2"/>
  <c r="R107" i="2"/>
  <c r="O107" i="2"/>
  <c r="S107" i="2" s="1"/>
  <c r="A107" i="2"/>
  <c r="X106" i="2"/>
  <c r="L106" i="2" s="1"/>
  <c r="T106" i="2"/>
  <c r="S106" i="2"/>
  <c r="R106" i="2"/>
  <c r="O106" i="2"/>
  <c r="A106" i="2"/>
  <c r="AE105" i="2"/>
  <c r="AF105" i="2" s="1"/>
  <c r="X105" i="2"/>
  <c r="T105" i="2"/>
  <c r="S105" i="2"/>
  <c r="R105" i="2"/>
  <c r="O105" i="2"/>
  <c r="L105" i="2"/>
  <c r="A105" i="2"/>
  <c r="X104" i="2"/>
  <c r="AE104" i="2" s="1"/>
  <c r="AF104" i="2" s="1"/>
  <c r="T104" i="2"/>
  <c r="R104" i="2"/>
  <c r="O104" i="2"/>
  <c r="S104" i="2" s="1"/>
  <c r="L104" i="2"/>
  <c r="A104" i="2"/>
  <c r="X103" i="2"/>
  <c r="T103" i="2"/>
  <c r="S103" i="2"/>
  <c r="R103" i="2"/>
  <c r="O103" i="2"/>
  <c r="A103" i="2"/>
  <c r="AF102" i="2"/>
  <c r="AE102" i="2"/>
  <c r="X102" i="2"/>
  <c r="L102" i="2" s="1"/>
  <c r="T102" i="2"/>
  <c r="S102" i="2"/>
  <c r="R102" i="2"/>
  <c r="O102" i="2"/>
  <c r="A102" i="2"/>
  <c r="AE101" i="2"/>
  <c r="AF101" i="2" s="1"/>
  <c r="X101" i="2"/>
  <c r="L101" i="2" s="1"/>
  <c r="T101" i="2"/>
  <c r="R101" i="2"/>
  <c r="O101" i="2"/>
  <c r="S101" i="2" s="1"/>
  <c r="A101" i="2"/>
  <c r="X100" i="2"/>
  <c r="L100" i="2" s="1"/>
  <c r="R100" i="2"/>
  <c r="O100" i="2"/>
  <c r="S100" i="2" s="1"/>
  <c r="X99" i="2"/>
  <c r="L99" i="2" s="1"/>
  <c r="R99" i="2"/>
  <c r="O99" i="2"/>
  <c r="S99" i="2" s="1"/>
  <c r="X98" i="2"/>
  <c r="L98" i="2" s="1"/>
  <c r="R98" i="2"/>
  <c r="O98" i="2"/>
  <c r="S98" i="2" s="1"/>
  <c r="G97" i="2"/>
  <c r="F97" i="2"/>
  <c r="E97" i="2"/>
  <c r="D97" i="2"/>
  <c r="AB96" i="2"/>
  <c r="Z96" i="2"/>
  <c r="V96" i="2"/>
  <c r="U96" i="2"/>
  <c r="T96" i="2"/>
  <c r="S96" i="2"/>
  <c r="P96" i="2"/>
  <c r="O96" i="2"/>
  <c r="N96" i="2"/>
  <c r="M96" i="2"/>
  <c r="L96" i="2"/>
  <c r="K96" i="2"/>
  <c r="J96" i="2"/>
  <c r="I96" i="2"/>
  <c r="D96" i="2"/>
  <c r="C96" i="2"/>
  <c r="B96" i="2"/>
  <c r="AB95" i="2"/>
  <c r="Z95" i="2"/>
  <c r="U95" i="2"/>
  <c r="R95" i="2"/>
  <c r="P93" i="2"/>
  <c r="C93" i="2"/>
  <c r="P92" i="2"/>
  <c r="P91" i="2"/>
  <c r="C91" i="2"/>
  <c r="X90" i="2"/>
  <c r="T90" i="2"/>
  <c r="S90" i="2"/>
  <c r="R90" i="2"/>
  <c r="O90" i="2"/>
  <c r="L90" i="2"/>
  <c r="AE89" i="2"/>
  <c r="AF89" i="2" s="1"/>
  <c r="X89" i="2"/>
  <c r="T89" i="2"/>
  <c r="A89" i="2" s="1"/>
  <c r="R89" i="2"/>
  <c r="O89" i="2"/>
  <c r="S89" i="2" s="1"/>
  <c r="L89" i="2"/>
  <c r="X88" i="2"/>
  <c r="L88" i="2" s="1"/>
  <c r="T88" i="2"/>
  <c r="S88" i="2"/>
  <c r="R88" i="2"/>
  <c r="O88" i="2"/>
  <c r="AE87" i="2"/>
  <c r="AF87" i="2" s="1"/>
  <c r="X87" i="2"/>
  <c r="T87" i="2"/>
  <c r="R87" i="2"/>
  <c r="O87" i="2"/>
  <c r="S87" i="2" s="1"/>
  <c r="L87" i="2"/>
  <c r="A87" i="2"/>
  <c r="AE86" i="2"/>
  <c r="AF86" i="2" s="1"/>
  <c r="X86" i="2"/>
  <c r="T86" i="2"/>
  <c r="R86" i="2"/>
  <c r="O86" i="2"/>
  <c r="S86" i="2" s="1"/>
  <c r="L86" i="2"/>
  <c r="A86" i="2"/>
  <c r="X85" i="2"/>
  <c r="T85" i="2"/>
  <c r="S85" i="2"/>
  <c r="R85" i="2"/>
  <c r="O85" i="2"/>
  <c r="A85" i="2"/>
  <c r="S84" i="2"/>
  <c r="R84" i="2"/>
  <c r="O84" i="2"/>
  <c r="AF83" i="2"/>
  <c r="AE83" i="2"/>
  <c r="X83" i="2"/>
  <c r="L83" i="2" s="1"/>
  <c r="T83" i="2"/>
  <c r="R83" i="2"/>
  <c r="O83" i="2"/>
  <c r="S83" i="2" s="1"/>
  <c r="A83" i="2"/>
  <c r="S82" i="2"/>
  <c r="R82" i="2"/>
  <c r="O82" i="2"/>
  <c r="S81" i="2"/>
  <c r="R81" i="2"/>
  <c r="O81" i="2"/>
  <c r="G80" i="2"/>
  <c r="F80" i="2"/>
  <c r="E80" i="2"/>
  <c r="D80" i="2"/>
  <c r="AB79" i="2"/>
  <c r="Z79" i="2"/>
  <c r="V79" i="2"/>
  <c r="U79" i="2"/>
  <c r="T79" i="2"/>
  <c r="S79" i="2"/>
  <c r="P79" i="2"/>
  <c r="O79" i="2"/>
  <c r="N79" i="2"/>
  <c r="M79" i="2"/>
  <c r="L79" i="2"/>
  <c r="K79" i="2"/>
  <c r="J79" i="2"/>
  <c r="I79" i="2"/>
  <c r="D79" i="2"/>
  <c r="C79" i="2"/>
  <c r="B79" i="2"/>
  <c r="AB78" i="2"/>
  <c r="Z78" i="2"/>
  <c r="U78" i="2"/>
  <c r="R78" i="2"/>
  <c r="P76" i="2"/>
  <c r="C76" i="2"/>
  <c r="P75" i="2"/>
  <c r="P74" i="2"/>
  <c r="C74" i="2"/>
  <c r="X73" i="2"/>
  <c r="T73" i="2"/>
  <c r="AE73" i="2" s="1"/>
  <c r="AF73" i="2" s="1"/>
  <c r="S73" i="2"/>
  <c r="R73" i="2"/>
  <c r="O73" i="2"/>
  <c r="L73" i="2"/>
  <c r="AF72" i="2"/>
  <c r="AE72" i="2"/>
  <c r="X72" i="2"/>
  <c r="T72" i="2"/>
  <c r="A72" i="2" s="1"/>
  <c r="S72" i="2"/>
  <c r="R72" i="2"/>
  <c r="O72" i="2"/>
  <c r="L72" i="2"/>
  <c r="AF71" i="2"/>
  <c r="AE71" i="2"/>
  <c r="X71" i="2"/>
  <c r="T71" i="2"/>
  <c r="A71" i="2" s="1"/>
  <c r="R71" i="2"/>
  <c r="O71" i="2"/>
  <c r="S71" i="2" s="1"/>
  <c r="L71" i="2"/>
  <c r="X70" i="2"/>
  <c r="L70" i="2" s="1"/>
  <c r="T70" i="2"/>
  <c r="S70" i="2"/>
  <c r="R70" i="2"/>
  <c r="O70" i="2"/>
  <c r="X69" i="2"/>
  <c r="T69" i="2"/>
  <c r="S69" i="2"/>
  <c r="R69" i="2"/>
  <c r="O69" i="2"/>
  <c r="L69" i="2"/>
  <c r="AF68" i="2"/>
  <c r="AE68" i="2"/>
  <c r="X68" i="2"/>
  <c r="T68" i="2"/>
  <c r="R68" i="2"/>
  <c r="O68" i="2"/>
  <c r="S68" i="2" s="1"/>
  <c r="L68" i="2"/>
  <c r="A68" i="2"/>
  <c r="X67" i="2"/>
  <c r="T67" i="2"/>
  <c r="AE67" i="2" s="1"/>
  <c r="AF67" i="2" s="1"/>
  <c r="S67" i="2"/>
  <c r="R67" i="2"/>
  <c r="O67" i="2"/>
  <c r="L67" i="2"/>
  <c r="T66" i="2"/>
  <c r="AE66" i="2" s="1"/>
  <c r="AF66" i="2" s="1"/>
  <c r="R66" i="2"/>
  <c r="O66" i="2"/>
  <c r="S66" i="2" s="1"/>
  <c r="X66" i="2" s="1"/>
  <c r="L66" i="2"/>
  <c r="R65" i="2"/>
  <c r="O65" i="2"/>
  <c r="S65" i="2" s="1"/>
  <c r="X65" i="2" s="1"/>
  <c r="L65" i="2" s="1"/>
  <c r="X64" i="2"/>
  <c r="L64" i="2" s="1"/>
  <c r="T64" i="2" s="1"/>
  <c r="R64" i="2"/>
  <c r="O64" i="2"/>
  <c r="S64" i="2" s="1"/>
  <c r="G63" i="2"/>
  <c r="F63" i="2"/>
  <c r="E63" i="2"/>
  <c r="D63" i="2"/>
  <c r="AB62" i="2"/>
  <c r="Z62" i="2"/>
  <c r="V62" i="2"/>
  <c r="U62" i="2"/>
  <c r="T62" i="2"/>
  <c r="S62" i="2"/>
  <c r="P62" i="2"/>
  <c r="O62" i="2"/>
  <c r="N62" i="2"/>
  <c r="M62" i="2"/>
  <c r="L62" i="2"/>
  <c r="K62" i="2"/>
  <c r="J62" i="2"/>
  <c r="I62" i="2"/>
  <c r="D62" i="2"/>
  <c r="C62" i="2"/>
  <c r="B62" i="2"/>
  <c r="AB61" i="2"/>
  <c r="Z61" i="2"/>
  <c r="U61" i="2"/>
  <c r="R61" i="2"/>
  <c r="P59" i="2"/>
  <c r="C59" i="2"/>
  <c r="P58" i="2"/>
  <c r="P57" i="2"/>
  <c r="C57" i="2"/>
  <c r="AF56" i="2"/>
  <c r="AE56" i="2"/>
  <c r="X56" i="2"/>
  <c r="T56" i="2"/>
  <c r="R56" i="2"/>
  <c r="O56" i="2"/>
  <c r="S56" i="2" s="1"/>
  <c r="L56" i="2"/>
  <c r="A56" i="2"/>
  <c r="X55" i="2"/>
  <c r="L55" i="2" s="1"/>
  <c r="T55" i="2"/>
  <c r="S55" i="2"/>
  <c r="R55" i="2"/>
  <c r="O55" i="2"/>
  <c r="A55" i="2"/>
  <c r="AF54" i="2"/>
  <c r="AE54" i="2"/>
  <c r="X54" i="2"/>
  <c r="T54" i="2"/>
  <c r="A54" i="2" s="1"/>
  <c r="S54" i="2"/>
  <c r="R54" i="2"/>
  <c r="O54" i="2"/>
  <c r="L54" i="2"/>
  <c r="X53" i="2"/>
  <c r="L53" i="2" s="1"/>
  <c r="T53" i="2"/>
  <c r="R53" i="2"/>
  <c r="O53" i="2"/>
  <c r="S53" i="2" s="1"/>
  <c r="A53" i="2"/>
  <c r="X52" i="2"/>
  <c r="L52" i="2" s="1"/>
  <c r="T52" i="2"/>
  <c r="AE52" i="2" s="1"/>
  <c r="AF52" i="2" s="1"/>
  <c r="R52" i="2"/>
  <c r="O52" i="2"/>
  <c r="S52" i="2" s="1"/>
  <c r="A52" i="2"/>
  <c r="R51" i="2"/>
  <c r="O51" i="2"/>
  <c r="S51" i="2" s="1"/>
  <c r="X50" i="2"/>
  <c r="T50" i="2"/>
  <c r="S50" i="2"/>
  <c r="R50" i="2"/>
  <c r="O50" i="2"/>
  <c r="L50" i="2"/>
  <c r="R49" i="2"/>
  <c r="O49" i="2"/>
  <c r="X48" i="2"/>
  <c r="AE48" i="2" s="1"/>
  <c r="AF48" i="2" s="1"/>
  <c r="T48" i="2"/>
  <c r="S48" i="2"/>
  <c r="R48" i="2"/>
  <c r="O48" i="2"/>
  <c r="L48" i="2"/>
  <c r="A48" i="2"/>
  <c r="R47" i="2"/>
  <c r="O47" i="2"/>
  <c r="S47" i="2" s="1"/>
  <c r="R46" i="2"/>
  <c r="R63" i="2" s="1"/>
  <c r="R80" i="2" s="1"/>
  <c r="R97" i="2" s="1"/>
  <c r="R114" i="2" s="1"/>
  <c r="R131" i="2" s="1"/>
  <c r="R148" i="2" s="1"/>
  <c r="R165" i="2" s="1"/>
  <c r="R182" i="2" s="1"/>
  <c r="R199" i="2" s="1"/>
  <c r="R216" i="2" s="1"/>
  <c r="R233" i="2" s="1"/>
  <c r="R250" i="2" s="1"/>
  <c r="R267" i="2" s="1"/>
  <c r="R284" i="2" s="1"/>
  <c r="R301" i="2" s="1"/>
  <c r="R318" i="2" s="1"/>
  <c r="R335" i="2" s="1"/>
  <c r="R352" i="2" s="1"/>
  <c r="R369" i="2" s="1"/>
  <c r="R386" i="2" s="1"/>
  <c r="R403" i="2" s="1"/>
  <c r="R420" i="2" s="1"/>
  <c r="R437" i="2" s="1"/>
  <c r="R454" i="2" s="1"/>
  <c r="R471" i="2" s="1"/>
  <c r="R488" i="2" s="1"/>
  <c r="R505" i="2" s="1"/>
  <c r="R522" i="2" s="1"/>
  <c r="R539" i="2" s="1"/>
  <c r="R556" i="2" s="1"/>
  <c r="R573" i="2" s="1"/>
  <c r="R590" i="2" s="1"/>
  <c r="R607" i="2" s="1"/>
  <c r="R624" i="2" s="1"/>
  <c r="R641" i="2" s="1"/>
  <c r="R658" i="2" s="1"/>
  <c r="R675" i="2" s="1"/>
  <c r="R692" i="2" s="1"/>
  <c r="R709" i="2" s="1"/>
  <c r="R726" i="2" s="1"/>
  <c r="R743" i="2" s="1"/>
  <c r="R760" i="2" s="1"/>
  <c r="R777" i="2" s="1"/>
  <c r="R794" i="2" s="1"/>
  <c r="R811" i="2" s="1"/>
  <c r="R828" i="2" s="1"/>
  <c r="R845" i="2" s="1"/>
  <c r="R862" i="2" s="1"/>
  <c r="R879" i="2" s="1"/>
  <c r="R896" i="2" s="1"/>
  <c r="R913" i="2" s="1"/>
  <c r="R930" i="2" s="1"/>
  <c r="Q46" i="2"/>
  <c r="Q63" i="2" s="1"/>
  <c r="Q80" i="2" s="1"/>
  <c r="Q97" i="2" s="1"/>
  <c r="Q114" i="2" s="1"/>
  <c r="Q131" i="2" s="1"/>
  <c r="Q148" i="2" s="1"/>
  <c r="Q165" i="2" s="1"/>
  <c r="Q182" i="2" s="1"/>
  <c r="Q199" i="2" s="1"/>
  <c r="Q216" i="2" s="1"/>
  <c r="Q233" i="2" s="1"/>
  <c r="Q250" i="2" s="1"/>
  <c r="Q267" i="2" s="1"/>
  <c r="Q284" i="2" s="1"/>
  <c r="Q301" i="2" s="1"/>
  <c r="Q318" i="2" s="1"/>
  <c r="Q335" i="2" s="1"/>
  <c r="Q352" i="2" s="1"/>
  <c r="Q369" i="2" s="1"/>
  <c r="Q386" i="2" s="1"/>
  <c r="Q403" i="2" s="1"/>
  <c r="Q420" i="2" s="1"/>
  <c r="Q437" i="2" s="1"/>
  <c r="Q454" i="2" s="1"/>
  <c r="Q471" i="2" s="1"/>
  <c r="Q488" i="2" s="1"/>
  <c r="Q505" i="2" s="1"/>
  <c r="Q522" i="2" s="1"/>
  <c r="Q539" i="2" s="1"/>
  <c r="Q556" i="2" s="1"/>
  <c r="Q573" i="2" s="1"/>
  <c r="Q590" i="2" s="1"/>
  <c r="Q607" i="2" s="1"/>
  <c r="Q624" i="2" s="1"/>
  <c r="Q641" i="2" s="1"/>
  <c r="Q658" i="2" s="1"/>
  <c r="Q675" i="2" s="1"/>
  <c r="Q692" i="2" s="1"/>
  <c r="Q709" i="2" s="1"/>
  <c r="Q726" i="2" s="1"/>
  <c r="Q743" i="2" s="1"/>
  <c r="Q760" i="2" s="1"/>
  <c r="Q777" i="2" s="1"/>
  <c r="Q794" i="2" s="1"/>
  <c r="Q811" i="2" s="1"/>
  <c r="Q828" i="2" s="1"/>
  <c r="Q845" i="2" s="1"/>
  <c r="Q862" i="2" s="1"/>
  <c r="Q879" i="2" s="1"/>
  <c r="Q896" i="2" s="1"/>
  <c r="Q913" i="2" s="1"/>
  <c r="Q930" i="2" s="1"/>
  <c r="P46" i="2"/>
  <c r="P63" i="2" s="1"/>
  <c r="P80" i="2" s="1"/>
  <c r="P97" i="2" s="1"/>
  <c r="P114" i="2" s="1"/>
  <c r="P131" i="2" s="1"/>
  <c r="P148" i="2" s="1"/>
  <c r="P165" i="2" s="1"/>
  <c r="P182" i="2" s="1"/>
  <c r="P199" i="2" s="1"/>
  <c r="P216" i="2" s="1"/>
  <c r="P233" i="2" s="1"/>
  <c r="P250" i="2" s="1"/>
  <c r="P267" i="2" s="1"/>
  <c r="P284" i="2" s="1"/>
  <c r="P301" i="2" s="1"/>
  <c r="P318" i="2" s="1"/>
  <c r="P335" i="2" s="1"/>
  <c r="P352" i="2" s="1"/>
  <c r="P369" i="2" s="1"/>
  <c r="P386" i="2" s="1"/>
  <c r="P403" i="2" s="1"/>
  <c r="P420" i="2" s="1"/>
  <c r="P437" i="2" s="1"/>
  <c r="P454" i="2" s="1"/>
  <c r="P471" i="2" s="1"/>
  <c r="P488" i="2" s="1"/>
  <c r="P505" i="2" s="1"/>
  <c r="P522" i="2" s="1"/>
  <c r="P539" i="2" s="1"/>
  <c r="P556" i="2" s="1"/>
  <c r="P573" i="2" s="1"/>
  <c r="P590" i="2" s="1"/>
  <c r="P607" i="2" s="1"/>
  <c r="P624" i="2" s="1"/>
  <c r="P641" i="2" s="1"/>
  <c r="P658" i="2" s="1"/>
  <c r="P675" i="2" s="1"/>
  <c r="P692" i="2" s="1"/>
  <c r="P709" i="2" s="1"/>
  <c r="P726" i="2" s="1"/>
  <c r="P743" i="2" s="1"/>
  <c r="P760" i="2" s="1"/>
  <c r="P777" i="2" s="1"/>
  <c r="P794" i="2" s="1"/>
  <c r="P811" i="2" s="1"/>
  <c r="P828" i="2" s="1"/>
  <c r="P845" i="2" s="1"/>
  <c r="P862" i="2" s="1"/>
  <c r="P879" i="2" s="1"/>
  <c r="P896" i="2" s="1"/>
  <c r="P913" i="2" s="1"/>
  <c r="P930" i="2" s="1"/>
  <c r="G46" i="2"/>
  <c r="F46" i="2"/>
  <c r="E46" i="2"/>
  <c r="D46" i="2"/>
  <c r="AB45" i="2"/>
  <c r="Z45" i="2"/>
  <c r="V45" i="2"/>
  <c r="U45" i="2"/>
  <c r="T45" i="2"/>
  <c r="S45" i="2"/>
  <c r="P45" i="2"/>
  <c r="O45" i="2"/>
  <c r="N45" i="2"/>
  <c r="M45" i="2"/>
  <c r="L45" i="2"/>
  <c r="K45" i="2"/>
  <c r="J45" i="2"/>
  <c r="I45" i="2"/>
  <c r="D45" i="2"/>
  <c r="C45" i="2"/>
  <c r="B45" i="2"/>
  <c r="AB44" i="2"/>
  <c r="Z44" i="2"/>
  <c r="U44" i="2"/>
  <c r="R44" i="2"/>
  <c r="B44" i="2"/>
  <c r="P42" i="2"/>
  <c r="C42" i="2"/>
  <c r="P41" i="2"/>
  <c r="B41" i="2"/>
  <c r="P40" i="2"/>
  <c r="C40" i="2"/>
  <c r="X39" i="2"/>
  <c r="AE39" i="2" s="1"/>
  <c r="AF39" i="2" s="1"/>
  <c r="T39" i="2"/>
  <c r="R39" i="2"/>
  <c r="O39" i="2"/>
  <c r="S39" i="2" s="1"/>
  <c r="L39" i="2"/>
  <c r="A39" i="2"/>
  <c r="X38" i="2"/>
  <c r="T38" i="2"/>
  <c r="AE38" i="2" s="1"/>
  <c r="AF38" i="2" s="1"/>
  <c r="S38" i="2"/>
  <c r="R38" i="2"/>
  <c r="O38" i="2"/>
  <c r="L38" i="2"/>
  <c r="A38" i="2"/>
  <c r="AF37" i="2"/>
  <c r="AE37" i="2"/>
  <c r="X37" i="2"/>
  <c r="T37" i="2"/>
  <c r="A37" i="2" s="1"/>
  <c r="R37" i="2"/>
  <c r="O37" i="2"/>
  <c r="S37" i="2" s="1"/>
  <c r="L37" i="2"/>
  <c r="AF36" i="2"/>
  <c r="AE36" i="2"/>
  <c r="X36" i="2"/>
  <c r="L36" i="2" s="1"/>
  <c r="T36" i="2"/>
  <c r="R36" i="2"/>
  <c r="O36" i="2"/>
  <c r="S36" i="2" s="1"/>
  <c r="A36" i="2"/>
  <c r="AD35" i="2"/>
  <c r="X35" i="2"/>
  <c r="L35" i="2" s="1"/>
  <c r="T35" i="2"/>
  <c r="A35" i="2" s="1"/>
  <c r="S35" i="2"/>
  <c r="R35" i="2"/>
  <c r="O35" i="2"/>
  <c r="X34" i="2"/>
  <c r="T34" i="2"/>
  <c r="S34" i="2"/>
  <c r="R34" i="2"/>
  <c r="O34" i="2"/>
  <c r="L34" i="2"/>
  <c r="X33" i="2"/>
  <c r="AE33" i="2" s="1"/>
  <c r="AF33" i="2" s="1"/>
  <c r="T33" i="2"/>
  <c r="R33" i="2"/>
  <c r="O33" i="2"/>
  <c r="S33" i="2" s="1"/>
  <c r="L33" i="2"/>
  <c r="A33" i="2"/>
  <c r="R32" i="2"/>
  <c r="O32" i="2"/>
  <c r="R31" i="2"/>
  <c r="O31" i="2"/>
  <c r="R30" i="2"/>
  <c r="O30" i="2"/>
  <c r="R29" i="2"/>
  <c r="Q29" i="2"/>
  <c r="P29" i="2"/>
  <c r="G29" i="2"/>
  <c r="F29" i="2"/>
  <c r="E29" i="2"/>
  <c r="D29" i="2"/>
  <c r="AB28" i="2"/>
  <c r="Z28" i="2"/>
  <c r="V28" i="2"/>
  <c r="U28" i="2"/>
  <c r="T28" i="2"/>
  <c r="S28" i="2"/>
  <c r="P28" i="2"/>
  <c r="O28" i="2"/>
  <c r="N28" i="2"/>
  <c r="M28" i="2"/>
  <c r="L28" i="2"/>
  <c r="K28" i="2"/>
  <c r="J28" i="2"/>
  <c r="I28" i="2"/>
  <c r="H28" i="2"/>
  <c r="H45" i="2" s="1"/>
  <c r="H62" i="2" s="1"/>
  <c r="H79" i="2" s="1"/>
  <c r="H96" i="2" s="1"/>
  <c r="H113" i="2" s="1"/>
  <c r="H130" i="2" s="1"/>
  <c r="H147" i="2" s="1"/>
  <c r="H164" i="2" s="1"/>
  <c r="H181" i="2" s="1"/>
  <c r="H198" i="2" s="1"/>
  <c r="H215" i="2" s="1"/>
  <c r="H232" i="2" s="1"/>
  <c r="H249" i="2" s="1"/>
  <c r="H266" i="2" s="1"/>
  <c r="H283" i="2" s="1"/>
  <c r="H300" i="2" s="1"/>
  <c r="H317" i="2" s="1"/>
  <c r="H334" i="2" s="1"/>
  <c r="H351" i="2" s="1"/>
  <c r="H368" i="2" s="1"/>
  <c r="H385" i="2" s="1"/>
  <c r="H402" i="2" s="1"/>
  <c r="H419" i="2" s="1"/>
  <c r="H436" i="2" s="1"/>
  <c r="H453" i="2" s="1"/>
  <c r="H470" i="2" s="1"/>
  <c r="H487" i="2" s="1"/>
  <c r="H504" i="2" s="1"/>
  <c r="H521" i="2" s="1"/>
  <c r="H538" i="2" s="1"/>
  <c r="H555" i="2" s="1"/>
  <c r="H572" i="2" s="1"/>
  <c r="H589" i="2" s="1"/>
  <c r="H606" i="2" s="1"/>
  <c r="H623" i="2" s="1"/>
  <c r="H640" i="2" s="1"/>
  <c r="H657" i="2" s="1"/>
  <c r="H674" i="2" s="1"/>
  <c r="H691" i="2" s="1"/>
  <c r="H708" i="2" s="1"/>
  <c r="H725" i="2" s="1"/>
  <c r="H742" i="2" s="1"/>
  <c r="H759" i="2" s="1"/>
  <c r="H776" i="2" s="1"/>
  <c r="H793" i="2" s="1"/>
  <c r="H810" i="2" s="1"/>
  <c r="H827" i="2" s="1"/>
  <c r="H844" i="2" s="1"/>
  <c r="H861" i="2" s="1"/>
  <c r="H878" i="2" s="1"/>
  <c r="H895" i="2" s="1"/>
  <c r="H912" i="2" s="1"/>
  <c r="H929" i="2" s="1"/>
  <c r="D28" i="2"/>
  <c r="C28" i="2"/>
  <c r="B28" i="2"/>
  <c r="AB27" i="2"/>
  <c r="Z27" i="2"/>
  <c r="U27" i="2"/>
  <c r="R27" i="2"/>
  <c r="B27" i="2"/>
  <c r="T27" i="2" s="1"/>
  <c r="B25" i="2"/>
  <c r="C24" i="2"/>
  <c r="C41" i="2" s="1"/>
  <c r="C58" i="2" s="1"/>
  <c r="C75" i="2" s="1"/>
  <c r="C92" i="2" s="1"/>
  <c r="C109" i="2" s="1"/>
  <c r="C126" i="2" s="1"/>
  <c r="C143" i="2" s="1"/>
  <c r="C160" i="2" s="1"/>
  <c r="C177" i="2" s="1"/>
  <c r="C194" i="2" s="1"/>
  <c r="C211" i="2" s="1"/>
  <c r="C228" i="2" s="1"/>
  <c r="C245" i="2" s="1"/>
  <c r="C262" i="2" s="1"/>
  <c r="C279" i="2" s="1"/>
  <c r="C296" i="2" s="1"/>
  <c r="C313" i="2" s="1"/>
  <c r="C330" i="2" s="1"/>
  <c r="C347" i="2" s="1"/>
  <c r="C364" i="2" s="1"/>
  <c r="C381" i="2" s="1"/>
  <c r="C398" i="2" s="1"/>
  <c r="C415" i="2" s="1"/>
  <c r="C432" i="2" s="1"/>
  <c r="C449" i="2" s="1"/>
  <c r="C466" i="2" s="1"/>
  <c r="C483" i="2" s="1"/>
  <c r="C500" i="2" s="1"/>
  <c r="C517" i="2" s="1"/>
  <c r="C534" i="2" s="1"/>
  <c r="C551" i="2" s="1"/>
  <c r="C568" i="2" s="1"/>
  <c r="C585" i="2" s="1"/>
  <c r="C602" i="2" s="1"/>
  <c r="C619" i="2" s="1"/>
  <c r="C636" i="2" s="1"/>
  <c r="C653" i="2" s="1"/>
  <c r="C670" i="2" s="1"/>
  <c r="C687" i="2" s="1"/>
  <c r="C704" i="2" s="1"/>
  <c r="C721" i="2" s="1"/>
  <c r="C738" i="2" s="1"/>
  <c r="C755" i="2" s="1"/>
  <c r="C772" i="2" s="1"/>
  <c r="C789" i="2" s="1"/>
  <c r="C806" i="2" s="1"/>
  <c r="C823" i="2" s="1"/>
  <c r="C840" i="2" s="1"/>
  <c r="C857" i="2" s="1"/>
  <c r="C874" i="2" s="1"/>
  <c r="C891" i="2" s="1"/>
  <c r="C908" i="2" s="1"/>
  <c r="C925" i="2" s="1"/>
  <c r="C942" i="2" s="1"/>
  <c r="B24" i="2"/>
  <c r="B23" i="2"/>
  <c r="X22" i="2"/>
  <c r="T22" i="2"/>
  <c r="AE22" i="2" s="1"/>
  <c r="AF22" i="2" s="1"/>
  <c r="S22" i="2"/>
  <c r="R22" i="2"/>
  <c r="O22" i="2"/>
  <c r="L22" i="2"/>
  <c r="A22" i="2"/>
  <c r="AE21" i="2"/>
  <c r="AF21" i="2" s="1"/>
  <c r="X21" i="2"/>
  <c r="T21" i="2"/>
  <c r="A21" i="2" s="1"/>
  <c r="R21" i="2"/>
  <c r="O21" i="2"/>
  <c r="S21" i="2" s="1"/>
  <c r="L21" i="2"/>
  <c r="AF20" i="2"/>
  <c r="AE20" i="2"/>
  <c r="X20" i="2"/>
  <c r="L20" i="2" s="1"/>
  <c r="T20" i="2"/>
  <c r="R20" i="2"/>
  <c r="O20" i="2"/>
  <c r="S20" i="2" s="1"/>
  <c r="A20" i="2"/>
  <c r="AD19" i="2"/>
  <c r="X19" i="2"/>
  <c r="L19" i="2" s="1"/>
  <c r="T19" i="2"/>
  <c r="A19" i="2" s="1"/>
  <c r="S19" i="2"/>
  <c r="R19" i="2"/>
  <c r="O19" i="2"/>
  <c r="X18" i="2"/>
  <c r="T18" i="2"/>
  <c r="S18" i="2"/>
  <c r="R18" i="2"/>
  <c r="O18" i="2"/>
  <c r="L18" i="2"/>
  <c r="X17" i="2"/>
  <c r="AE17" i="2" s="1"/>
  <c r="AF17" i="2" s="1"/>
  <c r="T17" i="2"/>
  <c r="R17" i="2"/>
  <c r="O17" i="2"/>
  <c r="S17" i="2" s="1"/>
  <c r="L17" i="2"/>
  <c r="A17" i="2"/>
  <c r="X16" i="2"/>
  <c r="T16" i="2"/>
  <c r="AE16" i="2" s="1"/>
  <c r="AF16" i="2" s="1"/>
  <c r="S16" i="2"/>
  <c r="R16" i="2"/>
  <c r="O16" i="2"/>
  <c r="L16" i="2"/>
  <c r="A16" i="2"/>
  <c r="AG15" i="2"/>
  <c r="X15" i="2"/>
  <c r="T15" i="2"/>
  <c r="AE15" i="2" s="1"/>
  <c r="AF15" i="2" s="1"/>
  <c r="S15" i="2"/>
  <c r="R15" i="2"/>
  <c r="O15" i="2"/>
  <c r="L15" i="2"/>
  <c r="A15" i="2"/>
  <c r="AG14" i="2"/>
  <c r="S14" i="2"/>
  <c r="X14" i="2" s="1"/>
  <c r="R14" i="2"/>
  <c r="O14" i="2"/>
  <c r="L14" i="2"/>
  <c r="AG13" i="2"/>
  <c r="S13" i="2"/>
  <c r="X13" i="2" s="1"/>
  <c r="L13" i="2" s="1"/>
  <c r="R13" i="2"/>
  <c r="O13" i="2"/>
  <c r="T10" i="2"/>
  <c r="AD22" i="2"/>
  <c r="G7" i="2"/>
  <c r="H6" i="2"/>
  <c r="H75" i="2" s="1"/>
  <c r="G6" i="2"/>
  <c r="H4" i="2"/>
  <c r="I502" i="1"/>
  <c r="C502" i="1"/>
  <c r="S501" i="1"/>
  <c r="Q501" i="1"/>
  <c r="M501" i="1"/>
  <c r="L501" i="1"/>
  <c r="S500" i="1"/>
  <c r="Q500" i="1"/>
  <c r="L500" i="1" s="1"/>
  <c r="M500" i="1"/>
  <c r="S499" i="1"/>
  <c r="Q499" i="1"/>
  <c r="L499" i="1" s="1"/>
  <c r="M499" i="1"/>
  <c r="S498" i="1"/>
  <c r="Q498" i="1"/>
  <c r="M498" i="1"/>
  <c r="L498" i="1"/>
  <c r="C493" i="1"/>
  <c r="S492" i="1"/>
  <c r="Q492" i="1"/>
  <c r="L492" i="1" s="1"/>
  <c r="M492" i="1"/>
  <c r="S491" i="1"/>
  <c r="Q491" i="1"/>
  <c r="M491" i="1"/>
  <c r="L491" i="1"/>
  <c r="S490" i="1"/>
  <c r="Q490" i="1"/>
  <c r="M490" i="1"/>
  <c r="L490" i="1"/>
  <c r="S489" i="1"/>
  <c r="I493" i="1" s="1"/>
  <c r="Q489" i="1"/>
  <c r="L489" i="1" s="1"/>
  <c r="M489" i="1"/>
  <c r="C484" i="1"/>
  <c r="S483" i="1"/>
  <c r="Q483" i="1"/>
  <c r="M483" i="1"/>
  <c r="L483" i="1"/>
  <c r="S482" i="1"/>
  <c r="Q482" i="1"/>
  <c r="L482" i="1" s="1"/>
  <c r="M482" i="1"/>
  <c r="S481" i="1"/>
  <c r="Q481" i="1"/>
  <c r="L481" i="1" s="1"/>
  <c r="M481" i="1"/>
  <c r="S480" i="1"/>
  <c r="I484" i="1" s="1"/>
  <c r="Q480" i="1"/>
  <c r="M480" i="1"/>
  <c r="L480" i="1"/>
  <c r="I475" i="1"/>
  <c r="C475" i="1"/>
  <c r="S474" i="1"/>
  <c r="Q474" i="1"/>
  <c r="M474" i="1"/>
  <c r="L474" i="1"/>
  <c r="S473" i="1"/>
  <c r="Q473" i="1"/>
  <c r="L473" i="1" s="1"/>
  <c r="M473" i="1"/>
  <c r="S472" i="1"/>
  <c r="Q472" i="1"/>
  <c r="L472" i="1" s="1"/>
  <c r="M472" i="1"/>
  <c r="S471" i="1"/>
  <c r="Q471" i="1"/>
  <c r="M471" i="1"/>
  <c r="L471" i="1"/>
  <c r="I466" i="1"/>
  <c r="C466" i="1"/>
  <c r="S465" i="1"/>
  <c r="Q465" i="1"/>
  <c r="L465" i="1" s="1"/>
  <c r="M465" i="1"/>
  <c r="S464" i="1"/>
  <c r="Q464" i="1"/>
  <c r="L464" i="1" s="1"/>
  <c r="M464" i="1"/>
  <c r="S463" i="1"/>
  <c r="Q463" i="1"/>
  <c r="M463" i="1"/>
  <c r="L463" i="1"/>
  <c r="S462" i="1"/>
  <c r="Q462" i="1"/>
  <c r="L462" i="1" s="1"/>
  <c r="M462" i="1"/>
  <c r="I457" i="1"/>
  <c r="C457" i="1"/>
  <c r="S456" i="1"/>
  <c r="Q456" i="1"/>
  <c r="L456" i="1" s="1"/>
  <c r="M456" i="1"/>
  <c r="S455" i="1"/>
  <c r="Q455" i="1"/>
  <c r="M455" i="1"/>
  <c r="L455" i="1"/>
  <c r="S454" i="1"/>
  <c r="Q454" i="1"/>
  <c r="L454" i="1" s="1"/>
  <c r="M454" i="1"/>
  <c r="S453" i="1"/>
  <c r="Q453" i="1"/>
  <c r="L453" i="1" s="1"/>
  <c r="M453" i="1"/>
  <c r="C448" i="1"/>
  <c r="S447" i="1"/>
  <c r="Q447" i="1"/>
  <c r="L447" i="1" s="1"/>
  <c r="M447" i="1"/>
  <c r="S446" i="1"/>
  <c r="Q446" i="1"/>
  <c r="L446" i="1" s="1"/>
  <c r="M446" i="1"/>
  <c r="S445" i="1"/>
  <c r="Q445" i="1"/>
  <c r="M445" i="1"/>
  <c r="L445" i="1"/>
  <c r="S444" i="1"/>
  <c r="I448" i="1" s="1"/>
  <c r="Q444" i="1"/>
  <c r="L444" i="1" s="1"/>
  <c r="M444" i="1"/>
  <c r="I439" i="1"/>
  <c r="C439" i="1"/>
  <c r="S438" i="1"/>
  <c r="Q438" i="1"/>
  <c r="L438" i="1" s="1"/>
  <c r="M438" i="1"/>
  <c r="S437" i="1"/>
  <c r="Q437" i="1"/>
  <c r="L437" i="1" s="1"/>
  <c r="M437" i="1"/>
  <c r="S436" i="1"/>
  <c r="Q436" i="1"/>
  <c r="M436" i="1"/>
  <c r="L436" i="1"/>
  <c r="S435" i="1"/>
  <c r="Q435" i="1"/>
  <c r="L435" i="1" s="1"/>
  <c r="M435" i="1"/>
  <c r="C430" i="1"/>
  <c r="S429" i="1"/>
  <c r="Q429" i="1"/>
  <c r="L429" i="1" s="1"/>
  <c r="M429" i="1"/>
  <c r="S428" i="1"/>
  <c r="Q428" i="1"/>
  <c r="M428" i="1"/>
  <c r="L428" i="1"/>
  <c r="S427" i="1"/>
  <c r="Q427" i="1"/>
  <c r="L427" i="1" s="1"/>
  <c r="M427" i="1"/>
  <c r="S426" i="1"/>
  <c r="I430" i="1" s="1"/>
  <c r="Q426" i="1"/>
  <c r="M426" i="1"/>
  <c r="L426" i="1"/>
  <c r="C421" i="1"/>
  <c r="S420" i="1"/>
  <c r="Q420" i="1"/>
  <c r="M420" i="1"/>
  <c r="L420" i="1"/>
  <c r="S419" i="1"/>
  <c r="Q419" i="1"/>
  <c r="L419" i="1" s="1"/>
  <c r="M419" i="1"/>
  <c r="S418" i="1"/>
  <c r="Q418" i="1"/>
  <c r="L418" i="1" s="1"/>
  <c r="M418" i="1"/>
  <c r="S417" i="1"/>
  <c r="I421" i="1" s="1"/>
  <c r="Q417" i="1"/>
  <c r="M417" i="1"/>
  <c r="L417" i="1"/>
  <c r="C412" i="1"/>
  <c r="S411" i="1"/>
  <c r="Q411" i="1"/>
  <c r="L411" i="1" s="1"/>
  <c r="M411" i="1"/>
  <c r="S410" i="1"/>
  <c r="Q410" i="1"/>
  <c r="M410" i="1"/>
  <c r="L410" i="1"/>
  <c r="S409" i="1"/>
  <c r="I412" i="1" s="1"/>
  <c r="Q409" i="1"/>
  <c r="L409" i="1" s="1"/>
  <c r="M409" i="1"/>
  <c r="S408" i="1"/>
  <c r="Q408" i="1"/>
  <c r="L408" i="1" s="1"/>
  <c r="M408" i="1"/>
  <c r="C403" i="1"/>
  <c r="S402" i="1"/>
  <c r="Q402" i="1"/>
  <c r="M402" i="1"/>
  <c r="L402" i="1"/>
  <c r="S401" i="1"/>
  <c r="Q401" i="1"/>
  <c r="M401" i="1"/>
  <c r="L401" i="1"/>
  <c r="S400" i="1"/>
  <c r="Q400" i="1"/>
  <c r="L400" i="1" s="1"/>
  <c r="M400" i="1"/>
  <c r="S399" i="1"/>
  <c r="I403" i="1" s="1"/>
  <c r="Q399" i="1"/>
  <c r="L399" i="1" s="1"/>
  <c r="M399" i="1"/>
  <c r="C394" i="1"/>
  <c r="S393" i="1"/>
  <c r="Q393" i="1"/>
  <c r="M393" i="1"/>
  <c r="L393" i="1"/>
  <c r="S392" i="1"/>
  <c r="Q392" i="1"/>
  <c r="L392" i="1" s="1"/>
  <c r="M392" i="1"/>
  <c r="S391" i="1"/>
  <c r="Q391" i="1"/>
  <c r="M391" i="1"/>
  <c r="L391" i="1"/>
  <c r="S390" i="1"/>
  <c r="I394" i="1" s="1"/>
  <c r="Q390" i="1"/>
  <c r="M390" i="1"/>
  <c r="L390" i="1"/>
  <c r="C385" i="1"/>
  <c r="S384" i="1"/>
  <c r="Q384" i="1"/>
  <c r="L384" i="1" s="1"/>
  <c r="M384" i="1"/>
  <c r="S383" i="1"/>
  <c r="Q383" i="1"/>
  <c r="L383" i="1" s="1"/>
  <c r="M383" i="1"/>
  <c r="S382" i="1"/>
  <c r="Q382" i="1"/>
  <c r="M382" i="1"/>
  <c r="L382" i="1"/>
  <c r="S381" i="1"/>
  <c r="I385" i="1" s="1"/>
  <c r="Q381" i="1"/>
  <c r="L381" i="1" s="1"/>
  <c r="M381" i="1"/>
  <c r="C376" i="1"/>
  <c r="S375" i="1"/>
  <c r="Q375" i="1"/>
  <c r="M375" i="1"/>
  <c r="L375" i="1"/>
  <c r="S374" i="1"/>
  <c r="Q374" i="1"/>
  <c r="L374" i="1" s="1"/>
  <c r="M374" i="1"/>
  <c r="S373" i="1"/>
  <c r="Q373" i="1"/>
  <c r="L373" i="1" s="1"/>
  <c r="M373" i="1"/>
  <c r="S372" i="1"/>
  <c r="I376" i="1" s="1"/>
  <c r="Q372" i="1"/>
  <c r="M372" i="1"/>
  <c r="L372" i="1"/>
  <c r="I367" i="1"/>
  <c r="C367" i="1"/>
  <c r="S366" i="1"/>
  <c r="Q366" i="1"/>
  <c r="M366" i="1"/>
  <c r="L366" i="1"/>
  <c r="S365" i="1"/>
  <c r="Q365" i="1"/>
  <c r="L365" i="1" s="1"/>
  <c r="M365" i="1"/>
  <c r="S364" i="1"/>
  <c r="Q364" i="1"/>
  <c r="M364" i="1"/>
  <c r="L364" i="1"/>
  <c r="S363" i="1"/>
  <c r="Q363" i="1"/>
  <c r="M363" i="1"/>
  <c r="L363" i="1"/>
  <c r="I358" i="1"/>
  <c r="C358" i="1"/>
  <c r="S357" i="1"/>
  <c r="Q357" i="1"/>
  <c r="M357" i="1"/>
  <c r="L357" i="1"/>
  <c r="S356" i="1"/>
  <c r="Q356" i="1"/>
  <c r="M356" i="1"/>
  <c r="L356" i="1"/>
  <c r="S355" i="1"/>
  <c r="Q355" i="1"/>
  <c r="M355" i="1"/>
  <c r="L355" i="1"/>
  <c r="S354" i="1"/>
  <c r="Q354" i="1"/>
  <c r="M354" i="1"/>
  <c r="L354" i="1"/>
  <c r="I349" i="1"/>
  <c r="C349" i="1"/>
  <c r="S348" i="1"/>
  <c r="Q348" i="1"/>
  <c r="M348" i="1"/>
  <c r="L348" i="1"/>
  <c r="S347" i="1"/>
  <c r="Q347" i="1"/>
  <c r="M347" i="1"/>
  <c r="L347" i="1"/>
  <c r="S346" i="1"/>
  <c r="Q346" i="1"/>
  <c r="L346" i="1" s="1"/>
  <c r="M346" i="1"/>
  <c r="S345" i="1"/>
  <c r="Q345" i="1"/>
  <c r="L345" i="1" s="1"/>
  <c r="M345" i="1"/>
  <c r="I340" i="1"/>
  <c r="C340" i="1"/>
  <c r="S339" i="1"/>
  <c r="Q339" i="1"/>
  <c r="L339" i="1" s="1"/>
  <c r="M339" i="1"/>
  <c r="S338" i="1"/>
  <c r="Q338" i="1"/>
  <c r="L338" i="1" s="1"/>
  <c r="M338" i="1"/>
  <c r="S337" i="1"/>
  <c r="Q337" i="1"/>
  <c r="L337" i="1" s="1"/>
  <c r="M337" i="1"/>
  <c r="S336" i="1"/>
  <c r="Q336" i="1"/>
  <c r="L336" i="1" s="1"/>
  <c r="M336" i="1"/>
  <c r="I331" i="1"/>
  <c r="C331" i="1"/>
  <c r="S330" i="1"/>
  <c r="Q330" i="1"/>
  <c r="L330" i="1" s="1"/>
  <c r="M330" i="1"/>
  <c r="S329" i="1"/>
  <c r="Q329" i="1"/>
  <c r="M329" i="1"/>
  <c r="L329" i="1"/>
  <c r="S328" i="1"/>
  <c r="Q328" i="1"/>
  <c r="M328" i="1"/>
  <c r="L328" i="1"/>
  <c r="S327" i="1"/>
  <c r="Q327" i="1"/>
  <c r="L327" i="1" s="1"/>
  <c r="M327" i="1"/>
  <c r="C322" i="1"/>
  <c r="S321" i="1"/>
  <c r="Q321" i="1"/>
  <c r="L321" i="1" s="1"/>
  <c r="M321" i="1"/>
  <c r="S320" i="1"/>
  <c r="Q320" i="1"/>
  <c r="M320" i="1"/>
  <c r="L320" i="1"/>
  <c r="S319" i="1"/>
  <c r="Q319" i="1"/>
  <c r="L319" i="1" s="1"/>
  <c r="M319" i="1"/>
  <c r="S318" i="1"/>
  <c r="I322" i="1" s="1"/>
  <c r="Q318" i="1"/>
  <c r="L318" i="1" s="1"/>
  <c r="M318" i="1"/>
  <c r="C313" i="1"/>
  <c r="S312" i="1"/>
  <c r="Q312" i="1"/>
  <c r="M312" i="1"/>
  <c r="L312" i="1"/>
  <c r="S311" i="1"/>
  <c r="Q311" i="1"/>
  <c r="L311" i="1" s="1"/>
  <c r="M311" i="1"/>
  <c r="S310" i="1"/>
  <c r="Q310" i="1"/>
  <c r="L310" i="1" s="1"/>
  <c r="M310" i="1"/>
  <c r="S309" i="1"/>
  <c r="I313" i="1" s="1"/>
  <c r="Q309" i="1"/>
  <c r="M309" i="1"/>
  <c r="L309" i="1"/>
  <c r="C304" i="1"/>
  <c r="S303" i="1"/>
  <c r="Q303" i="1"/>
  <c r="M303" i="1"/>
  <c r="L303" i="1"/>
  <c r="S302" i="1"/>
  <c r="Q302" i="1"/>
  <c r="L302" i="1" s="1"/>
  <c r="M302" i="1"/>
  <c r="S301" i="1"/>
  <c r="Q301" i="1"/>
  <c r="L301" i="1" s="1"/>
  <c r="M301" i="1"/>
  <c r="Q300" i="1"/>
  <c r="L300" i="1" s="1"/>
  <c r="M300" i="1" s="1"/>
  <c r="S300" i="1" s="1"/>
  <c r="I304" i="1" s="1"/>
  <c r="C295" i="1"/>
  <c r="S294" i="1"/>
  <c r="Q294" i="1"/>
  <c r="M294" i="1"/>
  <c r="L294" i="1"/>
  <c r="S293" i="1"/>
  <c r="Q293" i="1"/>
  <c r="M293" i="1"/>
  <c r="L293" i="1"/>
  <c r="S292" i="1"/>
  <c r="Q292" i="1"/>
  <c r="L292" i="1" s="1"/>
  <c r="M292" i="1"/>
  <c r="Q291" i="1"/>
  <c r="L291" i="1"/>
  <c r="M291" i="1" s="1"/>
  <c r="S291" i="1" s="1"/>
  <c r="I295" i="1" s="1"/>
  <c r="C286" i="1"/>
  <c r="S285" i="1"/>
  <c r="Q285" i="1"/>
  <c r="L285" i="1" s="1"/>
  <c r="M285" i="1"/>
  <c r="S284" i="1"/>
  <c r="Q284" i="1"/>
  <c r="M284" i="1"/>
  <c r="L284" i="1"/>
  <c r="S283" i="1"/>
  <c r="Q283" i="1"/>
  <c r="L283" i="1" s="1"/>
  <c r="M283" i="1"/>
  <c r="Q282" i="1"/>
  <c r="L282" i="1" s="1"/>
  <c r="M282" i="1" s="1"/>
  <c r="S282" i="1" s="1"/>
  <c r="I286" i="1" s="1"/>
  <c r="C277" i="1"/>
  <c r="S276" i="1"/>
  <c r="Q276" i="1"/>
  <c r="L276" i="1" s="1"/>
  <c r="M276" i="1"/>
  <c r="S275" i="1"/>
  <c r="Q275" i="1"/>
  <c r="L275" i="1" s="1"/>
  <c r="M275" i="1"/>
  <c r="S274" i="1"/>
  <c r="Q274" i="1"/>
  <c r="M274" i="1"/>
  <c r="L274" i="1"/>
  <c r="Q273" i="1"/>
  <c r="L273" i="1" s="1"/>
  <c r="M273" i="1" s="1"/>
  <c r="S273" i="1" s="1"/>
  <c r="I277" i="1" s="1"/>
  <c r="C268" i="1"/>
  <c r="S267" i="1"/>
  <c r="Q267" i="1"/>
  <c r="L267" i="1" s="1"/>
  <c r="M267" i="1"/>
  <c r="S266" i="1"/>
  <c r="Q266" i="1"/>
  <c r="L266" i="1" s="1"/>
  <c r="M266" i="1"/>
  <c r="S265" i="1"/>
  <c r="Q265" i="1"/>
  <c r="M265" i="1"/>
  <c r="L265" i="1"/>
  <c r="Q264" i="1"/>
  <c r="L264" i="1" s="1"/>
  <c r="M264" i="1" s="1"/>
  <c r="S264" i="1" s="1"/>
  <c r="I268" i="1" s="1"/>
  <c r="C259" i="1"/>
  <c r="S258" i="1"/>
  <c r="Q258" i="1"/>
  <c r="L258" i="1" s="1"/>
  <c r="M258" i="1"/>
  <c r="S257" i="1"/>
  <c r="Q257" i="1"/>
  <c r="L257" i="1" s="1"/>
  <c r="M257" i="1"/>
  <c r="S256" i="1"/>
  <c r="Q256" i="1"/>
  <c r="M256" i="1"/>
  <c r="L256" i="1"/>
  <c r="Q255" i="1"/>
  <c r="L255" i="1" s="1"/>
  <c r="M255" i="1" s="1"/>
  <c r="S255" i="1" s="1"/>
  <c r="I259" i="1" s="1"/>
  <c r="C250" i="1"/>
  <c r="S249" i="1"/>
  <c r="Q249" i="1"/>
  <c r="M249" i="1"/>
  <c r="L249" i="1"/>
  <c r="S248" i="1"/>
  <c r="Q248" i="1"/>
  <c r="L248" i="1" s="1"/>
  <c r="M248" i="1"/>
  <c r="S247" i="1"/>
  <c r="Q247" i="1"/>
  <c r="L247" i="1" s="1"/>
  <c r="M247" i="1"/>
  <c r="Q246" i="1"/>
  <c r="L246" i="1"/>
  <c r="M246" i="1" s="1"/>
  <c r="S246" i="1" s="1"/>
  <c r="I250" i="1" s="1"/>
  <c r="C241" i="1"/>
  <c r="S240" i="1"/>
  <c r="Q240" i="1"/>
  <c r="M240" i="1"/>
  <c r="L240" i="1"/>
  <c r="S239" i="1"/>
  <c r="Q239" i="1"/>
  <c r="L239" i="1" s="1"/>
  <c r="M239" i="1"/>
  <c r="S238" i="1"/>
  <c r="Q238" i="1"/>
  <c r="L238" i="1" s="1"/>
  <c r="M238" i="1"/>
  <c r="Q237" i="1"/>
  <c r="L237" i="1"/>
  <c r="C232" i="1"/>
  <c r="S231" i="1"/>
  <c r="Q231" i="1"/>
  <c r="L231" i="1" s="1"/>
  <c r="M231" i="1"/>
  <c r="S230" i="1"/>
  <c r="Q230" i="1"/>
  <c r="M230" i="1"/>
  <c r="L230" i="1"/>
  <c r="S229" i="1"/>
  <c r="Q229" i="1"/>
  <c r="L229" i="1" s="1"/>
  <c r="M229" i="1"/>
  <c r="Q228" i="1"/>
  <c r="L228" i="1" s="1"/>
  <c r="M228" i="1" s="1"/>
  <c r="S228" i="1" s="1"/>
  <c r="I232" i="1" s="1"/>
  <c r="C223" i="1"/>
  <c r="S222" i="1"/>
  <c r="Q222" i="1"/>
  <c r="L222" i="1" s="1"/>
  <c r="M222" i="1"/>
  <c r="S221" i="1"/>
  <c r="Q221" i="1"/>
  <c r="M221" i="1"/>
  <c r="L221" i="1"/>
  <c r="S220" i="1"/>
  <c r="Q220" i="1"/>
  <c r="L220" i="1" s="1"/>
  <c r="M220" i="1"/>
  <c r="Q219" i="1"/>
  <c r="L219" i="1" s="1"/>
  <c r="C214" i="1"/>
  <c r="S213" i="1"/>
  <c r="Q213" i="1"/>
  <c r="L213" i="1" s="1"/>
  <c r="M213" i="1"/>
  <c r="S212" i="1"/>
  <c r="Q212" i="1"/>
  <c r="L212" i="1" s="1"/>
  <c r="M212" i="1"/>
  <c r="S211" i="1"/>
  <c r="Q211" i="1"/>
  <c r="M211" i="1"/>
  <c r="L211" i="1"/>
  <c r="Q210" i="1"/>
  <c r="L210" i="1" s="1"/>
  <c r="M210" i="1" s="1"/>
  <c r="S210" i="1" s="1"/>
  <c r="I214" i="1" s="1"/>
  <c r="C205" i="1"/>
  <c r="S204" i="1"/>
  <c r="Q204" i="1"/>
  <c r="L204" i="1" s="1"/>
  <c r="M204" i="1"/>
  <c r="S203" i="1"/>
  <c r="Q203" i="1"/>
  <c r="L203" i="1" s="1"/>
  <c r="M203" i="1"/>
  <c r="S202" i="1"/>
  <c r="Q202" i="1"/>
  <c r="M202" i="1"/>
  <c r="L202" i="1"/>
  <c r="Q201" i="1"/>
  <c r="L201" i="1" s="1"/>
  <c r="M201" i="1" s="1"/>
  <c r="S201" i="1" s="1"/>
  <c r="I205" i="1" s="1"/>
  <c r="C196" i="1"/>
  <c r="S195" i="1"/>
  <c r="Q195" i="1"/>
  <c r="M195" i="1"/>
  <c r="L195" i="1"/>
  <c r="S194" i="1"/>
  <c r="Q194" i="1"/>
  <c r="L194" i="1" s="1"/>
  <c r="M194" i="1"/>
  <c r="S193" i="1"/>
  <c r="Q193" i="1"/>
  <c r="L193" i="1" s="1"/>
  <c r="M193" i="1"/>
  <c r="Q192" i="1"/>
  <c r="L192" i="1"/>
  <c r="M192" i="1" s="1"/>
  <c r="S192" i="1" s="1"/>
  <c r="I196" i="1" s="1"/>
  <c r="C187" i="1"/>
  <c r="S186" i="1"/>
  <c r="Q186" i="1"/>
  <c r="M186" i="1"/>
  <c r="L186" i="1"/>
  <c r="S185" i="1"/>
  <c r="Q185" i="1"/>
  <c r="L185" i="1" s="1"/>
  <c r="M185" i="1"/>
  <c r="S184" i="1"/>
  <c r="Q184" i="1"/>
  <c r="L184" i="1" s="1"/>
  <c r="M184" i="1"/>
  <c r="Q183" i="1"/>
  <c r="L183" i="1"/>
  <c r="C178" i="1"/>
  <c r="S177" i="1"/>
  <c r="Q177" i="1"/>
  <c r="L177" i="1" s="1"/>
  <c r="M177" i="1"/>
  <c r="S176" i="1"/>
  <c r="Q176" i="1"/>
  <c r="M176" i="1"/>
  <c r="L176" i="1"/>
  <c r="S175" i="1"/>
  <c r="Q175" i="1"/>
  <c r="L175" i="1" s="1"/>
  <c r="M175" i="1"/>
  <c r="Q174" i="1"/>
  <c r="L174" i="1" s="1"/>
  <c r="M174" i="1" s="1"/>
  <c r="S174" i="1" s="1"/>
  <c r="I178" i="1" s="1"/>
  <c r="C169" i="1"/>
  <c r="S168" i="1"/>
  <c r="Q168" i="1"/>
  <c r="L168" i="1" s="1"/>
  <c r="M168" i="1"/>
  <c r="S167" i="1"/>
  <c r="Q167" i="1"/>
  <c r="M167" i="1"/>
  <c r="L167" i="1"/>
  <c r="S166" i="1"/>
  <c r="Q166" i="1"/>
  <c r="L166" i="1" s="1"/>
  <c r="M166" i="1"/>
  <c r="Q165" i="1"/>
  <c r="L165" i="1" s="1"/>
  <c r="M165" i="1" s="1"/>
  <c r="S165" i="1" s="1"/>
  <c r="I169" i="1" s="1"/>
  <c r="C160" i="1"/>
  <c r="S159" i="1"/>
  <c r="Q159" i="1"/>
  <c r="L159" i="1" s="1"/>
  <c r="M159" i="1"/>
  <c r="S158" i="1"/>
  <c r="Q158" i="1"/>
  <c r="L158" i="1" s="1"/>
  <c r="M158" i="1"/>
  <c r="S157" i="1"/>
  <c r="Q157" i="1"/>
  <c r="M157" i="1"/>
  <c r="L157" i="1"/>
  <c r="Q156" i="1"/>
  <c r="L156" i="1" s="1"/>
  <c r="M156" i="1" s="1"/>
  <c r="S156" i="1" s="1"/>
  <c r="I160" i="1" s="1"/>
  <c r="C151" i="1"/>
  <c r="S150" i="1"/>
  <c r="Q150" i="1"/>
  <c r="L150" i="1" s="1"/>
  <c r="M150" i="1"/>
  <c r="S149" i="1"/>
  <c r="Q149" i="1"/>
  <c r="L149" i="1" s="1"/>
  <c r="M149" i="1"/>
  <c r="S148" i="1"/>
  <c r="Q148" i="1"/>
  <c r="M148" i="1"/>
  <c r="L148" i="1"/>
  <c r="Q147" i="1"/>
  <c r="L147" i="1" s="1"/>
  <c r="M147" i="1" s="1"/>
  <c r="S147" i="1" s="1"/>
  <c r="I151" i="1" s="1"/>
  <c r="C142" i="1"/>
  <c r="S141" i="1"/>
  <c r="Q141" i="1"/>
  <c r="M141" i="1"/>
  <c r="L141" i="1"/>
  <c r="S140" i="1"/>
  <c r="Q140" i="1"/>
  <c r="L140" i="1" s="1"/>
  <c r="M140" i="1"/>
  <c r="S139" i="1"/>
  <c r="Q139" i="1"/>
  <c r="L139" i="1" s="1"/>
  <c r="M139" i="1"/>
  <c r="Q138" i="1"/>
  <c r="L138" i="1"/>
  <c r="M138" i="1" s="1"/>
  <c r="S138" i="1" s="1"/>
  <c r="I142" i="1" s="1"/>
  <c r="C133" i="1"/>
  <c r="S132" i="1"/>
  <c r="Q132" i="1"/>
  <c r="M132" i="1"/>
  <c r="L132" i="1"/>
  <c r="S131" i="1"/>
  <c r="Q131" i="1"/>
  <c r="L131" i="1" s="1"/>
  <c r="M131" i="1"/>
  <c r="S130" i="1"/>
  <c r="Q130" i="1"/>
  <c r="L130" i="1" s="1"/>
  <c r="M130" i="1"/>
  <c r="Q129" i="1"/>
  <c r="L129" i="1"/>
  <c r="M129" i="1" s="1"/>
  <c r="S129" i="1" s="1"/>
  <c r="I133" i="1" s="1"/>
  <c r="C124" i="1"/>
  <c r="S123" i="1"/>
  <c r="Q123" i="1"/>
  <c r="L123" i="1" s="1"/>
  <c r="M123" i="1"/>
  <c r="S122" i="1"/>
  <c r="Q122" i="1"/>
  <c r="M122" i="1"/>
  <c r="L122" i="1"/>
  <c r="Q121" i="1"/>
  <c r="L121" i="1" s="1"/>
  <c r="M121" i="1" s="1"/>
  <c r="S121" i="1" s="1"/>
  <c r="Q120" i="1"/>
  <c r="L120" i="1" s="1"/>
  <c r="M120" i="1" s="1"/>
  <c r="S120" i="1" s="1"/>
  <c r="I124" i="1" s="1"/>
  <c r="C115" i="1"/>
  <c r="S114" i="1"/>
  <c r="Q114" i="1"/>
  <c r="L114" i="1" s="1"/>
  <c r="M114" i="1"/>
  <c r="S113" i="1"/>
  <c r="Q113" i="1"/>
  <c r="M113" i="1"/>
  <c r="L113" i="1"/>
  <c r="S112" i="1"/>
  <c r="Q112" i="1"/>
  <c r="L112" i="1" s="1"/>
  <c r="M112" i="1"/>
  <c r="Q111" i="1"/>
  <c r="L111" i="1" s="1"/>
  <c r="M111" i="1" s="1"/>
  <c r="S111" i="1" s="1"/>
  <c r="I115" i="1" s="1"/>
  <c r="C106" i="1"/>
  <c r="S105" i="1"/>
  <c r="Q105" i="1"/>
  <c r="L105" i="1" s="1"/>
  <c r="M105" i="1"/>
  <c r="S104" i="1"/>
  <c r="Q104" i="1"/>
  <c r="L104" i="1" s="1"/>
  <c r="M104" i="1"/>
  <c r="S103" i="1"/>
  <c r="Q103" i="1"/>
  <c r="M103" i="1"/>
  <c r="L103" i="1"/>
  <c r="Q102" i="1"/>
  <c r="L102" i="1" s="1"/>
  <c r="M102" i="1" s="1"/>
  <c r="S102" i="1" s="1"/>
  <c r="I106" i="1" s="1"/>
  <c r="C97" i="1"/>
  <c r="S96" i="1"/>
  <c r="Q96" i="1"/>
  <c r="L96" i="1" s="1"/>
  <c r="M96" i="1"/>
  <c r="S95" i="1"/>
  <c r="Q95" i="1"/>
  <c r="L95" i="1" s="1"/>
  <c r="M95" i="1"/>
  <c r="S94" i="1"/>
  <c r="Q94" i="1"/>
  <c r="M94" i="1"/>
  <c r="L94" i="1"/>
  <c r="Q93" i="1"/>
  <c r="L93" i="1" s="1"/>
  <c r="M93" i="1" s="1"/>
  <c r="S93" i="1" s="1"/>
  <c r="I97" i="1" s="1"/>
  <c r="C88" i="1"/>
  <c r="S87" i="1"/>
  <c r="Q87" i="1"/>
  <c r="M87" i="1"/>
  <c r="L87" i="1"/>
  <c r="S86" i="1"/>
  <c r="Q86" i="1"/>
  <c r="L86" i="1" s="1"/>
  <c r="M86" i="1"/>
  <c r="Q85" i="1"/>
  <c r="L85" i="1" s="1"/>
  <c r="M85" i="1" s="1"/>
  <c r="S85" i="1" s="1"/>
  <c r="Q84" i="1"/>
  <c r="L84" i="1"/>
  <c r="M84" i="1" s="1"/>
  <c r="S84" i="1" s="1"/>
  <c r="I88" i="1" s="1"/>
  <c r="C79" i="1"/>
  <c r="S78" i="1"/>
  <c r="Q78" i="1"/>
  <c r="M78" i="1"/>
  <c r="L78" i="1"/>
  <c r="S77" i="1"/>
  <c r="Q77" i="1"/>
  <c r="L77" i="1" s="1"/>
  <c r="M77" i="1"/>
  <c r="S76" i="1"/>
  <c r="Q76" i="1"/>
  <c r="L76" i="1" s="1"/>
  <c r="M76" i="1"/>
  <c r="Q75" i="1"/>
  <c r="L75" i="1"/>
  <c r="C70" i="1"/>
  <c r="S69" i="1"/>
  <c r="Q69" i="1"/>
  <c r="L69" i="1" s="1"/>
  <c r="M69" i="1"/>
  <c r="S68" i="1"/>
  <c r="Q68" i="1"/>
  <c r="M68" i="1"/>
  <c r="L68" i="1"/>
  <c r="S67" i="1"/>
  <c r="Q67" i="1"/>
  <c r="L67" i="1" s="1"/>
  <c r="M67" i="1"/>
  <c r="Q66" i="1"/>
  <c r="L66" i="1" s="1"/>
  <c r="M66" i="1" s="1"/>
  <c r="S66" i="1" s="1"/>
  <c r="I70" i="1" s="1"/>
  <c r="C61" i="1"/>
  <c r="S60" i="1"/>
  <c r="Q60" i="1"/>
  <c r="L60" i="1" s="1"/>
  <c r="M60" i="1"/>
  <c r="S59" i="1"/>
  <c r="Q59" i="1"/>
  <c r="M59" i="1"/>
  <c r="L59" i="1"/>
  <c r="S58" i="1"/>
  <c r="Q58" i="1"/>
  <c r="L58" i="1" s="1"/>
  <c r="M58" i="1"/>
  <c r="Q57" i="1"/>
  <c r="L57" i="1" s="1"/>
  <c r="M57" i="1" s="1"/>
  <c r="S57" i="1" s="1"/>
  <c r="I61" i="1" s="1"/>
  <c r="C52" i="1"/>
  <c r="S51" i="1"/>
  <c r="Q51" i="1"/>
  <c r="L51" i="1" s="1"/>
  <c r="M51" i="1"/>
  <c r="S50" i="1"/>
  <c r="Q50" i="1"/>
  <c r="L50" i="1" s="1"/>
  <c r="M50" i="1"/>
  <c r="S49" i="1"/>
  <c r="Q49" i="1"/>
  <c r="M49" i="1"/>
  <c r="L49" i="1"/>
  <c r="Q48" i="1"/>
  <c r="L48" i="1" s="1"/>
  <c r="M48" i="1" s="1"/>
  <c r="S48" i="1" s="1"/>
  <c r="I52" i="1" s="1"/>
  <c r="C43" i="1"/>
  <c r="S42" i="1"/>
  <c r="Q42" i="1"/>
  <c r="L42" i="1" s="1"/>
  <c r="M42" i="1"/>
  <c r="S41" i="1"/>
  <c r="Q41" i="1"/>
  <c r="L41" i="1" s="1"/>
  <c r="M41" i="1"/>
  <c r="S40" i="1"/>
  <c r="Q40" i="1"/>
  <c r="M40" i="1"/>
  <c r="L40" i="1"/>
  <c r="Q39" i="1"/>
  <c r="L39" i="1" s="1"/>
  <c r="M39" i="1" s="1"/>
  <c r="S39" i="1" s="1"/>
  <c r="I43" i="1" s="1"/>
  <c r="C34" i="1"/>
  <c r="S33" i="1"/>
  <c r="Q33" i="1"/>
  <c r="M33" i="1"/>
  <c r="L33" i="1"/>
  <c r="S32" i="1"/>
  <c r="Q32" i="1"/>
  <c r="L32" i="1" s="1"/>
  <c r="M32" i="1"/>
  <c r="S31" i="1"/>
  <c r="Q31" i="1"/>
  <c r="L31" i="1" s="1"/>
  <c r="M31" i="1"/>
  <c r="Q30" i="1"/>
  <c r="L30" i="1"/>
  <c r="M30" i="1" s="1"/>
  <c r="S30" i="1" s="1"/>
  <c r="I34" i="1" s="1"/>
  <c r="H28" i="1"/>
  <c r="H37" i="1" s="1"/>
  <c r="H46" i="1" s="1"/>
  <c r="H55" i="1" s="1"/>
  <c r="H64" i="1" s="1"/>
  <c r="H73" i="1" s="1"/>
  <c r="H82" i="1" s="1"/>
  <c r="H91" i="1" s="1"/>
  <c r="H100" i="1" s="1"/>
  <c r="H109" i="1" s="1"/>
  <c r="H118" i="1" s="1"/>
  <c r="H127" i="1" s="1"/>
  <c r="H136" i="1" s="1"/>
  <c r="H145" i="1" s="1"/>
  <c r="H154" i="1" s="1"/>
  <c r="H163" i="1" s="1"/>
  <c r="H172" i="1" s="1"/>
  <c r="H181" i="1" s="1"/>
  <c r="H190" i="1" s="1"/>
  <c r="H199" i="1" s="1"/>
  <c r="H208" i="1" s="1"/>
  <c r="H217" i="1" s="1"/>
  <c r="H226" i="1" s="1"/>
  <c r="H235" i="1" s="1"/>
  <c r="H244" i="1" s="1"/>
  <c r="H253" i="1" s="1"/>
  <c r="H262" i="1" s="1"/>
  <c r="H271" i="1" s="1"/>
  <c r="H280" i="1" s="1"/>
  <c r="H289" i="1" s="1"/>
  <c r="H298" i="1" s="1"/>
  <c r="H307" i="1" s="1"/>
  <c r="H316" i="1" s="1"/>
  <c r="H325" i="1" s="1"/>
  <c r="H334" i="1" s="1"/>
  <c r="H343" i="1" s="1"/>
  <c r="H352" i="1" s="1"/>
  <c r="H361" i="1" s="1"/>
  <c r="H370" i="1" s="1"/>
  <c r="H379" i="1" s="1"/>
  <c r="H388" i="1" s="1"/>
  <c r="H397" i="1" s="1"/>
  <c r="H406" i="1" s="1"/>
  <c r="H415" i="1" s="1"/>
  <c r="H424" i="1" s="1"/>
  <c r="H433" i="1" s="1"/>
  <c r="H442" i="1" s="1"/>
  <c r="H451" i="1" s="1"/>
  <c r="H460" i="1" s="1"/>
  <c r="H469" i="1" s="1"/>
  <c r="H478" i="1" s="1"/>
  <c r="H487" i="1" s="1"/>
  <c r="H496" i="1" s="1"/>
  <c r="C25" i="1"/>
  <c r="S24" i="1"/>
  <c r="Q24" i="1"/>
  <c r="M24" i="1"/>
  <c r="L24" i="1"/>
  <c r="S23" i="1"/>
  <c r="Q23" i="1"/>
  <c r="L23" i="1" s="1"/>
  <c r="M23" i="1"/>
  <c r="S22" i="1"/>
  <c r="Q22" i="1"/>
  <c r="L22" i="1" s="1"/>
  <c r="M22" i="1"/>
  <c r="Q21" i="1"/>
  <c r="L21" i="1"/>
  <c r="M21" i="1" s="1"/>
  <c r="S21" i="1" s="1"/>
  <c r="I25" i="1" s="1"/>
  <c r="H19" i="1"/>
  <c r="B18" i="1"/>
  <c r="B25" i="1" s="1"/>
  <c r="B16" i="1"/>
  <c r="A16" i="1"/>
  <c r="S15" i="1"/>
  <c r="Q15" i="1"/>
  <c r="M15" i="1"/>
  <c r="L15" i="1"/>
  <c r="S14" i="1"/>
  <c r="Q14" i="1"/>
  <c r="L14" i="1" s="1"/>
  <c r="M14" i="1"/>
  <c r="Q13" i="1"/>
  <c r="L13" i="1" s="1"/>
  <c r="M13" i="1" s="1"/>
  <c r="S13" i="1" s="1"/>
  <c r="Q12" i="1"/>
  <c r="M12" i="1"/>
  <c r="S12" i="1" s="1"/>
  <c r="L12" i="1"/>
  <c r="N9" i="1"/>
  <c r="B9" i="1"/>
  <c r="H6" i="1"/>
  <c r="M237" i="1" s="1"/>
  <c r="S237" i="1" s="1"/>
  <c r="I241" i="1" s="1"/>
  <c r="G6" i="1"/>
  <c r="H4" i="1"/>
  <c r="M219" i="1" l="1"/>
  <c r="S219" i="1" s="1"/>
  <c r="I223" i="1" s="1"/>
  <c r="I16" i="1"/>
  <c r="C15" i="4" s="1"/>
  <c r="AE18" i="2"/>
  <c r="AF18" i="2" s="1"/>
  <c r="A18" i="2"/>
  <c r="AG49" i="2"/>
  <c r="T44" i="2"/>
  <c r="B58" i="2"/>
  <c r="B61" i="2"/>
  <c r="B57" i="2"/>
  <c r="B59" i="2"/>
  <c r="AG47" i="2"/>
  <c r="AG48" i="2"/>
  <c r="B27" i="1"/>
  <c r="AE168" i="2"/>
  <c r="AF168" i="2" s="1"/>
  <c r="A168" i="2"/>
  <c r="M75" i="1"/>
  <c r="S75" i="1" s="1"/>
  <c r="I79" i="1" s="1"/>
  <c r="J9" i="1"/>
  <c r="M183" i="1"/>
  <c r="S183" i="1" s="1"/>
  <c r="I187" i="1" s="1"/>
  <c r="S30" i="2"/>
  <c r="S49" i="2"/>
  <c r="X115" i="2"/>
  <c r="L115" i="2" s="1"/>
  <c r="S31" i="2"/>
  <c r="AE64" i="2"/>
  <c r="AF64" i="2" s="1"/>
  <c r="A64" i="2"/>
  <c r="C4" i="4"/>
  <c r="H7" i="2"/>
  <c r="C8" i="4" s="1"/>
  <c r="X47" i="2"/>
  <c r="L47" i="2" s="1"/>
  <c r="T47" i="2"/>
  <c r="X116" i="2"/>
  <c r="L116" i="2" s="1"/>
  <c r="T116" i="2"/>
  <c r="A116" i="2" s="1"/>
  <c r="S32" i="2"/>
  <c r="AE34" i="2"/>
  <c r="AF34" i="2" s="1"/>
  <c r="A34" i="2"/>
  <c r="AD38" i="2"/>
  <c r="AD39" i="2"/>
  <c r="AD33" i="2"/>
  <c r="AD34" i="2"/>
  <c r="J27" i="2"/>
  <c r="AD36" i="2"/>
  <c r="AD37" i="2"/>
  <c r="A25" i="1"/>
  <c r="C16" i="4" s="1"/>
  <c r="V16" i="4" s="1"/>
  <c r="AE50" i="2"/>
  <c r="AF50" i="2" s="1"/>
  <c r="A50" i="2"/>
  <c r="N18" i="1"/>
  <c r="X51" i="2"/>
  <c r="L51" i="2" s="1"/>
  <c r="T51" i="2"/>
  <c r="I25" i="2"/>
  <c r="AG30" i="2"/>
  <c r="AG31" i="2"/>
  <c r="AG32" i="2"/>
  <c r="B40" i="2"/>
  <c r="B42" i="2"/>
  <c r="H92" i="2"/>
  <c r="T98" i="2"/>
  <c r="T100" i="2"/>
  <c r="A137" i="2"/>
  <c r="AE140" i="2"/>
  <c r="AF140" i="2" s="1"/>
  <c r="X183" i="2"/>
  <c r="L183" i="2" s="1"/>
  <c r="A202" i="2"/>
  <c r="X218" i="2"/>
  <c r="L218" i="2" s="1"/>
  <c r="AD21" i="2"/>
  <c r="AE103" i="2"/>
  <c r="AF103" i="2" s="1"/>
  <c r="L103" i="2"/>
  <c r="AE207" i="2"/>
  <c r="AF207" i="2" s="1"/>
  <c r="L207" i="2"/>
  <c r="T133" i="2"/>
  <c r="T135" i="2"/>
  <c r="AD20" i="2"/>
  <c r="A69" i="2"/>
  <c r="AE69" i="2"/>
  <c r="AF69" i="2" s="1"/>
  <c r="X82" i="2"/>
  <c r="L82" i="2" s="1"/>
  <c r="AE150" i="2"/>
  <c r="AF150" i="2" s="1"/>
  <c r="A150" i="2"/>
  <c r="T153" i="2"/>
  <c r="A119" i="2"/>
  <c r="AE119" i="2"/>
  <c r="AF119" i="2" s="1"/>
  <c r="X219" i="2"/>
  <c r="L219" i="2" s="1"/>
  <c r="AE55" i="2"/>
  <c r="AF55" i="2" s="1"/>
  <c r="T65" i="2"/>
  <c r="T74" i="2" s="1"/>
  <c r="A73" i="2"/>
  <c r="AE85" i="2"/>
  <c r="AF85" i="2" s="1"/>
  <c r="L85" i="2"/>
  <c r="AE90" i="2"/>
  <c r="AF90" i="2" s="1"/>
  <c r="A90" i="2"/>
  <c r="AE107" i="2"/>
  <c r="AF107" i="2" s="1"/>
  <c r="AE121" i="2"/>
  <c r="AF121" i="2" s="1"/>
  <c r="A121" i="2"/>
  <c r="T166" i="2"/>
  <c r="X220" i="2"/>
  <c r="L220" i="2" s="1"/>
  <c r="T220" i="2"/>
  <c r="A235" i="2"/>
  <c r="AE235" i="2"/>
  <c r="AF235" i="2" s="1"/>
  <c r="AE19" i="2"/>
  <c r="AF19" i="2" s="1"/>
  <c r="AE35" i="2"/>
  <c r="AF35" i="2" s="1"/>
  <c r="A67" i="2"/>
  <c r="T99" i="2"/>
  <c r="AE200" i="2"/>
  <c r="AF200" i="2" s="1"/>
  <c r="A200" i="2"/>
  <c r="H925" i="2"/>
  <c r="H874" i="2"/>
  <c r="H806" i="2"/>
  <c r="H857" i="2"/>
  <c r="H789" i="2"/>
  <c r="H772" i="2"/>
  <c r="H704" i="2"/>
  <c r="H942" i="2"/>
  <c r="H840" i="2"/>
  <c r="H823" i="2"/>
  <c r="H687" i="2"/>
  <c r="H738" i="2"/>
  <c r="H585" i="2"/>
  <c r="H891" i="2"/>
  <c r="H721" i="2"/>
  <c r="H670" i="2"/>
  <c r="H619" i="2"/>
  <c r="H755" i="2"/>
  <c r="H602" i="2"/>
  <c r="H653" i="2"/>
  <c r="H568" i="2"/>
  <c r="H483" i="2"/>
  <c r="H908" i="2"/>
  <c r="H466" i="2"/>
  <c r="H449" i="2"/>
  <c r="H636" i="2"/>
  <c r="H517" i="2"/>
  <c r="H551" i="2"/>
  <c r="H534" i="2"/>
  <c r="H500" i="2"/>
  <c r="H415" i="2"/>
  <c r="H432" i="2"/>
  <c r="H398" i="2"/>
  <c r="H279" i="2"/>
  <c r="H364" i="2"/>
  <c r="H296" i="2"/>
  <c r="H262" i="2"/>
  <c r="H347" i="2"/>
  <c r="H194" i="2"/>
  <c r="H330" i="2"/>
  <c r="H313" i="2"/>
  <c r="H228" i="2"/>
  <c r="H381" i="2"/>
  <c r="H109" i="2"/>
  <c r="H160" i="2"/>
  <c r="H211" i="2"/>
  <c r="H245" i="2"/>
  <c r="H177" i="2"/>
  <c r="H143" i="2"/>
  <c r="H58" i="2"/>
  <c r="H126" i="2"/>
  <c r="AD18" i="2"/>
  <c r="H24" i="2"/>
  <c r="H41" i="2"/>
  <c r="AE88" i="2"/>
  <c r="AF88" i="2" s="1"/>
  <c r="AE151" i="2"/>
  <c r="AF151" i="2" s="1"/>
  <c r="A151" i="2"/>
  <c r="X81" i="2"/>
  <c r="L81" i="2" s="1"/>
  <c r="T81" i="2"/>
  <c r="X84" i="2"/>
  <c r="L84" i="2" s="1"/>
  <c r="T84" i="2"/>
  <c r="T132" i="2"/>
  <c r="X185" i="2"/>
  <c r="L185" i="2" s="1"/>
  <c r="T13" i="2"/>
  <c r="T14" i="2"/>
  <c r="AD17" i="2"/>
  <c r="AE106" i="2"/>
  <c r="AF106" i="2" s="1"/>
  <c r="T167" i="2"/>
  <c r="X217" i="2"/>
  <c r="L217" i="2" s="1"/>
  <c r="T217" i="2"/>
  <c r="AE53" i="2"/>
  <c r="AF53" i="2" s="1"/>
  <c r="A66" i="2"/>
  <c r="A70" i="2"/>
  <c r="AE70" i="2"/>
  <c r="AF70" i="2" s="1"/>
  <c r="J10" i="2"/>
  <c r="AD13" i="2"/>
  <c r="AD14" i="2"/>
  <c r="AD15" i="2"/>
  <c r="AD16" i="2"/>
  <c r="T149" i="2"/>
  <c r="T152" i="2"/>
  <c r="X269" i="2"/>
  <c r="L269" i="2" s="1"/>
  <c r="AE138" i="2"/>
  <c r="AF138" i="2" s="1"/>
  <c r="A190" i="2"/>
  <c r="L223" i="2"/>
  <c r="A243" i="2"/>
  <c r="AE243" i="2"/>
  <c r="AF243" i="2" s="1"/>
  <c r="T253" i="2"/>
  <c r="X321" i="2"/>
  <c r="L321" i="2" s="1"/>
  <c r="T354" i="2"/>
  <c r="T201" i="2"/>
  <c r="L204" i="2"/>
  <c r="AE221" i="2"/>
  <c r="AF221" i="2" s="1"/>
  <c r="L226" i="2"/>
  <c r="X285" i="2"/>
  <c r="L285" i="2" s="1"/>
  <c r="T285" i="2"/>
  <c r="X355" i="2"/>
  <c r="L355" i="2" s="1"/>
  <c r="AE191" i="2"/>
  <c r="AF191" i="2" s="1"/>
  <c r="AE224" i="2"/>
  <c r="AF224" i="2" s="1"/>
  <c r="X253" i="2"/>
  <c r="L253" i="2" s="1"/>
  <c r="X270" i="2"/>
  <c r="L270" i="2" s="1"/>
  <c r="T302" i="2"/>
  <c r="X302" i="2"/>
  <c r="L302" i="2" s="1"/>
  <c r="AE117" i="2"/>
  <c r="AF117" i="2" s="1"/>
  <c r="AE118" i="2"/>
  <c r="AF118" i="2" s="1"/>
  <c r="AE124" i="2"/>
  <c r="AF124" i="2" s="1"/>
  <c r="AE156" i="2"/>
  <c r="AF156" i="2" s="1"/>
  <c r="AE187" i="2"/>
  <c r="AF187" i="2" s="1"/>
  <c r="A222" i="2"/>
  <c r="X286" i="2"/>
  <c r="L286" i="2" s="1"/>
  <c r="T251" i="2"/>
  <c r="AE175" i="2"/>
  <c r="AF175" i="2" s="1"/>
  <c r="X271" i="2"/>
  <c r="L271" i="2" s="1"/>
  <c r="X287" i="2"/>
  <c r="L287" i="2" s="1"/>
  <c r="X336" i="2"/>
  <c r="L336" i="2" s="1"/>
  <c r="A237" i="2"/>
  <c r="AE237" i="2"/>
  <c r="AF237" i="2" s="1"/>
  <c r="X251" i="2"/>
  <c r="L251" i="2" s="1"/>
  <c r="X304" i="2"/>
  <c r="L304" i="2" s="1"/>
  <c r="T304" i="2"/>
  <c r="AE171" i="2"/>
  <c r="AF171" i="2" s="1"/>
  <c r="AE254" i="2"/>
  <c r="AF254" i="2" s="1"/>
  <c r="L254" i="2"/>
  <c r="AE256" i="2"/>
  <c r="AF256" i="2" s="1"/>
  <c r="AE260" i="2"/>
  <c r="AF260" i="2" s="1"/>
  <c r="L260" i="2"/>
  <c r="S272" i="2"/>
  <c r="X337" i="2"/>
  <c r="L337" i="2" s="1"/>
  <c r="T337" i="2"/>
  <c r="A234" i="2"/>
  <c r="AE234" i="2"/>
  <c r="AF234" i="2" s="1"/>
  <c r="X268" i="2"/>
  <c r="L268" i="2" s="1"/>
  <c r="X353" i="2"/>
  <c r="L353" i="2" s="1"/>
  <c r="A172" i="2"/>
  <c r="AE203" i="2"/>
  <c r="AF203" i="2" s="1"/>
  <c r="AE225" i="2"/>
  <c r="AF225" i="2" s="1"/>
  <c r="X338" i="2"/>
  <c r="L338" i="2" s="1"/>
  <c r="AE206" i="2"/>
  <c r="AF206" i="2" s="1"/>
  <c r="T236" i="2"/>
  <c r="AE241" i="2"/>
  <c r="AF241" i="2" s="1"/>
  <c r="A241" i="2"/>
  <c r="X252" i="2"/>
  <c r="L252" i="2" s="1"/>
  <c r="X320" i="2"/>
  <c r="L320" i="2" s="1"/>
  <c r="AE323" i="2"/>
  <c r="AF323" i="2" s="1"/>
  <c r="AE344" i="2"/>
  <c r="AF344" i="2" s="1"/>
  <c r="S373" i="2"/>
  <c r="AE376" i="2"/>
  <c r="AF376" i="2" s="1"/>
  <c r="A376" i="2"/>
  <c r="X404" i="2"/>
  <c r="L404" i="2" s="1"/>
  <c r="T404" i="2"/>
  <c r="AE240" i="2"/>
  <c r="AF240" i="2" s="1"/>
  <c r="AE277" i="2"/>
  <c r="AF277" i="2" s="1"/>
  <c r="AE289" i="2"/>
  <c r="AF289" i="2" s="1"/>
  <c r="AE341" i="2"/>
  <c r="AF341" i="2" s="1"/>
  <c r="A358" i="2"/>
  <c r="AE362" i="2"/>
  <c r="AF362" i="2" s="1"/>
  <c r="L392" i="2"/>
  <c r="AE392" i="2"/>
  <c r="AF392" i="2" s="1"/>
  <c r="A340" i="2"/>
  <c r="AE340" i="2"/>
  <c r="AF340" i="2" s="1"/>
  <c r="A370" i="2"/>
  <c r="X388" i="2"/>
  <c r="L388" i="2" s="1"/>
  <c r="T388" i="2"/>
  <c r="A290" i="2"/>
  <c r="T303" i="2"/>
  <c r="T319" i="2"/>
  <c r="T438" i="2"/>
  <c r="X438" i="2"/>
  <c r="L438" i="2" s="1"/>
  <c r="AE288" i="2"/>
  <c r="AF288" i="2" s="1"/>
  <c r="A310" i="2"/>
  <c r="AE356" i="2"/>
  <c r="AF356" i="2" s="1"/>
  <c r="X405" i="2"/>
  <c r="L405" i="2" s="1"/>
  <c r="T405" i="2"/>
  <c r="A428" i="2"/>
  <c r="AE428" i="2"/>
  <c r="AF428" i="2" s="1"/>
  <c r="X439" i="2"/>
  <c r="L439" i="2" s="1"/>
  <c r="AE275" i="2"/>
  <c r="AF275" i="2" s="1"/>
  <c r="AE292" i="2"/>
  <c r="AF292" i="2" s="1"/>
  <c r="AE308" i="2"/>
  <c r="AF308" i="2" s="1"/>
  <c r="A327" i="2"/>
  <c r="AE361" i="2"/>
  <c r="AF361" i="2" s="1"/>
  <c r="X389" i="2"/>
  <c r="L389" i="2" s="1"/>
  <c r="T389" i="2" s="1"/>
  <c r="AE291" i="2"/>
  <c r="AF291" i="2" s="1"/>
  <c r="L354" i="2"/>
  <c r="L357" i="2"/>
  <c r="T372" i="2"/>
  <c r="A410" i="2"/>
  <c r="AE410" i="2"/>
  <c r="AF410" i="2" s="1"/>
  <c r="AE274" i="2"/>
  <c r="AF274" i="2" s="1"/>
  <c r="AE472" i="2"/>
  <c r="AF472" i="2" s="1"/>
  <c r="A472" i="2"/>
  <c r="X406" i="2"/>
  <c r="L406" i="2" s="1"/>
  <c r="T406" i="2" s="1"/>
  <c r="X455" i="2"/>
  <c r="L455" i="2" s="1"/>
  <c r="AE294" i="2"/>
  <c r="AF294" i="2" s="1"/>
  <c r="AE306" i="2"/>
  <c r="AF306" i="2" s="1"/>
  <c r="X421" i="2"/>
  <c r="L421" i="2" s="1"/>
  <c r="T371" i="2"/>
  <c r="X456" i="2"/>
  <c r="L456" i="2" s="1"/>
  <c r="T474" i="2"/>
  <c r="L474" i="2"/>
  <c r="A343" i="2"/>
  <c r="AE345" i="2"/>
  <c r="AF345" i="2" s="1"/>
  <c r="X387" i="2"/>
  <c r="L387" i="2" s="1"/>
  <c r="T387" i="2"/>
  <c r="X510" i="2"/>
  <c r="L510" i="2" s="1"/>
  <c r="T510" i="2"/>
  <c r="AE548" i="2"/>
  <c r="AF548" i="2" s="1"/>
  <c r="A548" i="2"/>
  <c r="A407" i="2"/>
  <c r="A413" i="2"/>
  <c r="A463" i="2"/>
  <c r="AE463" i="2"/>
  <c r="AF463" i="2" s="1"/>
  <c r="X491" i="2"/>
  <c r="L491" i="2" s="1"/>
  <c r="T491" i="2"/>
  <c r="AE514" i="2"/>
  <c r="AF514" i="2" s="1"/>
  <c r="A514" i="2"/>
  <c r="L541" i="2"/>
  <c r="T541" i="2"/>
  <c r="AE441" i="2"/>
  <c r="AF441" i="2" s="1"/>
  <c r="AE445" i="2"/>
  <c r="AF445" i="2" s="1"/>
  <c r="A475" i="2"/>
  <c r="AE475" i="2"/>
  <c r="AF475" i="2" s="1"/>
  <c r="AE525" i="2"/>
  <c r="AF525" i="2" s="1"/>
  <c r="A525" i="2"/>
  <c r="A412" i="2"/>
  <c r="L425" i="2"/>
  <c r="A446" i="2"/>
  <c r="AE460" i="2"/>
  <c r="AF460" i="2" s="1"/>
  <c r="AE531" i="2"/>
  <c r="AF531" i="2" s="1"/>
  <c r="L531" i="2"/>
  <c r="X542" i="2"/>
  <c r="L542" i="2" s="1"/>
  <c r="T542" i="2"/>
  <c r="AE391" i="2"/>
  <c r="AF391" i="2" s="1"/>
  <c r="A442" i="2"/>
  <c r="L458" i="2"/>
  <c r="X557" i="2"/>
  <c r="L557" i="2" s="1"/>
  <c r="AE444" i="2"/>
  <c r="AF444" i="2" s="1"/>
  <c r="AE459" i="2"/>
  <c r="AF459" i="2" s="1"/>
  <c r="AE477" i="2"/>
  <c r="AF477" i="2" s="1"/>
  <c r="A477" i="2"/>
  <c r="X489" i="2"/>
  <c r="L489" i="2" s="1"/>
  <c r="X492" i="2"/>
  <c r="L492" i="2" s="1"/>
  <c r="AE396" i="2"/>
  <c r="AF396" i="2" s="1"/>
  <c r="AE427" i="2"/>
  <c r="AF427" i="2" s="1"/>
  <c r="AE377" i="2"/>
  <c r="AF377" i="2" s="1"/>
  <c r="AE408" i="2"/>
  <c r="AF408" i="2" s="1"/>
  <c r="AE430" i="2"/>
  <c r="AF430" i="2" s="1"/>
  <c r="A493" i="2"/>
  <c r="X523" i="2"/>
  <c r="L523" i="2" s="1"/>
  <c r="T523" i="2"/>
  <c r="AE461" i="2"/>
  <c r="AF461" i="2" s="1"/>
  <c r="AE479" i="2"/>
  <c r="AF479" i="2" s="1"/>
  <c r="AE526" i="2"/>
  <c r="AF526" i="2" s="1"/>
  <c r="L526" i="2"/>
  <c r="X490" i="2"/>
  <c r="L490" i="2" s="1"/>
  <c r="T490" i="2"/>
  <c r="AE496" i="2"/>
  <c r="AF496" i="2" s="1"/>
  <c r="L496" i="2"/>
  <c r="T540" i="2"/>
  <c r="T558" i="2"/>
  <c r="L558" i="2"/>
  <c r="T473" i="2"/>
  <c r="X524" i="2"/>
  <c r="L524" i="2" s="1"/>
  <c r="X559" i="2"/>
  <c r="L559" i="2" s="1"/>
  <c r="AE545" i="2"/>
  <c r="AF545" i="2" s="1"/>
  <c r="L545" i="2"/>
  <c r="AE481" i="2"/>
  <c r="AF481" i="2" s="1"/>
  <c r="AE512" i="2"/>
  <c r="AF512" i="2" s="1"/>
  <c r="AE528" i="2"/>
  <c r="AF528" i="2" s="1"/>
  <c r="AE529" i="2"/>
  <c r="AF529" i="2" s="1"/>
  <c r="X540" i="2"/>
  <c r="L540" i="2" s="1"/>
  <c r="AE547" i="2"/>
  <c r="AF547" i="2" s="1"/>
  <c r="AE574" i="2"/>
  <c r="AF574" i="2" s="1"/>
  <c r="AE578" i="2"/>
  <c r="AF578" i="2" s="1"/>
  <c r="AE599" i="2"/>
  <c r="AF599" i="2" s="1"/>
  <c r="AE616" i="2"/>
  <c r="AF616" i="2" s="1"/>
  <c r="A495" i="2"/>
  <c r="AE563" i="2"/>
  <c r="AF563" i="2" s="1"/>
  <c r="AE581" i="2"/>
  <c r="AF581" i="2" s="1"/>
  <c r="AE598" i="2"/>
  <c r="AF598" i="2" s="1"/>
  <c r="A598" i="2"/>
  <c r="AE611" i="2"/>
  <c r="AF611" i="2" s="1"/>
  <c r="AE626" i="2"/>
  <c r="AF626" i="2" s="1"/>
  <c r="A626" i="2"/>
  <c r="A711" i="2"/>
  <c r="AE711" i="2"/>
  <c r="AF711" i="2" s="1"/>
  <c r="AE867" i="2"/>
  <c r="AF867" i="2" s="1"/>
  <c r="A867" i="2"/>
  <c r="AE577" i="2"/>
  <c r="AF577" i="2" s="1"/>
  <c r="T506" i="2"/>
  <c r="T509" i="2"/>
  <c r="AE546" i="2"/>
  <c r="AF546" i="2" s="1"/>
  <c r="AE628" i="2"/>
  <c r="AF628" i="2" s="1"/>
  <c r="A628" i="2"/>
  <c r="A665" i="2"/>
  <c r="AE665" i="2"/>
  <c r="AF665" i="2" s="1"/>
  <c r="A679" i="2"/>
  <c r="AE679" i="2"/>
  <c r="AF679" i="2" s="1"/>
  <c r="AE566" i="2"/>
  <c r="AF566" i="2" s="1"/>
  <c r="AE610" i="2"/>
  <c r="AF610" i="2" s="1"/>
  <c r="A630" i="2"/>
  <c r="AE630" i="2"/>
  <c r="AF630" i="2" s="1"/>
  <c r="A729" i="2"/>
  <c r="AE729" i="2"/>
  <c r="AF729" i="2" s="1"/>
  <c r="AE565" i="2"/>
  <c r="AF565" i="2" s="1"/>
  <c r="A574" i="2"/>
  <c r="AE576" i="2"/>
  <c r="AF576" i="2" s="1"/>
  <c r="AE583" i="2"/>
  <c r="AF583" i="2" s="1"/>
  <c r="AE642" i="2"/>
  <c r="AF642" i="2" s="1"/>
  <c r="A727" i="2"/>
  <c r="AE727" i="2"/>
  <c r="AF727" i="2" s="1"/>
  <c r="T737" i="2"/>
  <c r="T738" i="2" s="1" a="1"/>
  <c r="T738" i="2" s="1"/>
  <c r="V724" i="2" s="1"/>
  <c r="AE561" i="2"/>
  <c r="AF561" i="2" s="1"/>
  <c r="AE597" i="2"/>
  <c r="AF597" i="2" s="1"/>
  <c r="A597" i="2"/>
  <c r="AE625" i="2"/>
  <c r="AF625" i="2" s="1"/>
  <c r="T635" i="2"/>
  <c r="T636" i="2" s="1" a="1"/>
  <c r="T636" i="2" s="1"/>
  <c r="V622" i="2" s="1"/>
  <c r="A625" i="2"/>
  <c r="A596" i="2"/>
  <c r="AE612" i="2"/>
  <c r="AF612" i="2" s="1"/>
  <c r="AE617" i="2"/>
  <c r="AF617" i="2" s="1"/>
  <c r="AE575" i="2"/>
  <c r="AF575" i="2" s="1"/>
  <c r="AE627" i="2"/>
  <c r="AF627" i="2" s="1"/>
  <c r="A627" i="2"/>
  <c r="A632" i="2"/>
  <c r="AE632" i="2"/>
  <c r="AF632" i="2" s="1"/>
  <c r="L796" i="2"/>
  <c r="AE796" i="2"/>
  <c r="AF796" i="2" s="1"/>
  <c r="AE831" i="2"/>
  <c r="AF831" i="2" s="1"/>
  <c r="A831" i="2"/>
  <c r="T839" i="2"/>
  <c r="T840" i="2" s="1" a="1"/>
  <c r="T840" i="2" s="1"/>
  <c r="V826" i="2" s="1"/>
  <c r="AE560" i="2"/>
  <c r="AF560" i="2" s="1"/>
  <c r="A577" i="2"/>
  <c r="AE629" i="2"/>
  <c r="AF629" i="2" s="1"/>
  <c r="A629" i="2"/>
  <c r="AE634" i="2"/>
  <c r="AF634" i="2" s="1"/>
  <c r="A634" i="2"/>
  <c r="A666" i="2"/>
  <c r="AE666" i="2"/>
  <c r="AF666" i="2" s="1"/>
  <c r="AE668" i="2"/>
  <c r="AF668" i="2" s="1"/>
  <c r="A668" i="2"/>
  <c r="AE543" i="2"/>
  <c r="AF543" i="2" s="1"/>
  <c r="L667" i="2"/>
  <c r="AE667" i="2"/>
  <c r="AF667" i="2" s="1"/>
  <c r="AE750" i="2"/>
  <c r="AF750" i="2" s="1"/>
  <c r="A750" i="2"/>
  <c r="A762" i="2"/>
  <c r="T771" i="2"/>
  <c r="T772" i="2" s="1" a="1"/>
  <c r="T772" i="2" s="1"/>
  <c r="V758" i="2" s="1"/>
  <c r="AE762" i="2"/>
  <c r="AF762" i="2" s="1"/>
  <c r="AE633" i="2"/>
  <c r="AF633" i="2" s="1"/>
  <c r="AE644" i="2"/>
  <c r="AF644" i="2" s="1"/>
  <c r="AE676" i="2"/>
  <c r="AF676" i="2" s="1"/>
  <c r="L795" i="2"/>
  <c r="AE795" i="2"/>
  <c r="AF795" i="2" s="1"/>
  <c r="A900" i="2"/>
  <c r="AE900" i="2"/>
  <c r="AF900" i="2" s="1"/>
  <c r="AE659" i="2"/>
  <c r="AF659" i="2" s="1"/>
  <c r="A728" i="2"/>
  <c r="AE728" i="2"/>
  <c r="AF728" i="2" s="1"/>
  <c r="A730" i="2"/>
  <c r="AE730" i="2"/>
  <c r="AF730" i="2" s="1"/>
  <c r="A819" i="2"/>
  <c r="AE819" i="2"/>
  <c r="AF819" i="2" s="1"/>
  <c r="T669" i="2"/>
  <c r="T670" i="2" s="1" a="1"/>
  <c r="T670" i="2" s="1"/>
  <c r="V656" i="2" s="1"/>
  <c r="A685" i="2"/>
  <c r="AE685" i="2"/>
  <c r="AF685" i="2" s="1"/>
  <c r="L797" i="2"/>
  <c r="AE797" i="2"/>
  <c r="AF797" i="2" s="1"/>
  <c r="A882" i="2"/>
  <c r="AE882" i="2"/>
  <c r="AF882" i="2" s="1"/>
  <c r="A763" i="2"/>
  <c r="AE763" i="2"/>
  <c r="AF763" i="2" s="1"/>
  <c r="A813" i="2"/>
  <c r="AE813" i="2"/>
  <c r="AF813" i="2" s="1"/>
  <c r="L815" i="2"/>
  <c r="AE815" i="2"/>
  <c r="AF815" i="2" s="1"/>
  <c r="A853" i="2"/>
  <c r="AE853" i="2"/>
  <c r="AF853" i="2" s="1"/>
  <c r="AE917" i="2"/>
  <c r="AF917" i="2" s="1"/>
  <c r="L917" i="2"/>
  <c r="A644" i="2"/>
  <c r="AE700" i="2"/>
  <c r="AF700" i="2" s="1"/>
  <c r="AE732" i="2"/>
  <c r="AF732" i="2" s="1"/>
  <c r="A736" i="2"/>
  <c r="AE736" i="2"/>
  <c r="AF736" i="2" s="1"/>
  <c r="AE650" i="2"/>
  <c r="AF650" i="2" s="1"/>
  <c r="T686" i="2"/>
  <c r="T687" i="2" s="1" a="1"/>
  <c r="T687" i="2" s="1"/>
  <c r="V673" i="2" s="1"/>
  <c r="A718" i="2"/>
  <c r="AE718" i="2"/>
  <c r="AF718" i="2" s="1"/>
  <c r="A749" i="2"/>
  <c r="AE749" i="2"/>
  <c r="AF749" i="2" s="1"/>
  <c r="H47" i="3"/>
  <c r="H49" i="3" s="1"/>
  <c r="T17" i="4" s="1"/>
  <c r="H48" i="3"/>
  <c r="A932" i="2"/>
  <c r="AE932" i="2"/>
  <c r="AF932" i="2" s="1"/>
  <c r="H34" i="3"/>
  <c r="H33" i="3"/>
  <c r="H32" i="3"/>
  <c r="AE769" i="2"/>
  <c r="AF769" i="2" s="1"/>
  <c r="A783" i="2"/>
  <c r="AE783" i="2"/>
  <c r="AF783" i="2" s="1"/>
  <c r="A814" i="2"/>
  <c r="AE814" i="2"/>
  <c r="AF814" i="2" s="1"/>
  <c r="AE883" i="2"/>
  <c r="AF883" i="2" s="1"/>
  <c r="L798" i="2"/>
  <c r="AE798" i="2"/>
  <c r="AF798" i="2" s="1"/>
  <c r="A881" i="2"/>
  <c r="AE881" i="2"/>
  <c r="AF881" i="2" s="1"/>
  <c r="AE681" i="2"/>
  <c r="AF681" i="2" s="1"/>
  <c r="A699" i="2"/>
  <c r="AE699" i="2"/>
  <c r="AF699" i="2" s="1"/>
  <c r="T720" i="2"/>
  <c r="T721" i="2" s="1" a="1"/>
  <c r="T721" i="2" s="1"/>
  <c r="V707" i="2" s="1"/>
  <c r="A710" i="2"/>
  <c r="A870" i="2"/>
  <c r="AE870" i="2"/>
  <c r="AF870" i="2" s="1"/>
  <c r="A693" i="2"/>
  <c r="T822" i="2"/>
  <c r="T823" i="2" s="1" a="1"/>
  <c r="T823" i="2" s="1"/>
  <c r="V809" i="2" s="1"/>
  <c r="T890" i="2"/>
  <c r="T891" i="2" s="1" a="1"/>
  <c r="T891" i="2" s="1"/>
  <c r="V877" i="2" s="1"/>
  <c r="A905" i="2"/>
  <c r="A906" i="2"/>
  <c r="AE906" i="2"/>
  <c r="AF906" i="2" s="1"/>
  <c r="H92" i="3"/>
  <c r="H94" i="3" s="1"/>
  <c r="H93" i="3"/>
  <c r="H108" i="3"/>
  <c r="H109" i="3" s="1"/>
  <c r="H198" i="3"/>
  <c r="H213" i="3"/>
  <c r="A683" i="2"/>
  <c r="A714" i="2"/>
  <c r="A770" i="2"/>
  <c r="A785" i="2"/>
  <c r="AE818" i="2"/>
  <c r="AF818" i="2" s="1"/>
  <c r="AE830" i="2"/>
  <c r="AF830" i="2" s="1"/>
  <c r="A837" i="2"/>
  <c r="AE848" i="2"/>
  <c r="AF848" i="2" s="1"/>
  <c r="L915" i="2"/>
  <c r="A918" i="2"/>
  <c r="H138" i="3"/>
  <c r="H137" i="3"/>
  <c r="H183" i="3"/>
  <c r="T754" i="2"/>
  <c r="T755" i="2" s="1" a="1"/>
  <c r="T755" i="2" s="1"/>
  <c r="V741" i="2" s="1"/>
  <c r="A765" i="2"/>
  <c r="T873" i="2"/>
  <c r="T874" i="2" s="1" a="1"/>
  <c r="T874" i="2" s="1"/>
  <c r="V860" i="2" s="1"/>
  <c r="A899" i="2"/>
  <c r="AE899" i="2"/>
  <c r="AF899" i="2" s="1"/>
  <c r="H214" i="3"/>
  <c r="A779" i="2"/>
  <c r="AE829" i="2"/>
  <c r="AF829" i="2" s="1"/>
  <c r="AE838" i="2"/>
  <c r="AF838" i="2" s="1"/>
  <c r="AE846" i="2"/>
  <c r="AF846" i="2" s="1"/>
  <c r="A869" i="2"/>
  <c r="AE869" i="2"/>
  <c r="AF869" i="2" s="1"/>
  <c r="AE880" i="2"/>
  <c r="AF880" i="2" s="1"/>
  <c r="AE934" i="2"/>
  <c r="AF934" i="2" s="1"/>
  <c r="AE698" i="2"/>
  <c r="AF698" i="2" s="1"/>
  <c r="AE735" i="2"/>
  <c r="AF735" i="2" s="1"/>
  <c r="H437" i="3"/>
  <c r="H439" i="3" s="1"/>
  <c r="H438" i="3"/>
  <c r="AE716" i="2"/>
  <c r="AF716" i="2" s="1"/>
  <c r="AE744" i="2"/>
  <c r="AF744" i="2" s="1"/>
  <c r="AE745" i="2"/>
  <c r="AF745" i="2" s="1"/>
  <c r="AE746" i="2"/>
  <c r="AF746" i="2" s="1"/>
  <c r="AE747" i="2"/>
  <c r="AF747" i="2" s="1"/>
  <c r="AE752" i="2"/>
  <c r="AF752" i="2" s="1"/>
  <c r="AE786" i="2"/>
  <c r="AF786" i="2" s="1"/>
  <c r="A898" i="2"/>
  <c r="AE898" i="2"/>
  <c r="AF898" i="2" s="1"/>
  <c r="AE921" i="2"/>
  <c r="AF921" i="2" s="1"/>
  <c r="T805" i="2"/>
  <c r="T806" i="2" s="1" a="1"/>
  <c r="T806" i="2" s="1"/>
  <c r="V792" i="2" s="1"/>
  <c r="AE780" i="2"/>
  <c r="AF780" i="2" s="1"/>
  <c r="AE901" i="2"/>
  <c r="AF901" i="2" s="1"/>
  <c r="AE914" i="2"/>
  <c r="AF914" i="2" s="1"/>
  <c r="AE918" i="2"/>
  <c r="AF918" i="2" s="1"/>
  <c r="H273" i="3"/>
  <c r="H272" i="3"/>
  <c r="H274" i="3" s="1"/>
  <c r="T788" i="2"/>
  <c r="T789" i="2" s="1" a="1"/>
  <c r="T789" i="2" s="1"/>
  <c r="V775" i="2" s="1"/>
  <c r="A897" i="2"/>
  <c r="AE897" i="2"/>
  <c r="AF897" i="2" s="1"/>
  <c r="AE935" i="2"/>
  <c r="AF935" i="2" s="1"/>
  <c r="A935" i="2"/>
  <c r="AE940" i="2"/>
  <c r="AF940" i="2" s="1"/>
  <c r="A940" i="2"/>
  <c r="H304" i="3"/>
  <c r="A744" i="2"/>
  <c r="AE778" i="2"/>
  <c r="AF778" i="2" s="1"/>
  <c r="AE820" i="2"/>
  <c r="AF820" i="2" s="1"/>
  <c r="AE832" i="2"/>
  <c r="AF832" i="2" s="1"/>
  <c r="AE904" i="2"/>
  <c r="AF904" i="2" s="1"/>
  <c r="W22" i="4"/>
  <c r="H617" i="3"/>
  <c r="H619" i="3"/>
  <c r="T941" i="2"/>
  <c r="T942" i="2" s="1" a="1"/>
  <c r="T942" i="2" s="1"/>
  <c r="V928" i="2" s="1"/>
  <c r="H19" i="3"/>
  <c r="Y25" i="4"/>
  <c r="W25" i="4"/>
  <c r="A26" i="4"/>
  <c r="S25" i="4"/>
  <c r="Q25" i="4"/>
  <c r="N25" i="4"/>
  <c r="H153" i="3"/>
  <c r="H154" i="3" s="1"/>
  <c r="T24" i="4" s="1"/>
  <c r="AE931" i="2"/>
  <c r="AF931" i="2" s="1"/>
  <c r="AE938" i="2"/>
  <c r="AF938" i="2" s="1"/>
  <c r="H124" i="3"/>
  <c r="H797" i="3"/>
  <c r="H799" i="3"/>
  <c r="H168" i="3"/>
  <c r="H169" i="3" s="1"/>
  <c r="T25" i="4" s="1"/>
  <c r="H182" i="3"/>
  <c r="H184" i="3"/>
  <c r="H199" i="3"/>
  <c r="H197" i="3"/>
  <c r="H257" i="3"/>
  <c r="H78" i="3"/>
  <c r="H79" i="3" s="1"/>
  <c r="H259" i="3"/>
  <c r="H618" i="3"/>
  <c r="Y22" i="4"/>
  <c r="H227" i="3"/>
  <c r="H229" i="3" s="1"/>
  <c r="H289" i="3"/>
  <c r="H407" i="3"/>
  <c r="H409" i="3" s="1"/>
  <c r="H469" i="3"/>
  <c r="H587" i="3"/>
  <c r="H649" i="3"/>
  <c r="H767" i="3"/>
  <c r="H829" i="3"/>
  <c r="S17" i="4"/>
  <c r="H544" i="3"/>
  <c r="H724" i="3"/>
  <c r="S16" i="4"/>
  <c r="N23" i="4"/>
  <c r="H61" i="4"/>
  <c r="H377" i="3"/>
  <c r="H483" i="3"/>
  <c r="H484" i="3" s="1"/>
  <c r="H557" i="3"/>
  <c r="H663" i="3"/>
  <c r="H737" i="3"/>
  <c r="T16" i="4"/>
  <c r="H378" i="3"/>
  <c r="H379" i="3" s="1"/>
  <c r="H558" i="3"/>
  <c r="H738" i="3"/>
  <c r="H453" i="3"/>
  <c r="H454" i="3" s="1"/>
  <c r="H633" i="3"/>
  <c r="H813" i="3"/>
  <c r="T15" i="4"/>
  <c r="W17" i="4"/>
  <c r="N24" i="4"/>
  <c r="H62" i="3"/>
  <c r="H64" i="3" s="1"/>
  <c r="H242" i="3"/>
  <c r="H244" i="3" s="1"/>
  <c r="H422" i="3"/>
  <c r="H424" i="3" s="1"/>
  <c r="H602" i="3"/>
  <c r="H782" i="3"/>
  <c r="W16" i="4"/>
  <c r="Y17" i="4"/>
  <c r="S23" i="4"/>
  <c r="H63" i="3"/>
  <c r="H243" i="3"/>
  <c r="H317" i="3"/>
  <c r="H319" i="3" s="1"/>
  <c r="H423" i="3"/>
  <c r="H497" i="3"/>
  <c r="H499" i="3" s="1"/>
  <c r="H603" i="3"/>
  <c r="H677" i="3"/>
  <c r="H783" i="3"/>
  <c r="Y16" i="4"/>
  <c r="S22" i="4"/>
  <c r="Q24" i="4"/>
  <c r="W15" i="4"/>
  <c r="A18" i="4"/>
  <c r="T22" i="4"/>
  <c r="W23" i="4"/>
  <c r="Y24" i="4"/>
  <c r="H48" i="4"/>
  <c r="Y15" i="4"/>
  <c r="N17" i="4"/>
  <c r="Y23" i="4"/>
  <c r="H362" i="3"/>
  <c r="H364" i="3" s="1"/>
  <c r="H542" i="3"/>
  <c r="H722" i="3"/>
  <c r="W24" i="4"/>
  <c r="S24" i="4"/>
  <c r="H49" i="4"/>
  <c r="H60" i="4"/>
  <c r="H51" i="4"/>
  <c r="H63" i="4"/>
  <c r="H38" i="4"/>
  <c r="H50" i="4"/>
  <c r="H62" i="4"/>
  <c r="I24" i="2" l="1"/>
  <c r="A389" i="2"/>
  <c r="AE389" i="2"/>
  <c r="AF389" i="2" s="1"/>
  <c r="AE406" i="2"/>
  <c r="AF406" i="2" s="1"/>
  <c r="A406" i="2"/>
  <c r="V15" i="4"/>
  <c r="H15" i="4" s="1"/>
  <c r="AE542" i="2"/>
  <c r="AF542" i="2" s="1"/>
  <c r="A542" i="2"/>
  <c r="A371" i="2"/>
  <c r="AE371" i="2"/>
  <c r="AF371" i="2" s="1"/>
  <c r="AE438" i="2"/>
  <c r="AF438" i="2" s="1"/>
  <c r="A438" i="2"/>
  <c r="A285" i="2"/>
  <c r="AE285" i="2"/>
  <c r="AF285" i="2" s="1"/>
  <c r="A220" i="2"/>
  <c r="AE220" i="2"/>
  <c r="AF220" i="2" s="1"/>
  <c r="X32" i="2"/>
  <c r="L32" i="2" s="1"/>
  <c r="AD32" i="2" s="1"/>
  <c r="T524" i="2"/>
  <c r="T489" i="2"/>
  <c r="T421" i="2"/>
  <c r="A319" i="2"/>
  <c r="AE319" i="2"/>
  <c r="AF319" i="2" s="1"/>
  <c r="T320" i="2"/>
  <c r="T353" i="2"/>
  <c r="T287" i="2"/>
  <c r="T142" i="2"/>
  <c r="AE132" i="2"/>
  <c r="AF132" i="2" s="1"/>
  <c r="A132" i="2"/>
  <c r="T219" i="2"/>
  <c r="X49" i="2"/>
  <c r="L49" i="2" s="1"/>
  <c r="T49" i="2"/>
  <c r="A541" i="2"/>
  <c r="AE541" i="2"/>
  <c r="AF541" i="2" s="1"/>
  <c r="A510" i="2"/>
  <c r="AE510" i="2"/>
  <c r="AF510" i="2" s="1"/>
  <c r="A303" i="2"/>
  <c r="AE303" i="2"/>
  <c r="AF303" i="2" s="1"/>
  <c r="A84" i="2"/>
  <c r="AE84" i="2"/>
  <c r="AF84" i="2" s="1"/>
  <c r="T176" i="2"/>
  <c r="AE166" i="2"/>
  <c r="AF166" i="2" s="1"/>
  <c r="A166" i="2"/>
  <c r="A135" i="2"/>
  <c r="AE135" i="2"/>
  <c r="AF135" i="2" s="1"/>
  <c r="X30" i="2"/>
  <c r="A473" i="2"/>
  <c r="AE473" i="2"/>
  <c r="AF473" i="2" s="1"/>
  <c r="T533" i="2"/>
  <c r="AE523" i="2"/>
  <c r="AF523" i="2" s="1"/>
  <c r="A523" i="2"/>
  <c r="A372" i="2"/>
  <c r="AE372" i="2"/>
  <c r="AF372" i="2" s="1"/>
  <c r="T439" i="2"/>
  <c r="T268" i="2"/>
  <c r="T271" i="2"/>
  <c r="T269" i="2"/>
  <c r="AE133" i="2"/>
  <c r="AF133" i="2" s="1"/>
  <c r="A133" i="2"/>
  <c r="T183" i="2"/>
  <c r="A51" i="2"/>
  <c r="AE51" i="2"/>
  <c r="AF51" i="2" s="1"/>
  <c r="T57" i="2"/>
  <c r="AE47" i="2"/>
  <c r="AF47" i="2" s="1"/>
  <c r="A47" i="2"/>
  <c r="B78" i="2"/>
  <c r="B75" i="2"/>
  <c r="AG64" i="2"/>
  <c r="T61" i="2"/>
  <c r="AG65" i="2"/>
  <c r="B76" i="2"/>
  <c r="AG66" i="2"/>
  <c r="B74" i="2"/>
  <c r="A387" i="2"/>
  <c r="AE387" i="2"/>
  <c r="AF387" i="2" s="1"/>
  <c r="T397" i="2"/>
  <c r="T398" i="2" s="1" a="1"/>
  <c r="T398" i="2" s="1"/>
  <c r="V384" i="2" s="1"/>
  <c r="A388" i="2"/>
  <c r="AE388" i="2"/>
  <c r="AF388" i="2" s="1"/>
  <c r="AE302" i="2"/>
  <c r="AF302" i="2" s="1"/>
  <c r="T312" i="2"/>
  <c r="A302" i="2"/>
  <c r="A217" i="2"/>
  <c r="AE217" i="2"/>
  <c r="AF217" i="2" s="1"/>
  <c r="A81" i="2"/>
  <c r="AE81" i="2"/>
  <c r="AF81" i="2" s="1"/>
  <c r="Q26" i="4"/>
  <c r="Y26" i="4"/>
  <c r="W26" i="4"/>
  <c r="A27" i="4"/>
  <c r="T26" i="4"/>
  <c r="S26" i="4"/>
  <c r="N26" i="4"/>
  <c r="A558" i="2"/>
  <c r="AE558" i="2"/>
  <c r="AF558" i="2" s="1"/>
  <c r="T455" i="2"/>
  <c r="T252" i="2"/>
  <c r="T270" i="2"/>
  <c r="AE201" i="2"/>
  <c r="AF201" i="2" s="1"/>
  <c r="A201" i="2"/>
  <c r="AE152" i="2"/>
  <c r="AF152" i="2" s="1"/>
  <c r="A152" i="2"/>
  <c r="T210" i="2"/>
  <c r="T211" i="2" s="1" a="1"/>
  <c r="T211" i="2" s="1"/>
  <c r="V197" i="2" s="1"/>
  <c r="AE153" i="2"/>
  <c r="AF153" i="2" s="1"/>
  <c r="A153" i="2"/>
  <c r="J18" i="1"/>
  <c r="T550" i="2"/>
  <c r="A540" i="2"/>
  <c r="AE540" i="2"/>
  <c r="AF540" i="2" s="1"/>
  <c r="A491" i="2"/>
  <c r="AE491" i="2"/>
  <c r="AF491" i="2" s="1"/>
  <c r="AE405" i="2"/>
  <c r="AF405" i="2" s="1"/>
  <c r="A405" i="2"/>
  <c r="AE404" i="2"/>
  <c r="AF404" i="2" s="1"/>
  <c r="T414" i="2"/>
  <c r="A404" i="2"/>
  <c r="A236" i="2"/>
  <c r="AE236" i="2"/>
  <c r="AF236" i="2" s="1"/>
  <c r="T244" i="2"/>
  <c r="T245" i="2" s="1" a="1"/>
  <c r="T245" i="2" s="1"/>
  <c r="V231" i="2" s="1"/>
  <c r="A304" i="2"/>
  <c r="AE304" i="2"/>
  <c r="AF304" i="2" s="1"/>
  <c r="AE251" i="2"/>
  <c r="AF251" i="2" s="1"/>
  <c r="A251" i="2"/>
  <c r="A354" i="2"/>
  <c r="AE354" i="2"/>
  <c r="AF354" i="2" s="1"/>
  <c r="AE149" i="2"/>
  <c r="AF149" i="2" s="1"/>
  <c r="T159" i="2"/>
  <c r="T160" i="2" s="1" a="1"/>
  <c r="T160" i="2" s="1"/>
  <c r="V146" i="2" s="1"/>
  <c r="A149" i="2"/>
  <c r="AE167" i="2"/>
  <c r="AF167" i="2" s="1"/>
  <c r="A167" i="2"/>
  <c r="AE99" i="2"/>
  <c r="AF99" i="2" s="1"/>
  <c r="A99" i="2"/>
  <c r="A100" i="2"/>
  <c r="AE100" i="2"/>
  <c r="AF100" i="2" s="1"/>
  <c r="T557" i="2"/>
  <c r="T286" i="2"/>
  <c r="T295" i="2" s="1"/>
  <c r="T321" i="2"/>
  <c r="T329" i="2" s="1"/>
  <c r="A98" i="2"/>
  <c r="T108" i="2"/>
  <c r="AE98" i="2"/>
  <c r="AF98" i="2" s="1"/>
  <c r="A509" i="2"/>
  <c r="AE509" i="2"/>
  <c r="AF509" i="2" s="1"/>
  <c r="T338" i="2"/>
  <c r="T82" i="2"/>
  <c r="T91" i="2" s="1"/>
  <c r="AE506" i="2"/>
  <c r="AF506" i="2" s="1"/>
  <c r="T516" i="2"/>
  <c r="A506" i="2"/>
  <c r="A490" i="2"/>
  <c r="AE490" i="2"/>
  <c r="AF490" i="2" s="1"/>
  <c r="A474" i="2"/>
  <c r="AE474" i="2"/>
  <c r="AF474" i="2" s="1"/>
  <c r="A337" i="2"/>
  <c r="AE337" i="2"/>
  <c r="AF337" i="2" s="1"/>
  <c r="AE253" i="2"/>
  <c r="AF253" i="2" s="1"/>
  <c r="A253" i="2"/>
  <c r="A14" i="2"/>
  <c r="AE14" i="2"/>
  <c r="AF14" i="2" s="1"/>
  <c r="Q18" i="4"/>
  <c r="N18" i="4"/>
  <c r="A19" i="4"/>
  <c r="Y18" i="4"/>
  <c r="W18" i="4"/>
  <c r="T18" i="4"/>
  <c r="S18" i="4"/>
  <c r="H139" i="3"/>
  <c r="T23" i="4" s="1"/>
  <c r="T456" i="2"/>
  <c r="X373" i="2"/>
  <c r="L373" i="2" s="1"/>
  <c r="T373" i="2"/>
  <c r="T380" i="2" s="1"/>
  <c r="T355" i="2"/>
  <c r="T23" i="2"/>
  <c r="T24" i="2" s="1" a="1"/>
  <c r="T24" i="2" s="1"/>
  <c r="V10" i="2" s="1"/>
  <c r="A13" i="2"/>
  <c r="AE13" i="2"/>
  <c r="X31" i="2"/>
  <c r="L31" i="2" s="1"/>
  <c r="AD31" i="2" s="1"/>
  <c r="T31" i="2"/>
  <c r="B36" i="1"/>
  <c r="N27" i="1"/>
  <c r="B34" i="1"/>
  <c r="A34" i="1"/>
  <c r="T559" i="2"/>
  <c r="T492" i="2"/>
  <c r="T482" i="2"/>
  <c r="X272" i="2"/>
  <c r="L272" i="2" s="1"/>
  <c r="T272" i="2"/>
  <c r="T336" i="2"/>
  <c r="T185" i="2"/>
  <c r="AE65" i="2"/>
  <c r="AF65" i="2" s="1"/>
  <c r="A65" i="2"/>
  <c r="T75" i="2" s="1" a="1"/>
  <c r="T75" i="2" s="1"/>
  <c r="V61" i="2" s="1"/>
  <c r="T218" i="2"/>
  <c r="T115" i="2"/>
  <c r="A336" i="2" l="1"/>
  <c r="AE336" i="2"/>
  <c r="AF336" i="2" s="1"/>
  <c r="T346" i="2"/>
  <c r="A43" i="1"/>
  <c r="B45" i="1"/>
  <c r="B43" i="1"/>
  <c r="N36" i="1"/>
  <c r="T143" i="2" a="1"/>
  <c r="T143" i="2" s="1"/>
  <c r="V129" i="2" s="1"/>
  <c r="T551" i="2" a="1"/>
  <c r="T551" i="2" s="1"/>
  <c r="V537" i="2" s="1"/>
  <c r="S27" i="4"/>
  <c r="A28" i="4"/>
  <c r="Y27" i="4"/>
  <c r="W27" i="4"/>
  <c r="T27" i="4"/>
  <c r="Q27" i="4"/>
  <c r="N27" i="4"/>
  <c r="A269" i="2"/>
  <c r="AE269" i="2"/>
  <c r="AF269" i="2" s="1"/>
  <c r="A287" i="2"/>
  <c r="AE287" i="2"/>
  <c r="AF287" i="2" s="1"/>
  <c r="T483" i="2" a="1"/>
  <c r="T483" i="2" s="1"/>
  <c r="V469" i="2" s="1"/>
  <c r="AF13" i="2"/>
  <c r="I23" i="2"/>
  <c r="T313" i="2" a="1"/>
  <c r="T313" i="2" s="1"/>
  <c r="V299" i="2" s="1"/>
  <c r="A271" i="2"/>
  <c r="AE271" i="2"/>
  <c r="AF271" i="2" s="1"/>
  <c r="A353" i="2"/>
  <c r="T363" i="2"/>
  <c r="T364" i="2" s="1" a="1"/>
  <c r="T364" i="2" s="1"/>
  <c r="V350" i="2" s="1"/>
  <c r="AE353" i="2"/>
  <c r="AF353" i="2" s="1"/>
  <c r="A492" i="2"/>
  <c r="AE492" i="2"/>
  <c r="AF492" i="2" s="1"/>
  <c r="S19" i="4"/>
  <c r="Q19" i="4"/>
  <c r="N19" i="4"/>
  <c r="A20" i="4"/>
  <c r="Y19" i="4"/>
  <c r="W19" i="4"/>
  <c r="T19" i="4"/>
  <c r="T109" i="2" a="1"/>
  <c r="T109" i="2" s="1"/>
  <c r="V95" i="2" s="1"/>
  <c r="T278" i="2"/>
  <c r="T279" i="2" s="1" a="1"/>
  <c r="T279" i="2" s="1"/>
  <c r="V265" i="2" s="1"/>
  <c r="A268" i="2"/>
  <c r="AE268" i="2"/>
  <c r="AF268" i="2" s="1"/>
  <c r="A320" i="2"/>
  <c r="T330" i="2" s="1" a="1"/>
  <c r="T330" i="2" s="1"/>
  <c r="V316" i="2" s="1"/>
  <c r="AE320" i="2"/>
  <c r="AF320" i="2" s="1"/>
  <c r="T78" i="2"/>
  <c r="B92" i="2"/>
  <c r="B91" i="2"/>
  <c r="AG82" i="2"/>
  <c r="B95" i="2"/>
  <c r="AG83" i="2"/>
  <c r="B93" i="2"/>
  <c r="AG81" i="2"/>
  <c r="A439" i="2"/>
  <c r="AE439" i="2"/>
  <c r="AF439" i="2" s="1"/>
  <c r="A355" i="2"/>
  <c r="AE355" i="2"/>
  <c r="AF355" i="2" s="1"/>
  <c r="C18" i="4"/>
  <c r="V18" i="4" s="1"/>
  <c r="H18" i="4" s="1"/>
  <c r="A321" i="2"/>
  <c r="AE321" i="2"/>
  <c r="AF321" i="2" s="1"/>
  <c r="T415" i="2" a="1"/>
  <c r="T415" i="2" s="1"/>
  <c r="V401" i="2" s="1"/>
  <c r="AD54" i="2"/>
  <c r="AD56" i="2"/>
  <c r="AD50" i="2"/>
  <c r="AD49" i="2"/>
  <c r="AD48" i="2"/>
  <c r="AD47" i="2"/>
  <c r="AD53" i="2"/>
  <c r="J44" i="2"/>
  <c r="I59" i="2"/>
  <c r="AD55" i="2"/>
  <c r="AD51" i="2"/>
  <c r="AD52" i="2"/>
  <c r="A270" i="2"/>
  <c r="AE270" i="2"/>
  <c r="AF270" i="2" s="1"/>
  <c r="L30" i="2"/>
  <c r="I42" i="2"/>
  <c r="T448" i="2"/>
  <c r="T449" i="2" s="1" a="1"/>
  <c r="T449" i="2" s="1"/>
  <c r="V435" i="2" s="1"/>
  <c r="T125" i="2"/>
  <c r="T126" i="2" s="1" a="1"/>
  <c r="T126" i="2" s="1"/>
  <c r="V112" i="2" s="1"/>
  <c r="A115" i="2"/>
  <c r="AE116" i="2"/>
  <c r="AF116" i="2" s="1"/>
  <c r="AE115" i="2"/>
  <c r="AF115" i="2" s="1"/>
  <c r="A218" i="2"/>
  <c r="AE218" i="2"/>
  <c r="AF218" i="2" s="1"/>
  <c r="T465" i="2"/>
  <c r="T466" i="2" s="1" a="1"/>
  <c r="T466" i="2" s="1"/>
  <c r="V452" i="2" s="1"/>
  <c r="A455" i="2"/>
  <c r="AE455" i="2"/>
  <c r="AF455" i="2" s="1"/>
  <c r="AE49" i="2"/>
  <c r="AF49" i="2" s="1"/>
  <c r="A49" i="2"/>
  <c r="T58" i="2" s="1" a="1"/>
  <c r="T58" i="2" s="1"/>
  <c r="V44" i="2" s="1"/>
  <c r="A421" i="2"/>
  <c r="T431" i="2"/>
  <c r="AE421" i="2"/>
  <c r="AF421" i="2" s="1"/>
  <c r="AE252" i="2"/>
  <c r="AF252" i="2" s="1"/>
  <c r="A252" i="2"/>
  <c r="C17" i="4"/>
  <c r="A456" i="2"/>
  <c r="AE456" i="2"/>
  <c r="AF456" i="2" s="1"/>
  <c r="T517" i="2" a="1"/>
  <c r="T517" i="2" s="1"/>
  <c r="V503" i="2" s="1"/>
  <c r="A557" i="2"/>
  <c r="T567" i="2"/>
  <c r="T568" i="2" s="1" a="1"/>
  <c r="T568" i="2" s="1"/>
  <c r="V554" i="2" s="1"/>
  <c r="AE557" i="2"/>
  <c r="AF557" i="2" s="1"/>
  <c r="T499" i="2"/>
  <c r="A489" i="2"/>
  <c r="AE489" i="2"/>
  <c r="AF489" i="2" s="1"/>
  <c r="A338" i="2"/>
  <c r="AE338" i="2"/>
  <c r="AF338" i="2" s="1"/>
  <c r="AE272" i="2"/>
  <c r="AF272" i="2" s="1"/>
  <c r="A272" i="2"/>
  <c r="AE32" i="2"/>
  <c r="AF32" i="2" s="1"/>
  <c r="AE31" i="2"/>
  <c r="AF31" i="2" s="1"/>
  <c r="A31" i="2"/>
  <c r="A559" i="2"/>
  <c r="AE559" i="2"/>
  <c r="AF559" i="2" s="1"/>
  <c r="A373" i="2"/>
  <c r="T381" i="2" s="1" a="1"/>
  <c r="T381" i="2" s="1"/>
  <c r="V367" i="2" s="1"/>
  <c r="AE373" i="2"/>
  <c r="AF373" i="2" s="1"/>
  <c r="A286" i="2"/>
  <c r="T296" i="2" s="1" a="1"/>
  <c r="T296" i="2" s="1"/>
  <c r="V282" i="2" s="1"/>
  <c r="AE286" i="2"/>
  <c r="AF286" i="2" s="1"/>
  <c r="T261" i="2"/>
  <c r="A219" i="2"/>
  <c r="AE219" i="2"/>
  <c r="AF219" i="2" s="1"/>
  <c r="AE524" i="2"/>
  <c r="AF524" i="2" s="1"/>
  <c r="A524" i="2"/>
  <c r="T534" i="2" s="1" a="1"/>
  <c r="T534" i="2" s="1"/>
  <c r="V520" i="2" s="1"/>
  <c r="A185" i="2"/>
  <c r="AE185" i="2"/>
  <c r="AF185" i="2" s="1"/>
  <c r="J27" i="1"/>
  <c r="A82" i="2"/>
  <c r="T92" i="2" s="1" a="1"/>
  <c r="T92" i="2" s="1"/>
  <c r="V78" i="2" s="1"/>
  <c r="AE82" i="2"/>
  <c r="AF82" i="2" s="1"/>
  <c r="T227" i="2"/>
  <c r="A183" i="2"/>
  <c r="T193" i="2"/>
  <c r="AE183" i="2"/>
  <c r="AF183" i="2" s="1"/>
  <c r="T177" i="2" a="1"/>
  <c r="T177" i="2" s="1"/>
  <c r="V163" i="2" s="1"/>
  <c r="T32" i="2"/>
  <c r="A32" i="2" s="1"/>
  <c r="T194" i="2" l="1" a="1"/>
  <c r="T194" i="2" s="1"/>
  <c r="V180" i="2" s="1"/>
  <c r="T228" i="2" a="1"/>
  <c r="T228" i="2" s="1"/>
  <c r="V214" i="2" s="1"/>
  <c r="T262" i="2" a="1"/>
  <c r="T262" i="2" s="1"/>
  <c r="V248" i="2" s="1"/>
  <c r="B54" i="1"/>
  <c r="A52" i="1"/>
  <c r="B52" i="1"/>
  <c r="N45" i="1"/>
  <c r="I58" i="2"/>
  <c r="I57" i="2"/>
  <c r="T347" i="2" a="1"/>
  <c r="T347" i="2" s="1"/>
  <c r="V333" i="2" s="1"/>
  <c r="T95" i="2"/>
  <c r="B112" i="2"/>
  <c r="B109" i="2"/>
  <c r="B110" i="2"/>
  <c r="B108" i="2"/>
  <c r="AG100" i="2"/>
  <c r="AG99" i="2"/>
  <c r="AG98" i="2"/>
  <c r="T432" i="2" a="1"/>
  <c r="T432" i="2" s="1"/>
  <c r="V418" i="2" s="1"/>
  <c r="T28" i="4"/>
  <c r="N28" i="4"/>
  <c r="A29" i="4"/>
  <c r="Y28" i="4"/>
  <c r="W28" i="4"/>
  <c r="S28" i="4"/>
  <c r="Q28" i="4"/>
  <c r="T20" i="4"/>
  <c r="S20" i="4"/>
  <c r="Q20" i="4"/>
  <c r="N20" i="4"/>
  <c r="A21" i="4"/>
  <c r="Y20" i="4"/>
  <c r="W20" i="4"/>
  <c r="T500" i="2" a="1"/>
  <c r="T500" i="2" s="1"/>
  <c r="V486" i="2" s="1"/>
  <c r="V17" i="4"/>
  <c r="H17" i="4" s="1"/>
  <c r="C19" i="4"/>
  <c r="V19" i="4" s="1"/>
  <c r="H19" i="4" s="1"/>
  <c r="AD72" i="2"/>
  <c r="AD69" i="2"/>
  <c r="J61" i="2"/>
  <c r="AD64" i="2"/>
  <c r="I76" i="2"/>
  <c r="AD68" i="2"/>
  <c r="AD65" i="2"/>
  <c r="AD71" i="2"/>
  <c r="AD66" i="2"/>
  <c r="AD67" i="2"/>
  <c r="AD73" i="2"/>
  <c r="AD70" i="2"/>
  <c r="AD30" i="2"/>
  <c r="T30" i="2"/>
  <c r="J36" i="1"/>
  <c r="AE30" i="2" l="1"/>
  <c r="T40" i="2"/>
  <c r="A30" i="2"/>
  <c r="T21" i="4"/>
  <c r="S21" i="4"/>
  <c r="Q21" i="4"/>
  <c r="N21" i="4"/>
  <c r="Y21" i="4"/>
  <c r="W21" i="4"/>
  <c r="N29" i="4"/>
  <c r="A30" i="4"/>
  <c r="Y29" i="4"/>
  <c r="W29" i="4"/>
  <c r="T29" i="4"/>
  <c r="S29" i="4"/>
  <c r="Q29" i="4"/>
  <c r="B127" i="2"/>
  <c r="B125" i="2"/>
  <c r="AG117" i="2"/>
  <c r="AG116" i="2"/>
  <c r="AG115" i="2"/>
  <c r="B126" i="2"/>
  <c r="T112" i="2"/>
  <c r="B129" i="2"/>
  <c r="I75" i="2"/>
  <c r="I74" i="2"/>
  <c r="J45" i="1"/>
  <c r="AD90" i="2"/>
  <c r="AD85" i="2"/>
  <c r="AD86" i="2"/>
  <c r="AD87" i="2"/>
  <c r="I93" i="2"/>
  <c r="J78" i="2"/>
  <c r="AD89" i="2"/>
  <c r="AD84" i="2"/>
  <c r="AD81" i="2"/>
  <c r="AD88" i="2"/>
  <c r="AD82" i="2"/>
  <c r="AD83" i="2"/>
  <c r="B63" i="1"/>
  <c r="B61" i="1"/>
  <c r="N54" i="1"/>
  <c r="A61" i="1"/>
  <c r="I41" i="2"/>
  <c r="C20" i="4" l="1"/>
  <c r="I92" i="2"/>
  <c r="I91" i="2"/>
  <c r="AD102" i="2"/>
  <c r="AD103" i="2"/>
  <c r="AD104" i="2"/>
  <c r="AD105" i="2"/>
  <c r="AD106" i="2"/>
  <c r="AD101" i="2"/>
  <c r="AD99" i="2"/>
  <c r="J95" i="2"/>
  <c r="AD107" i="2"/>
  <c r="AD100" i="2"/>
  <c r="AD98" i="2"/>
  <c r="I110" i="2"/>
  <c r="N30" i="4"/>
  <c r="A31" i="4"/>
  <c r="Y30" i="4"/>
  <c r="W30" i="4"/>
  <c r="T30" i="4"/>
  <c r="S30" i="4"/>
  <c r="Q30" i="4"/>
  <c r="J54" i="1"/>
  <c r="T41" i="2" a="1"/>
  <c r="T41" i="2" s="1"/>
  <c r="V27" i="2" s="1"/>
  <c r="AF30" i="2"/>
  <c r="I40" i="2"/>
  <c r="B70" i="1"/>
  <c r="N63" i="1"/>
  <c r="A70" i="1"/>
  <c r="B72" i="1"/>
  <c r="B144" i="2"/>
  <c r="B142" i="2"/>
  <c r="AG134" i="2"/>
  <c r="AG133" i="2"/>
  <c r="AG132" i="2"/>
  <c r="T129" i="2"/>
  <c r="B146" i="2"/>
  <c r="B143" i="2"/>
  <c r="C22" i="4" l="1"/>
  <c r="W31" i="4"/>
  <c r="Q31" i="4"/>
  <c r="N31" i="4"/>
  <c r="A32" i="4"/>
  <c r="Y31" i="4"/>
  <c r="T31" i="4"/>
  <c r="S31" i="4"/>
  <c r="B81" i="1"/>
  <c r="B79" i="1"/>
  <c r="N72" i="1"/>
  <c r="A79" i="1"/>
  <c r="J112" i="2"/>
  <c r="AD121" i="2"/>
  <c r="I127" i="2"/>
  <c r="AD124" i="2"/>
  <c r="AD118" i="2"/>
  <c r="AD117" i="2"/>
  <c r="AD116" i="2"/>
  <c r="AD115" i="2"/>
  <c r="AD119" i="2"/>
  <c r="AD120" i="2"/>
  <c r="AD123" i="2"/>
  <c r="AD122" i="2"/>
  <c r="C21" i="4"/>
  <c r="J63" i="1"/>
  <c r="B161" i="2"/>
  <c r="B159" i="2"/>
  <c r="B163" i="2"/>
  <c r="AG151" i="2"/>
  <c r="B160" i="2"/>
  <c r="T146" i="2"/>
  <c r="AG150" i="2"/>
  <c r="AG149" i="2"/>
  <c r="V20" i="4"/>
  <c r="H20" i="4" s="1"/>
  <c r="F16" i="4"/>
  <c r="I109" i="2"/>
  <c r="I108" i="2"/>
  <c r="V21" i="4" l="1"/>
  <c r="H21" i="4" s="1"/>
  <c r="I144" i="2"/>
  <c r="AD139" i="2"/>
  <c r="AD140" i="2"/>
  <c r="AD141" i="2"/>
  <c r="AD135" i="2"/>
  <c r="AD134" i="2"/>
  <c r="AD133" i="2"/>
  <c r="AD132" i="2"/>
  <c r="AD136" i="2"/>
  <c r="AD137" i="2"/>
  <c r="J129" i="2"/>
  <c r="AD138" i="2"/>
  <c r="Y32" i="4"/>
  <c r="S32" i="4"/>
  <c r="Q32" i="4"/>
  <c r="N32" i="4"/>
  <c r="A33" i="4"/>
  <c r="W32" i="4"/>
  <c r="T32" i="4"/>
  <c r="J72" i="1"/>
  <c r="B88" i="1"/>
  <c r="N81" i="1"/>
  <c r="A88" i="1"/>
  <c r="C23" i="4" s="1"/>
  <c r="B90" i="1"/>
  <c r="B176" i="2"/>
  <c r="B178" i="2"/>
  <c r="AG168" i="2"/>
  <c r="AG167" i="2"/>
  <c r="AG166" i="2"/>
  <c r="B177" i="2"/>
  <c r="B180" i="2"/>
  <c r="T163" i="2"/>
  <c r="I125" i="2"/>
  <c r="I126" i="2"/>
  <c r="V22" i="4"/>
  <c r="H22" i="4" s="1"/>
  <c r="V23" i="4" l="1"/>
  <c r="H23" i="4" s="1"/>
  <c r="I142" i="2"/>
  <c r="I143" i="2"/>
  <c r="B99" i="1"/>
  <c r="N90" i="1"/>
  <c r="B97" i="1"/>
  <c r="A97" i="1"/>
  <c r="C24" i="4"/>
  <c r="T33" i="4"/>
  <c r="S33" i="4"/>
  <c r="Q33" i="4"/>
  <c r="A34" i="4"/>
  <c r="Y33" i="4"/>
  <c r="W33" i="4"/>
  <c r="N33" i="4"/>
  <c r="AD158" i="2"/>
  <c r="AD152" i="2"/>
  <c r="AD151" i="2"/>
  <c r="AD150" i="2"/>
  <c r="AD149" i="2"/>
  <c r="AD153" i="2"/>
  <c r="AD155" i="2"/>
  <c r="I161" i="2"/>
  <c r="J146" i="2"/>
  <c r="AD156" i="2"/>
  <c r="AD157" i="2"/>
  <c r="AD154" i="2"/>
  <c r="J81" i="1"/>
  <c r="T180" i="2"/>
  <c r="B195" i="2"/>
  <c r="B194" i="2"/>
  <c r="AG183" i="2"/>
  <c r="AG184" i="2"/>
  <c r="B197" i="2"/>
  <c r="B193" i="2"/>
  <c r="AG185" i="2"/>
  <c r="B214" i="2" l="1"/>
  <c r="B211" i="2"/>
  <c r="B212" i="2"/>
  <c r="T197" i="2"/>
  <c r="AG201" i="2"/>
  <c r="B210" i="2"/>
  <c r="AG202" i="2"/>
  <c r="AG200" i="2"/>
  <c r="I160" i="2"/>
  <c r="I159" i="2"/>
  <c r="I178" i="2"/>
  <c r="AD174" i="2"/>
  <c r="AD170" i="2"/>
  <c r="J163" i="2"/>
  <c r="AD175" i="2"/>
  <c r="AD172" i="2"/>
  <c r="AD169" i="2"/>
  <c r="AD168" i="2"/>
  <c r="AD167" i="2"/>
  <c r="AD166" i="2"/>
  <c r="AD173" i="2"/>
  <c r="AD171" i="2"/>
  <c r="J90" i="1"/>
  <c r="A106" i="1"/>
  <c r="B108" i="1"/>
  <c r="B106" i="1"/>
  <c r="N99" i="1"/>
  <c r="A35" i="4"/>
  <c r="T34" i="4"/>
  <c r="S34" i="4"/>
  <c r="Q34" i="4"/>
  <c r="Y34" i="4"/>
  <c r="W34" i="4"/>
  <c r="N34" i="4"/>
  <c r="V24" i="4"/>
  <c r="H24" i="4" s="1"/>
  <c r="J99" i="1" l="1"/>
  <c r="I177" i="2"/>
  <c r="I176" i="2"/>
  <c r="B117" i="1"/>
  <c r="B115" i="1"/>
  <c r="N108" i="1"/>
  <c r="A115" i="1"/>
  <c r="AD187" i="2"/>
  <c r="I195" i="2"/>
  <c r="AD190" i="2"/>
  <c r="AD192" i="2"/>
  <c r="AD189" i="2"/>
  <c r="AD185" i="2"/>
  <c r="AD186" i="2"/>
  <c r="AD183" i="2"/>
  <c r="AD191" i="2"/>
  <c r="AD184" i="2"/>
  <c r="J180" i="2"/>
  <c r="AD188" i="2"/>
  <c r="B229" i="2"/>
  <c r="B227" i="2"/>
  <c r="T214" i="2"/>
  <c r="B231" i="2"/>
  <c r="AG219" i="2"/>
  <c r="AG218" i="2"/>
  <c r="B228" i="2"/>
  <c r="AG217" i="2"/>
  <c r="N35" i="4"/>
  <c r="T35" i="4"/>
  <c r="S35" i="4"/>
  <c r="Q35" i="4"/>
  <c r="A36" i="4"/>
  <c r="Y35" i="4"/>
  <c r="W35" i="4"/>
  <c r="W36" i="4" l="1"/>
  <c r="T36" i="4"/>
  <c r="S36" i="4"/>
  <c r="A37" i="4"/>
  <c r="Y36" i="4"/>
  <c r="Q36" i="4"/>
  <c r="N36" i="4"/>
  <c r="J108" i="1"/>
  <c r="B126" i="1"/>
  <c r="B124" i="1"/>
  <c r="N117" i="1"/>
  <c r="A124" i="1"/>
  <c r="AD205" i="2"/>
  <c r="J197" i="2"/>
  <c r="AD208" i="2"/>
  <c r="AD207" i="2"/>
  <c r="AD200" i="2"/>
  <c r="AD201" i="2"/>
  <c r="AD209" i="2"/>
  <c r="AD202" i="2"/>
  <c r="I212" i="2"/>
  <c r="AD206" i="2"/>
  <c r="AD203" i="2"/>
  <c r="AD204" i="2"/>
  <c r="I194" i="2"/>
  <c r="I193" i="2"/>
  <c r="B246" i="2"/>
  <c r="B244" i="2"/>
  <c r="AG235" i="2"/>
  <c r="B245" i="2"/>
  <c r="AG236" i="2"/>
  <c r="T231" i="2"/>
  <c r="B248" i="2"/>
  <c r="AG234" i="2"/>
  <c r="AD224" i="2" l="1"/>
  <c r="AD221" i="2"/>
  <c r="AD222" i="2"/>
  <c r="I229" i="2"/>
  <c r="AD219" i="2"/>
  <c r="AD226" i="2"/>
  <c r="AD223" i="2"/>
  <c r="AD220" i="2"/>
  <c r="AD217" i="2"/>
  <c r="J214" i="2"/>
  <c r="AD225" i="2"/>
  <c r="AD218" i="2"/>
  <c r="I211" i="2"/>
  <c r="I210" i="2"/>
  <c r="T248" i="2"/>
  <c r="B265" i="2"/>
  <c r="B262" i="2"/>
  <c r="B263" i="2"/>
  <c r="B261" i="2"/>
  <c r="AG253" i="2"/>
  <c r="AG252" i="2"/>
  <c r="AG251" i="2"/>
  <c r="J117" i="1"/>
  <c r="B133" i="1"/>
  <c r="N126" i="1"/>
  <c r="A133" i="1"/>
  <c r="B135" i="1"/>
  <c r="Y37" i="4"/>
  <c r="W37" i="4"/>
  <c r="T37" i="4"/>
  <c r="A38" i="4"/>
  <c r="S37" i="4"/>
  <c r="Q37" i="4"/>
  <c r="N37" i="4"/>
  <c r="B144" i="1" l="1"/>
  <c r="B142" i="1"/>
  <c r="N135" i="1"/>
  <c r="A142" i="1"/>
  <c r="T265" i="2"/>
  <c r="B282" i="2"/>
  <c r="B279" i="2"/>
  <c r="B280" i="2"/>
  <c r="B278" i="2"/>
  <c r="AG270" i="2"/>
  <c r="AG269" i="2"/>
  <c r="AG268" i="2"/>
  <c r="I246" i="2"/>
  <c r="AD241" i="2"/>
  <c r="AD243" i="2"/>
  <c r="AD237" i="2"/>
  <c r="AD236" i="2"/>
  <c r="AD235" i="2"/>
  <c r="AD234" i="2"/>
  <c r="J231" i="2"/>
  <c r="AD240" i="2"/>
  <c r="AD239" i="2"/>
  <c r="AD242" i="2"/>
  <c r="AD238" i="2"/>
  <c r="J126" i="1"/>
  <c r="I227" i="2"/>
  <c r="I228" i="2"/>
  <c r="Q38" i="4"/>
  <c r="A39" i="4"/>
  <c r="Y38" i="4"/>
  <c r="W38" i="4"/>
  <c r="T38" i="4"/>
  <c r="S38" i="4"/>
  <c r="N38" i="4"/>
  <c r="I244" i="2" l="1"/>
  <c r="I245" i="2"/>
  <c r="S39" i="4"/>
  <c r="Q39" i="4"/>
  <c r="N39" i="4"/>
  <c r="A40" i="4"/>
  <c r="Y39" i="4"/>
  <c r="W39" i="4"/>
  <c r="T39" i="4"/>
  <c r="B297" i="2"/>
  <c r="AG287" i="2"/>
  <c r="AG286" i="2"/>
  <c r="AG285" i="2"/>
  <c r="B296" i="2"/>
  <c r="B299" i="2"/>
  <c r="B295" i="2"/>
  <c r="T282" i="2"/>
  <c r="AD259" i="2"/>
  <c r="AD260" i="2"/>
  <c r="AD254" i="2"/>
  <c r="AD253" i="2"/>
  <c r="AD252" i="2"/>
  <c r="AD251" i="2"/>
  <c r="AD255" i="2"/>
  <c r="AD256" i="2"/>
  <c r="AD257" i="2"/>
  <c r="AD258" i="2"/>
  <c r="I263" i="2"/>
  <c r="J248" i="2"/>
  <c r="J135" i="1"/>
  <c r="A151" i="1"/>
  <c r="B151" i="1"/>
  <c r="B153" i="1"/>
  <c r="N144" i="1"/>
  <c r="AD272" i="2" l="1"/>
  <c r="J265" i="2"/>
  <c r="AD274" i="2"/>
  <c r="I280" i="2"/>
  <c r="AD275" i="2"/>
  <c r="AD276" i="2"/>
  <c r="AD277" i="2"/>
  <c r="AD271" i="2"/>
  <c r="AD270" i="2"/>
  <c r="AD269" i="2"/>
  <c r="AD268" i="2"/>
  <c r="AD273" i="2"/>
  <c r="J144" i="1"/>
  <c r="T299" i="2"/>
  <c r="B312" i="2"/>
  <c r="AG302" i="2"/>
  <c r="B314" i="2"/>
  <c r="AG303" i="2"/>
  <c r="AG304" i="2"/>
  <c r="B313" i="2"/>
  <c r="B316" i="2"/>
  <c r="B162" i="1"/>
  <c r="B160" i="1"/>
  <c r="N153" i="1"/>
  <c r="A160" i="1"/>
  <c r="I261" i="2"/>
  <c r="I262" i="2"/>
  <c r="T40" i="4"/>
  <c r="S40" i="4"/>
  <c r="Q40" i="4"/>
  <c r="N40" i="4"/>
  <c r="A41" i="4"/>
  <c r="Y40" i="4"/>
  <c r="W40" i="4"/>
  <c r="T41" i="4" l="1"/>
  <c r="S41" i="4"/>
  <c r="Q41" i="4"/>
  <c r="N41" i="4"/>
  <c r="A42" i="4"/>
  <c r="Y41" i="4"/>
  <c r="W41" i="4"/>
  <c r="C32" i="4"/>
  <c r="J153" i="1"/>
  <c r="B171" i="1"/>
  <c r="B169" i="1"/>
  <c r="N162" i="1"/>
  <c r="A169" i="1"/>
  <c r="B333" i="2"/>
  <c r="B330" i="2"/>
  <c r="B329" i="2"/>
  <c r="B331" i="2"/>
  <c r="AG319" i="2"/>
  <c r="AG320" i="2"/>
  <c r="AG321" i="2"/>
  <c r="T316" i="2"/>
  <c r="I279" i="2"/>
  <c r="I278" i="2"/>
  <c r="AD294" i="2"/>
  <c r="AD290" i="2"/>
  <c r="J282" i="2"/>
  <c r="AD291" i="2"/>
  <c r="AD292" i="2"/>
  <c r="AD288" i="2"/>
  <c r="AD287" i="2"/>
  <c r="AD286" i="2"/>
  <c r="AD285" i="2"/>
  <c r="I297" i="2"/>
  <c r="AD293" i="2"/>
  <c r="AD289" i="2"/>
  <c r="J162" i="1" l="1"/>
  <c r="V32" i="4"/>
  <c r="H32" i="4" s="1"/>
  <c r="T42" i="4"/>
  <c r="S42" i="4"/>
  <c r="Q42" i="4"/>
  <c r="N42" i="4"/>
  <c r="A43" i="4"/>
  <c r="Y42" i="4"/>
  <c r="W42" i="4"/>
  <c r="I314" i="2"/>
  <c r="AD306" i="2"/>
  <c r="AD310" i="2"/>
  <c r="AD311" i="2"/>
  <c r="AD307" i="2"/>
  <c r="AD302" i="2"/>
  <c r="J299" i="2"/>
  <c r="AD308" i="2"/>
  <c r="AD303" i="2"/>
  <c r="AD309" i="2"/>
  <c r="AD304" i="2"/>
  <c r="AD305" i="2"/>
  <c r="I296" i="2"/>
  <c r="I295" i="2"/>
  <c r="B178" i="1"/>
  <c r="N171" i="1"/>
  <c r="B180" i="1"/>
  <c r="A178" i="1"/>
  <c r="B348" i="2"/>
  <c r="B346" i="2"/>
  <c r="AG338" i="2"/>
  <c r="AG337" i="2"/>
  <c r="AG336" i="2"/>
  <c r="T333" i="2"/>
  <c r="B347" i="2"/>
  <c r="B350" i="2"/>
  <c r="I312" i="2" l="1"/>
  <c r="I313" i="2"/>
  <c r="B189" i="1"/>
  <c r="B187" i="1"/>
  <c r="N180" i="1"/>
  <c r="A187" i="1"/>
  <c r="W43" i="4"/>
  <c r="T43" i="4"/>
  <c r="S43" i="4"/>
  <c r="Q43" i="4"/>
  <c r="N43" i="4"/>
  <c r="A44" i="4"/>
  <c r="Y43" i="4"/>
  <c r="J171" i="1"/>
  <c r="AD327" i="2"/>
  <c r="AD324" i="2"/>
  <c r="AD323" i="2"/>
  <c r="I331" i="2"/>
  <c r="AD328" i="2"/>
  <c r="AD325" i="2"/>
  <c r="AD319" i="2"/>
  <c r="AD320" i="2"/>
  <c r="AD321" i="2"/>
  <c r="AD326" i="2"/>
  <c r="AD322" i="2"/>
  <c r="J316" i="2"/>
  <c r="B367" i="2"/>
  <c r="B364" i="2"/>
  <c r="B365" i="2"/>
  <c r="AG355" i="2"/>
  <c r="T350" i="2"/>
  <c r="AG353" i="2"/>
  <c r="B363" i="2"/>
  <c r="AG354" i="2"/>
  <c r="I348" i="2" l="1"/>
  <c r="AD345" i="2"/>
  <c r="AD338" i="2"/>
  <c r="AD342" i="2"/>
  <c r="AD339" i="2"/>
  <c r="AD343" i="2"/>
  <c r="AD340" i="2"/>
  <c r="AD336" i="2"/>
  <c r="AD344" i="2"/>
  <c r="J333" i="2"/>
  <c r="AD341" i="2"/>
  <c r="AD337" i="2"/>
  <c r="B384" i="2"/>
  <c r="B381" i="2"/>
  <c r="B380" i="2"/>
  <c r="AG372" i="2"/>
  <c r="AG370" i="2"/>
  <c r="T367" i="2"/>
  <c r="B382" i="2"/>
  <c r="AG371" i="2"/>
  <c r="J180" i="1"/>
  <c r="B196" i="1"/>
  <c r="N189" i="1"/>
  <c r="A196" i="1"/>
  <c r="B198" i="1"/>
  <c r="Y44" i="4"/>
  <c r="W44" i="4"/>
  <c r="T44" i="4"/>
  <c r="S44" i="4"/>
  <c r="Q44" i="4"/>
  <c r="N44" i="4"/>
  <c r="A45" i="4"/>
  <c r="I330" i="2"/>
  <c r="I329" i="2"/>
  <c r="J189" i="1" l="1"/>
  <c r="B399" i="2"/>
  <c r="B397" i="2"/>
  <c r="AG389" i="2"/>
  <c r="AG388" i="2"/>
  <c r="AG387" i="2"/>
  <c r="B401" i="2"/>
  <c r="B398" i="2"/>
  <c r="T384" i="2"/>
  <c r="I347" i="2"/>
  <c r="I346" i="2"/>
  <c r="B207" i="1"/>
  <c r="B205" i="1"/>
  <c r="N198" i="1"/>
  <c r="A205" i="1"/>
  <c r="AD362" i="2"/>
  <c r="AD356" i="2"/>
  <c r="AD355" i="2"/>
  <c r="AD354" i="2"/>
  <c r="AD353" i="2"/>
  <c r="AD358" i="2"/>
  <c r="I365" i="2"/>
  <c r="AD361" i="2"/>
  <c r="AD360" i="2"/>
  <c r="J350" i="2"/>
  <c r="AD359" i="2"/>
  <c r="AD357" i="2"/>
  <c r="Y45" i="4"/>
  <c r="W45" i="4"/>
  <c r="T45" i="4"/>
  <c r="S45" i="4"/>
  <c r="Q45" i="4"/>
  <c r="A46" i="4"/>
  <c r="N45" i="4"/>
  <c r="J198" i="1" l="1"/>
  <c r="A47" i="4"/>
  <c r="Y46" i="4"/>
  <c r="W46" i="4"/>
  <c r="T46" i="4"/>
  <c r="S46" i="4"/>
  <c r="Q46" i="4"/>
  <c r="N46" i="4"/>
  <c r="I364" i="2"/>
  <c r="I363" i="2"/>
  <c r="B216" i="1"/>
  <c r="A214" i="1"/>
  <c r="B214" i="1"/>
  <c r="N207" i="1"/>
  <c r="B416" i="2"/>
  <c r="B414" i="2"/>
  <c r="AG406" i="2"/>
  <c r="AG405" i="2"/>
  <c r="AG404" i="2"/>
  <c r="T401" i="2"/>
  <c r="B418" i="2"/>
  <c r="B415" i="2"/>
  <c r="AD375" i="2"/>
  <c r="AD376" i="2"/>
  <c r="I382" i="2"/>
  <c r="AD378" i="2"/>
  <c r="AD379" i="2"/>
  <c r="AD371" i="2"/>
  <c r="AD377" i="2"/>
  <c r="AD372" i="2"/>
  <c r="AD373" i="2"/>
  <c r="AD370" i="2"/>
  <c r="J367" i="2"/>
  <c r="AD374" i="2"/>
  <c r="AD393" i="2" l="1"/>
  <c r="I399" i="2"/>
  <c r="AD394" i="2"/>
  <c r="AD395" i="2"/>
  <c r="AD391" i="2"/>
  <c r="AD392" i="2"/>
  <c r="AD389" i="2"/>
  <c r="J384" i="2"/>
  <c r="AD388" i="2"/>
  <c r="AD387" i="2"/>
  <c r="AD396" i="2"/>
  <c r="AD390" i="2"/>
  <c r="B431" i="2"/>
  <c r="B433" i="2"/>
  <c r="T418" i="2"/>
  <c r="B432" i="2"/>
  <c r="B435" i="2"/>
  <c r="AG423" i="2"/>
  <c r="AG422" i="2"/>
  <c r="AG421" i="2"/>
  <c r="I380" i="2"/>
  <c r="I381" i="2"/>
  <c r="N47" i="4"/>
  <c r="A48" i="4"/>
  <c r="Y47" i="4"/>
  <c r="W47" i="4"/>
  <c r="T47" i="4"/>
  <c r="S47" i="4"/>
  <c r="Q47" i="4"/>
  <c r="B225" i="1"/>
  <c r="B223" i="1"/>
  <c r="N216" i="1"/>
  <c r="A223" i="1"/>
  <c r="J207" i="1"/>
  <c r="T435" i="2" l="1"/>
  <c r="B448" i="2"/>
  <c r="B450" i="2"/>
  <c r="AG438" i="2"/>
  <c r="AG439" i="2"/>
  <c r="AG440" i="2"/>
  <c r="B449" i="2"/>
  <c r="B452" i="2"/>
  <c r="J216" i="1"/>
  <c r="B234" i="1"/>
  <c r="B232" i="1"/>
  <c r="N225" i="1"/>
  <c r="A232" i="1"/>
  <c r="N48" i="4"/>
  <c r="A49" i="4"/>
  <c r="Y48" i="4"/>
  <c r="W48" i="4"/>
  <c r="T48" i="4"/>
  <c r="S48" i="4"/>
  <c r="Q48" i="4"/>
  <c r="I397" i="2"/>
  <c r="I398" i="2"/>
  <c r="AD412" i="2"/>
  <c r="AD413" i="2"/>
  <c r="AD407" i="2"/>
  <c r="AD406" i="2"/>
  <c r="AD405" i="2"/>
  <c r="AD404" i="2"/>
  <c r="AD408" i="2"/>
  <c r="AD409" i="2"/>
  <c r="J401" i="2"/>
  <c r="AD410" i="2"/>
  <c r="I416" i="2"/>
  <c r="AD411" i="2"/>
  <c r="N49" i="4" l="1"/>
  <c r="A50" i="4"/>
  <c r="Y49" i="4"/>
  <c r="W49" i="4"/>
  <c r="T49" i="4"/>
  <c r="S49" i="4"/>
  <c r="Q49" i="4"/>
  <c r="B467" i="2"/>
  <c r="B465" i="2"/>
  <c r="AG457" i="2"/>
  <c r="AG456" i="2"/>
  <c r="AG455" i="2"/>
  <c r="T452" i="2"/>
  <c r="B466" i="2"/>
  <c r="B469" i="2"/>
  <c r="C48" i="4"/>
  <c r="V48" i="4" s="1"/>
  <c r="I415" i="2"/>
  <c r="I414" i="2"/>
  <c r="J225" i="1"/>
  <c r="B241" i="1"/>
  <c r="N234" i="1"/>
  <c r="A241" i="1"/>
  <c r="B243" i="1"/>
  <c r="I433" i="2"/>
  <c r="AD424" i="2"/>
  <c r="AD423" i="2"/>
  <c r="AD422" i="2"/>
  <c r="AD421" i="2"/>
  <c r="AD430" i="2"/>
  <c r="AD425" i="2"/>
  <c r="AD426" i="2"/>
  <c r="J418" i="2"/>
  <c r="AD427" i="2"/>
  <c r="AD428" i="2"/>
  <c r="AD429" i="2"/>
  <c r="AD442" i="2" l="1"/>
  <c r="AD444" i="2"/>
  <c r="I450" i="2"/>
  <c r="AD446" i="2"/>
  <c r="AD443" i="2"/>
  <c r="AD447" i="2"/>
  <c r="AD438" i="2"/>
  <c r="AD439" i="2"/>
  <c r="J435" i="2"/>
  <c r="AD440" i="2"/>
  <c r="AD445" i="2"/>
  <c r="AD441" i="2"/>
  <c r="B486" i="2"/>
  <c r="B483" i="2"/>
  <c r="AG474" i="2"/>
  <c r="B484" i="2"/>
  <c r="T469" i="2"/>
  <c r="AG472" i="2"/>
  <c r="B482" i="2"/>
  <c r="AG473" i="2"/>
  <c r="B252" i="1"/>
  <c r="B250" i="1"/>
  <c r="N243" i="1"/>
  <c r="A250" i="1"/>
  <c r="Q50" i="4"/>
  <c r="N50" i="4"/>
  <c r="A51" i="4"/>
  <c r="Y50" i="4"/>
  <c r="W50" i="4"/>
  <c r="T50" i="4"/>
  <c r="S50" i="4"/>
  <c r="J234" i="1"/>
  <c r="C49" i="4"/>
  <c r="V49" i="4" s="1"/>
  <c r="I432" i="2"/>
  <c r="I431" i="2"/>
  <c r="A259" i="1" l="1"/>
  <c r="B261" i="1"/>
  <c r="B259" i="1"/>
  <c r="N252" i="1"/>
  <c r="S51" i="4"/>
  <c r="Q51" i="4"/>
  <c r="N51" i="4"/>
  <c r="A52" i="4"/>
  <c r="Y51" i="4"/>
  <c r="W51" i="4"/>
  <c r="T51" i="4"/>
  <c r="C50" i="4"/>
  <c r="V50" i="4" s="1"/>
  <c r="I449" i="2"/>
  <c r="I448" i="2"/>
  <c r="AD459" i="2"/>
  <c r="J452" i="2"/>
  <c r="AD462" i="2"/>
  <c r="AD464" i="2"/>
  <c r="AD461" i="2"/>
  <c r="AD458" i="2"/>
  <c r="AD455" i="2"/>
  <c r="AD463" i="2"/>
  <c r="AD460" i="2"/>
  <c r="AD456" i="2"/>
  <c r="I467" i="2"/>
  <c r="AD457" i="2"/>
  <c r="T486" i="2"/>
  <c r="AG490" i="2"/>
  <c r="B503" i="2"/>
  <c r="AG489" i="2"/>
  <c r="B501" i="2"/>
  <c r="B500" i="2"/>
  <c r="AG491" i="2"/>
  <c r="B499" i="2"/>
  <c r="J243" i="1"/>
  <c r="B518" i="2" l="1"/>
  <c r="B516" i="2"/>
  <c r="AG508" i="2"/>
  <c r="AG507" i="2"/>
  <c r="AG506" i="2"/>
  <c r="T503" i="2"/>
  <c r="B520" i="2"/>
  <c r="B517" i="2"/>
  <c r="AD477" i="2"/>
  <c r="J469" i="2"/>
  <c r="I484" i="2"/>
  <c r="AD480" i="2"/>
  <c r="AD479" i="2"/>
  <c r="AD474" i="2"/>
  <c r="AD475" i="2"/>
  <c r="AD472" i="2"/>
  <c r="AD478" i="2"/>
  <c r="AD481" i="2"/>
  <c r="AD476" i="2"/>
  <c r="AD473" i="2"/>
  <c r="T52" i="4"/>
  <c r="S52" i="4"/>
  <c r="Q52" i="4"/>
  <c r="N52" i="4"/>
  <c r="A53" i="4"/>
  <c r="Y52" i="4"/>
  <c r="W52" i="4"/>
  <c r="C51" i="4"/>
  <c r="V51" i="4" s="1"/>
  <c r="I466" i="2"/>
  <c r="I465" i="2"/>
  <c r="J252" i="1"/>
  <c r="B270" i="1"/>
  <c r="A268" i="1"/>
  <c r="B268" i="1"/>
  <c r="N261" i="1"/>
  <c r="J261" i="1" l="1"/>
  <c r="B534" i="2"/>
  <c r="AG524" i="2"/>
  <c r="AG523" i="2"/>
  <c r="AG525" i="2"/>
  <c r="B537" i="2"/>
  <c r="B533" i="2"/>
  <c r="T520" i="2"/>
  <c r="B535" i="2"/>
  <c r="J486" i="2"/>
  <c r="AD495" i="2"/>
  <c r="I501" i="2"/>
  <c r="AD496" i="2"/>
  <c r="AD497" i="2"/>
  <c r="AD498" i="2"/>
  <c r="AD493" i="2"/>
  <c r="AD490" i="2"/>
  <c r="AD494" i="2"/>
  <c r="AD492" i="2"/>
  <c r="AD489" i="2"/>
  <c r="AD491" i="2"/>
  <c r="T53" i="4"/>
  <c r="S53" i="4"/>
  <c r="Q53" i="4"/>
  <c r="N53" i="4"/>
  <c r="A54" i="4"/>
  <c r="Y53" i="4"/>
  <c r="W53" i="4"/>
  <c r="A277" i="1"/>
  <c r="B279" i="1"/>
  <c r="N270" i="1"/>
  <c r="B277" i="1"/>
  <c r="I482" i="2"/>
  <c r="I483" i="2"/>
  <c r="C52" i="4"/>
  <c r="V52" i="4" s="1"/>
  <c r="I499" i="2" l="1"/>
  <c r="I500" i="2"/>
  <c r="AD512" i="2"/>
  <c r="I518" i="2"/>
  <c r="AD513" i="2"/>
  <c r="AD514" i="2"/>
  <c r="AD510" i="2"/>
  <c r="AD511" i="2"/>
  <c r="J503" i="2"/>
  <c r="AD509" i="2"/>
  <c r="AD507" i="2"/>
  <c r="AD515" i="2"/>
  <c r="AD508" i="2"/>
  <c r="AD506" i="2"/>
  <c r="T54" i="4"/>
  <c r="S54" i="4"/>
  <c r="Q54" i="4"/>
  <c r="N54" i="4"/>
  <c r="A55" i="4"/>
  <c r="Y54" i="4"/>
  <c r="W54" i="4"/>
  <c r="B554" i="2"/>
  <c r="B551" i="2"/>
  <c r="B550" i="2"/>
  <c r="B552" i="2"/>
  <c r="AG540" i="2"/>
  <c r="AG541" i="2"/>
  <c r="AG542" i="2"/>
  <c r="T537" i="2"/>
  <c r="C53" i="4"/>
  <c r="V53" i="4" s="1"/>
  <c r="J270" i="1"/>
  <c r="B286" i="1"/>
  <c r="N279" i="1"/>
  <c r="B288" i="1"/>
  <c r="A286" i="1"/>
  <c r="A295" i="1" l="1"/>
  <c r="N288" i="1"/>
  <c r="B297" i="1"/>
  <c r="B295" i="1"/>
  <c r="B569" i="2"/>
  <c r="B567" i="2"/>
  <c r="AG559" i="2"/>
  <c r="AG558" i="2"/>
  <c r="AG557" i="2"/>
  <c r="B568" i="2"/>
  <c r="B571" i="2"/>
  <c r="T554" i="2"/>
  <c r="I516" i="2"/>
  <c r="I517" i="2"/>
  <c r="W55" i="4"/>
  <c r="T55" i="4"/>
  <c r="S55" i="4"/>
  <c r="Q55" i="4"/>
  <c r="N55" i="4"/>
  <c r="A56" i="4"/>
  <c r="Y55" i="4"/>
  <c r="AD529" i="2"/>
  <c r="AD530" i="2"/>
  <c r="AD524" i="2"/>
  <c r="AD523" i="2"/>
  <c r="AD525" i="2"/>
  <c r="I535" i="2"/>
  <c r="AD531" i="2"/>
  <c r="AD526" i="2"/>
  <c r="AD527" i="2"/>
  <c r="AD532" i="2"/>
  <c r="J520" i="2"/>
  <c r="AD528" i="2"/>
  <c r="C54" i="4"/>
  <c r="V54" i="4" s="1"/>
  <c r="J279" i="1"/>
  <c r="I534" i="2" l="1"/>
  <c r="I533" i="2"/>
  <c r="AG575" i="2"/>
  <c r="B588" i="2"/>
  <c r="B584" i="2"/>
  <c r="AG576" i="2"/>
  <c r="B586" i="2"/>
  <c r="AG574" i="2"/>
  <c r="B585" i="2"/>
  <c r="T571" i="2"/>
  <c r="AD545" i="2"/>
  <c r="AD546" i="2"/>
  <c r="AD547" i="2"/>
  <c r="AD542" i="2"/>
  <c r="AD543" i="2"/>
  <c r="J537" i="2"/>
  <c r="I552" i="2"/>
  <c r="AD544" i="2"/>
  <c r="AD548" i="2"/>
  <c r="AD549" i="2"/>
  <c r="AD540" i="2"/>
  <c r="AD541" i="2"/>
  <c r="Y56" i="4"/>
  <c r="W56" i="4"/>
  <c r="T56" i="4"/>
  <c r="S56" i="4"/>
  <c r="Q56" i="4"/>
  <c r="N56" i="4"/>
  <c r="A57" i="4"/>
  <c r="C55" i="4"/>
  <c r="V55" i="4" s="1"/>
  <c r="N297" i="1"/>
  <c r="B306" i="1"/>
  <c r="B304" i="1"/>
  <c r="A304" i="1"/>
  <c r="J288" i="1"/>
  <c r="J297" i="1" l="1"/>
  <c r="Y57" i="4"/>
  <c r="W57" i="4"/>
  <c r="T57" i="4"/>
  <c r="S57" i="4"/>
  <c r="Q57" i="4"/>
  <c r="A58" i="4"/>
  <c r="N57" i="4"/>
  <c r="C56" i="4"/>
  <c r="V56" i="4" s="1"/>
  <c r="B315" i="1"/>
  <c r="N306" i="1"/>
  <c r="B313" i="1"/>
  <c r="A313" i="1"/>
  <c r="T588" i="2"/>
  <c r="B601" i="2"/>
  <c r="B605" i="2"/>
  <c r="B603" i="2"/>
  <c r="AG591" i="2"/>
  <c r="B602" i="2"/>
  <c r="AG592" i="2"/>
  <c r="AG593" i="2"/>
  <c r="I569" i="2"/>
  <c r="AD564" i="2"/>
  <c r="AD559" i="2"/>
  <c r="AD560" i="2"/>
  <c r="AD565" i="2"/>
  <c r="AD566" i="2"/>
  <c r="AD562" i="2"/>
  <c r="AD557" i="2"/>
  <c r="AD563" i="2"/>
  <c r="AD558" i="2"/>
  <c r="J554" i="2"/>
  <c r="AD561" i="2"/>
  <c r="I550" i="2"/>
  <c r="I551" i="2"/>
  <c r="A59" i="4" l="1"/>
  <c r="Y58" i="4"/>
  <c r="W58" i="4"/>
  <c r="T58" i="4"/>
  <c r="S58" i="4"/>
  <c r="Q58" i="4"/>
  <c r="N58" i="4"/>
  <c r="C57" i="4"/>
  <c r="V57" i="4" s="1"/>
  <c r="I567" i="2"/>
  <c r="I568" i="2"/>
  <c r="J306" i="1"/>
  <c r="B324" i="1"/>
  <c r="B322" i="1"/>
  <c r="A322" i="1"/>
  <c r="N315" i="1"/>
  <c r="AD582" i="2"/>
  <c r="AD583" i="2"/>
  <c r="AD577" i="2"/>
  <c r="AD576" i="2"/>
  <c r="AD575" i="2"/>
  <c r="AD574" i="2"/>
  <c r="AD578" i="2"/>
  <c r="J571" i="2"/>
  <c r="T586" i="2"/>
  <c r="I586" i="2"/>
  <c r="AD579" i="2"/>
  <c r="AD580" i="2"/>
  <c r="AD581" i="2"/>
  <c r="B622" i="2"/>
  <c r="B619" i="2"/>
  <c r="AG608" i="2"/>
  <c r="T605" i="2"/>
  <c r="B618" i="2"/>
  <c r="AG609" i="2"/>
  <c r="AG610" i="2"/>
  <c r="B620" i="2"/>
  <c r="T603" i="2" l="1"/>
  <c r="J588" i="2"/>
  <c r="I603" i="2"/>
  <c r="AD595" i="2"/>
  <c r="AD599" i="2"/>
  <c r="AD592" i="2"/>
  <c r="AD593" i="2"/>
  <c r="AD594" i="2"/>
  <c r="AD600" i="2"/>
  <c r="AD597" i="2"/>
  <c r="AD598" i="2"/>
  <c r="AD596" i="2"/>
  <c r="AD591" i="2"/>
  <c r="I584" i="2"/>
  <c r="I585" i="2"/>
  <c r="J315" i="1"/>
  <c r="C58" i="4"/>
  <c r="V58" i="4" s="1"/>
  <c r="B637" i="2"/>
  <c r="B635" i="2"/>
  <c r="AG627" i="2"/>
  <c r="AG626" i="2"/>
  <c r="AG625" i="2"/>
  <c r="T622" i="2"/>
  <c r="B639" i="2"/>
  <c r="B636" i="2"/>
  <c r="B333" i="1"/>
  <c r="B331" i="1"/>
  <c r="A331" i="1"/>
  <c r="N324" i="1"/>
  <c r="N59" i="4"/>
  <c r="A60" i="4"/>
  <c r="Y59" i="4"/>
  <c r="W59" i="4"/>
  <c r="T59" i="4"/>
  <c r="S59" i="4"/>
  <c r="Q59" i="4"/>
  <c r="I601" i="2" l="1"/>
  <c r="I602" i="2"/>
  <c r="C59" i="4"/>
  <c r="V59" i="4" s="1"/>
  <c r="AD615" i="2"/>
  <c r="AD616" i="2"/>
  <c r="AD617" i="2"/>
  <c r="AD612" i="2"/>
  <c r="AD613" i="2"/>
  <c r="T620" i="2"/>
  <c r="J605" i="2"/>
  <c r="AD614" i="2"/>
  <c r="AD608" i="2"/>
  <c r="I620" i="2"/>
  <c r="AD609" i="2"/>
  <c r="AD610" i="2"/>
  <c r="AD611" i="2"/>
  <c r="B342" i="1"/>
  <c r="B340" i="1"/>
  <c r="N333" i="1"/>
  <c r="A340" i="1"/>
  <c r="J324" i="1"/>
  <c r="N60" i="4"/>
  <c r="A61" i="4"/>
  <c r="Y60" i="4"/>
  <c r="W60" i="4"/>
  <c r="T60" i="4"/>
  <c r="S60" i="4"/>
  <c r="Q60" i="4"/>
  <c r="B654" i="2"/>
  <c r="B652" i="2"/>
  <c r="B653" i="2"/>
  <c r="T639" i="2"/>
  <c r="B656" i="2"/>
  <c r="AG643" i="2"/>
  <c r="AG644" i="2"/>
  <c r="AG642" i="2"/>
  <c r="B349" i="1" l="1"/>
  <c r="N342" i="1"/>
  <c r="A349" i="1"/>
  <c r="B351" i="1"/>
  <c r="I618" i="2"/>
  <c r="I619" i="2"/>
  <c r="AD634" i="2"/>
  <c r="AD628" i="2"/>
  <c r="AD627" i="2"/>
  <c r="AD626" i="2"/>
  <c r="AD625" i="2"/>
  <c r="T637" i="2"/>
  <c r="J622" i="2"/>
  <c r="I637" i="2"/>
  <c r="AD632" i="2"/>
  <c r="AD629" i="2"/>
  <c r="AD630" i="2"/>
  <c r="AD633" i="2"/>
  <c r="AD631" i="2"/>
  <c r="C60" i="4"/>
  <c r="V60" i="4" s="1"/>
  <c r="N61" i="4"/>
  <c r="A62" i="4"/>
  <c r="Y61" i="4"/>
  <c r="W61" i="4"/>
  <c r="T61" i="4"/>
  <c r="S61" i="4"/>
  <c r="Q61" i="4"/>
  <c r="B673" i="2"/>
  <c r="B670" i="2"/>
  <c r="B671" i="2"/>
  <c r="B669" i="2"/>
  <c r="AG660" i="2"/>
  <c r="AG661" i="2"/>
  <c r="T656" i="2"/>
  <c r="AG659" i="2"/>
  <c r="J333" i="1"/>
  <c r="AD650" i="2" l="1"/>
  <c r="AD649" i="2"/>
  <c r="AD645" i="2"/>
  <c r="AD646" i="2"/>
  <c r="AD651" i="2"/>
  <c r="AD648" i="2"/>
  <c r="AD643" i="2"/>
  <c r="AD642" i="2"/>
  <c r="J639" i="2"/>
  <c r="AD644" i="2"/>
  <c r="T654" i="2"/>
  <c r="AD647" i="2"/>
  <c r="I654" i="2"/>
  <c r="C61" i="4"/>
  <c r="V61" i="4" s="1"/>
  <c r="B688" i="2"/>
  <c r="B686" i="2"/>
  <c r="AG678" i="2"/>
  <c r="AG677" i="2"/>
  <c r="AG676" i="2"/>
  <c r="B690" i="2"/>
  <c r="B687" i="2"/>
  <c r="T673" i="2"/>
  <c r="I636" i="2"/>
  <c r="I635" i="2"/>
  <c r="N351" i="1"/>
  <c r="B360" i="1"/>
  <c r="B358" i="1"/>
  <c r="A358" i="1"/>
  <c r="J342" i="1"/>
  <c r="Q62" i="4"/>
  <c r="N62" i="4"/>
  <c r="A63" i="4"/>
  <c r="Y62" i="4"/>
  <c r="W62" i="4"/>
  <c r="T62" i="4"/>
  <c r="S62" i="4"/>
  <c r="B369" i="1" l="1"/>
  <c r="A367" i="1"/>
  <c r="N360" i="1"/>
  <c r="B367" i="1"/>
  <c r="J351" i="1"/>
  <c r="S63" i="4"/>
  <c r="Q63" i="4"/>
  <c r="N63" i="4"/>
  <c r="A64" i="4"/>
  <c r="Y63" i="4"/>
  <c r="W63" i="4"/>
  <c r="T63" i="4"/>
  <c r="C62" i="4"/>
  <c r="V62" i="4" s="1"/>
  <c r="AD664" i="2"/>
  <c r="AD665" i="2"/>
  <c r="AD668" i="2"/>
  <c r="AD662" i="2"/>
  <c r="AD661" i="2"/>
  <c r="AD660" i="2"/>
  <c r="AD659" i="2"/>
  <c r="J656" i="2"/>
  <c r="I671" i="2"/>
  <c r="AD667" i="2"/>
  <c r="T671" i="2"/>
  <c r="AD666" i="2"/>
  <c r="AD663" i="2"/>
  <c r="T690" i="2"/>
  <c r="B707" i="2"/>
  <c r="B704" i="2"/>
  <c r="AG695" i="2"/>
  <c r="B703" i="2"/>
  <c r="AG693" i="2"/>
  <c r="AG694" i="2"/>
  <c r="B705" i="2"/>
  <c r="I653" i="2"/>
  <c r="I652" i="2"/>
  <c r="B724" i="2" l="1"/>
  <c r="B721" i="2"/>
  <c r="B722" i="2"/>
  <c r="B720" i="2"/>
  <c r="AG712" i="2"/>
  <c r="AG711" i="2"/>
  <c r="AG710" i="2"/>
  <c r="T707" i="2"/>
  <c r="T64" i="4"/>
  <c r="S64" i="4"/>
  <c r="Q64" i="4"/>
  <c r="N64" i="4"/>
  <c r="A65" i="4"/>
  <c r="Y64" i="4"/>
  <c r="W64" i="4"/>
  <c r="I688" i="2"/>
  <c r="AD684" i="2"/>
  <c r="AD685" i="2"/>
  <c r="AD679" i="2"/>
  <c r="AD678" i="2"/>
  <c r="AD677" i="2"/>
  <c r="AD676" i="2"/>
  <c r="AD681" i="2"/>
  <c r="T688" i="2"/>
  <c r="AD682" i="2"/>
  <c r="AD683" i="2"/>
  <c r="J673" i="2"/>
  <c r="AD680" i="2"/>
  <c r="J360" i="1"/>
  <c r="C63" i="4"/>
  <c r="V63" i="4" s="1"/>
  <c r="I670" i="2"/>
  <c r="I669" i="2"/>
  <c r="A376" i="1"/>
  <c r="B378" i="1"/>
  <c r="B376" i="1"/>
  <c r="N369" i="1"/>
  <c r="C64" i="4" l="1"/>
  <c r="V64" i="4" s="1"/>
  <c r="J369" i="1"/>
  <c r="A385" i="1"/>
  <c r="B387" i="1"/>
  <c r="B385" i="1"/>
  <c r="N378" i="1"/>
  <c r="I686" i="2"/>
  <c r="I687" i="2"/>
  <c r="AD701" i="2"/>
  <c r="AD702" i="2"/>
  <c r="AD696" i="2"/>
  <c r="AD695" i="2"/>
  <c r="AD694" i="2"/>
  <c r="AD693" i="2"/>
  <c r="AD697" i="2"/>
  <c r="AD698" i="2"/>
  <c r="T705" i="2"/>
  <c r="J690" i="2"/>
  <c r="AD699" i="2"/>
  <c r="I705" i="2"/>
  <c r="AD700" i="2"/>
  <c r="T65" i="4"/>
  <c r="S65" i="4"/>
  <c r="Q65" i="4"/>
  <c r="N65" i="4"/>
  <c r="A66" i="4"/>
  <c r="Y65" i="4"/>
  <c r="W65" i="4"/>
  <c r="B741" i="2"/>
  <c r="B738" i="2"/>
  <c r="B739" i="2"/>
  <c r="B737" i="2"/>
  <c r="AG729" i="2"/>
  <c r="AG728" i="2"/>
  <c r="AG727" i="2"/>
  <c r="T724" i="2"/>
  <c r="T66" i="4" l="1"/>
  <c r="S66" i="4"/>
  <c r="Q66" i="4"/>
  <c r="N66" i="4"/>
  <c r="A67" i="4"/>
  <c r="Y66" i="4"/>
  <c r="W66" i="4"/>
  <c r="AD715" i="2"/>
  <c r="T722" i="2"/>
  <c r="J707" i="2"/>
  <c r="AD716" i="2"/>
  <c r="I722" i="2"/>
  <c r="AD717" i="2"/>
  <c r="AD718" i="2"/>
  <c r="AD713" i="2"/>
  <c r="AD719" i="2"/>
  <c r="AD712" i="2"/>
  <c r="AD710" i="2"/>
  <c r="AD714" i="2"/>
  <c r="AD711" i="2"/>
  <c r="C65" i="4"/>
  <c r="V65" i="4" s="1"/>
  <c r="B755" i="2"/>
  <c r="AG746" i="2"/>
  <c r="AG745" i="2"/>
  <c r="AG744" i="2"/>
  <c r="B754" i="2"/>
  <c r="B756" i="2"/>
  <c r="T741" i="2"/>
  <c r="B758" i="2"/>
  <c r="J378" i="1"/>
  <c r="A394" i="1"/>
  <c r="B394" i="1"/>
  <c r="N387" i="1"/>
  <c r="B396" i="1"/>
  <c r="I704" i="2"/>
  <c r="I703" i="2"/>
  <c r="AD732" i="2" l="1"/>
  <c r="AD733" i="2"/>
  <c r="I739" i="2"/>
  <c r="AD734" i="2"/>
  <c r="AD735" i="2"/>
  <c r="AD736" i="2"/>
  <c r="AD730" i="2"/>
  <c r="AD729" i="2"/>
  <c r="AD728" i="2"/>
  <c r="AD727" i="2"/>
  <c r="AD731" i="2"/>
  <c r="T739" i="2"/>
  <c r="J724" i="2"/>
  <c r="J387" i="1"/>
  <c r="W67" i="4"/>
  <c r="T67" i="4"/>
  <c r="S67" i="4"/>
  <c r="Q67" i="4"/>
  <c r="N67" i="4"/>
  <c r="A68" i="4"/>
  <c r="Y67" i="4"/>
  <c r="AG761" i="2"/>
  <c r="B775" i="2"/>
  <c r="B772" i="2"/>
  <c r="AG762" i="2"/>
  <c r="AG763" i="2"/>
  <c r="T758" i="2"/>
  <c r="B771" i="2"/>
  <c r="B773" i="2"/>
  <c r="B403" i="1"/>
  <c r="N396" i="1"/>
  <c r="A403" i="1"/>
  <c r="B405" i="1"/>
  <c r="C66" i="4"/>
  <c r="V66" i="4" s="1"/>
  <c r="I721" i="2"/>
  <c r="I720" i="2"/>
  <c r="B789" i="2" l="1"/>
  <c r="T775" i="2"/>
  <c r="B792" i="2"/>
  <c r="B788" i="2"/>
  <c r="B790" i="2"/>
  <c r="AG778" i="2"/>
  <c r="AG779" i="2"/>
  <c r="AG780" i="2"/>
  <c r="I737" i="2"/>
  <c r="I738" i="2"/>
  <c r="J396" i="1"/>
  <c r="T756" i="2"/>
  <c r="AD751" i="2"/>
  <c r="I756" i="2"/>
  <c r="AD752" i="2"/>
  <c r="AD747" i="2"/>
  <c r="AD746" i="2"/>
  <c r="AD745" i="2"/>
  <c r="AD744" i="2"/>
  <c r="AD753" i="2"/>
  <c r="AD748" i="2"/>
  <c r="AD749" i="2"/>
  <c r="J741" i="2"/>
  <c r="AD750" i="2"/>
  <c r="A412" i="1"/>
  <c r="B412" i="1"/>
  <c r="B414" i="1"/>
  <c r="N405" i="1"/>
  <c r="Y68" i="4"/>
  <c r="W68" i="4"/>
  <c r="T68" i="4"/>
  <c r="S68" i="4"/>
  <c r="Q68" i="4"/>
  <c r="N68" i="4"/>
  <c r="A69" i="4"/>
  <c r="C67" i="4"/>
  <c r="V67" i="4" s="1"/>
  <c r="AD768" i="2" l="1"/>
  <c r="AD770" i="2"/>
  <c r="AD765" i="2"/>
  <c r="AD766" i="2"/>
  <c r="AD767" i="2"/>
  <c r="T773" i="2"/>
  <c r="AD761" i="2"/>
  <c r="I773" i="2"/>
  <c r="AD762" i="2"/>
  <c r="AD763" i="2"/>
  <c r="AD769" i="2"/>
  <c r="J758" i="2"/>
  <c r="AD764" i="2"/>
  <c r="J405" i="1"/>
  <c r="B421" i="1"/>
  <c r="N414" i="1"/>
  <c r="A421" i="1"/>
  <c r="B423" i="1"/>
  <c r="I754" i="2"/>
  <c r="I755" i="2"/>
  <c r="T792" i="2"/>
  <c r="B805" i="2"/>
  <c r="B807" i="2"/>
  <c r="AG797" i="2"/>
  <c r="AG796" i="2"/>
  <c r="AG795" i="2"/>
  <c r="B806" i="2"/>
  <c r="B809" i="2"/>
  <c r="Y69" i="4"/>
  <c r="W69" i="4"/>
  <c r="T69" i="4"/>
  <c r="S69" i="4"/>
  <c r="Q69" i="4"/>
  <c r="N69" i="4"/>
  <c r="C68" i="4"/>
  <c r="V68" i="4" s="1"/>
  <c r="B432" i="1" l="1"/>
  <c r="A430" i="1"/>
  <c r="B430" i="1"/>
  <c r="N423" i="1"/>
  <c r="AD782" i="2"/>
  <c r="AD780" i="2"/>
  <c r="AD781" i="2"/>
  <c r="T790" i="2"/>
  <c r="AD785" i="2"/>
  <c r="J775" i="2"/>
  <c r="I790" i="2"/>
  <c r="AD786" i="2"/>
  <c r="AD787" i="2"/>
  <c r="AD783" i="2"/>
  <c r="AD778" i="2"/>
  <c r="AD784" i="2"/>
  <c r="AD779" i="2"/>
  <c r="J414" i="1"/>
  <c r="C69" i="4"/>
  <c r="V69" i="4" s="1"/>
  <c r="I772" i="2"/>
  <c r="I771" i="2"/>
  <c r="B822" i="2"/>
  <c r="B824" i="2"/>
  <c r="AG812" i="2"/>
  <c r="AG813" i="2"/>
  <c r="AG814" i="2"/>
  <c r="T809" i="2"/>
  <c r="B823" i="2"/>
  <c r="B826" i="2"/>
  <c r="J423" i="1" l="1"/>
  <c r="B839" i="2"/>
  <c r="AG829" i="2"/>
  <c r="B841" i="2"/>
  <c r="AG830" i="2"/>
  <c r="T826" i="2"/>
  <c r="AG831" i="2"/>
  <c r="B840" i="2"/>
  <c r="B843" i="2"/>
  <c r="AD799" i="2"/>
  <c r="T807" i="2"/>
  <c r="J792" i="2"/>
  <c r="I807" i="2"/>
  <c r="AD803" i="2"/>
  <c r="AD804" i="2"/>
  <c r="AD800" i="2"/>
  <c r="AD801" i="2"/>
  <c r="AD798" i="2"/>
  <c r="AD796" i="2"/>
  <c r="AD797" i="2"/>
  <c r="AD802" i="2"/>
  <c r="AD795" i="2"/>
  <c r="I788" i="2"/>
  <c r="I789" i="2"/>
  <c r="B439" i="1"/>
  <c r="N432" i="1"/>
  <c r="A439" i="1"/>
  <c r="B441" i="1"/>
  <c r="T843" i="2" l="1"/>
  <c r="B858" i="2"/>
  <c r="AG846" i="2"/>
  <c r="AG847" i="2"/>
  <c r="AG848" i="2"/>
  <c r="B857" i="2"/>
  <c r="B860" i="2"/>
  <c r="B856" i="2"/>
  <c r="I806" i="2"/>
  <c r="I805" i="2"/>
  <c r="B450" i="1"/>
  <c r="B448" i="1"/>
  <c r="N441" i="1"/>
  <c r="A448" i="1"/>
  <c r="J432" i="1"/>
  <c r="T824" i="2"/>
  <c r="J809" i="2"/>
  <c r="AD819" i="2"/>
  <c r="I824" i="2"/>
  <c r="AD820" i="2"/>
  <c r="AD816" i="2"/>
  <c r="AD821" i="2"/>
  <c r="AD817" i="2"/>
  <c r="AD818" i="2"/>
  <c r="AD812" i="2"/>
  <c r="AD813" i="2"/>
  <c r="AD814" i="2"/>
  <c r="AD815" i="2"/>
  <c r="J441" i="1" l="1"/>
  <c r="T860" i="2"/>
  <c r="B875" i="2"/>
  <c r="AG865" i="2"/>
  <c r="AG864" i="2"/>
  <c r="AG863" i="2"/>
  <c r="B874" i="2"/>
  <c r="B877" i="2"/>
  <c r="B873" i="2"/>
  <c r="B457" i="1"/>
  <c r="N450" i="1"/>
  <c r="A457" i="1"/>
  <c r="B459" i="1"/>
  <c r="AD836" i="2"/>
  <c r="I841" i="2"/>
  <c r="AD837" i="2"/>
  <c r="AD833" i="2"/>
  <c r="AD838" i="2"/>
  <c r="AD829" i="2"/>
  <c r="AD834" i="2"/>
  <c r="AD830" i="2"/>
  <c r="AD835" i="2"/>
  <c r="AD831" i="2"/>
  <c r="J826" i="2"/>
  <c r="T841" i="2"/>
  <c r="AD832" i="2"/>
  <c r="I823" i="2"/>
  <c r="I822" i="2"/>
  <c r="B894" i="2" l="1"/>
  <c r="B891" i="2"/>
  <c r="B890" i="2"/>
  <c r="AG880" i="2"/>
  <c r="AG881" i="2"/>
  <c r="AG882" i="2"/>
  <c r="B892" i="2"/>
  <c r="T877" i="2"/>
  <c r="I839" i="2"/>
  <c r="I840" i="2"/>
  <c r="AD850" i="2"/>
  <c r="I858" i="2"/>
  <c r="AD855" i="2"/>
  <c r="AD851" i="2"/>
  <c r="AD846" i="2"/>
  <c r="AD852" i="2"/>
  <c r="AD847" i="2"/>
  <c r="AD848" i="2"/>
  <c r="AD849" i="2"/>
  <c r="J843" i="2"/>
  <c r="AD853" i="2"/>
  <c r="AD854" i="2"/>
  <c r="T858" i="2"/>
  <c r="B468" i="1"/>
  <c r="B466" i="1"/>
  <c r="N459" i="1"/>
  <c r="A466" i="1"/>
  <c r="J450" i="1"/>
  <c r="J459" i="1" l="1"/>
  <c r="B477" i="1"/>
  <c r="B475" i="1"/>
  <c r="N468" i="1"/>
  <c r="A475" i="1"/>
  <c r="AD867" i="2"/>
  <c r="T875" i="2"/>
  <c r="J860" i="2"/>
  <c r="I875" i="2"/>
  <c r="AD871" i="2"/>
  <c r="AD868" i="2"/>
  <c r="AD872" i="2"/>
  <c r="AD869" i="2"/>
  <c r="AD866" i="2"/>
  <c r="AD865" i="2"/>
  <c r="AD864" i="2"/>
  <c r="AD863" i="2"/>
  <c r="AD870" i="2"/>
  <c r="I857" i="2"/>
  <c r="I856" i="2"/>
  <c r="AG898" i="2"/>
  <c r="B908" i="2"/>
  <c r="AG899" i="2"/>
  <c r="B911" i="2"/>
  <c r="B907" i="2"/>
  <c r="B909" i="2"/>
  <c r="AG897" i="2"/>
  <c r="T894" i="2"/>
  <c r="J468" i="1" l="1"/>
  <c r="B484" i="1"/>
  <c r="N477" i="1"/>
  <c r="A484" i="1"/>
  <c r="B486" i="1"/>
  <c r="B926" i="2"/>
  <c r="B924" i="2"/>
  <c r="AG915" i="2"/>
  <c r="AG916" i="2"/>
  <c r="B925" i="2"/>
  <c r="T911" i="2"/>
  <c r="B928" i="2"/>
  <c r="AG914" i="2"/>
  <c r="I874" i="2"/>
  <c r="I873" i="2"/>
  <c r="AD885" i="2"/>
  <c r="T892" i="2"/>
  <c r="J877" i="2"/>
  <c r="AD887" i="2"/>
  <c r="AD884" i="2"/>
  <c r="AD888" i="2"/>
  <c r="I892" i="2"/>
  <c r="AD889" i="2"/>
  <c r="AD886" i="2"/>
  <c r="AD880" i="2"/>
  <c r="AD881" i="2"/>
  <c r="AD882" i="2"/>
  <c r="AD883" i="2"/>
  <c r="I909" i="2" l="1"/>
  <c r="AD904" i="2"/>
  <c r="AD901" i="2"/>
  <c r="AD898" i="2"/>
  <c r="J894" i="2"/>
  <c r="AD905" i="2"/>
  <c r="T909" i="2"/>
  <c r="AD902" i="2"/>
  <c r="AD899" i="2"/>
  <c r="AD906" i="2"/>
  <c r="AD903" i="2"/>
  <c r="AD900" i="2"/>
  <c r="AD897" i="2"/>
  <c r="B495" i="1"/>
  <c r="B493" i="1"/>
  <c r="A493" i="1"/>
  <c r="N486" i="1"/>
  <c r="J477" i="1"/>
  <c r="B943" i="2"/>
  <c r="B942" i="2"/>
  <c r="AG931" i="2"/>
  <c r="AG932" i="2"/>
  <c r="B941" i="2"/>
  <c r="AG933" i="2"/>
  <c r="T928" i="2"/>
  <c r="I890" i="2"/>
  <c r="I891" i="2"/>
  <c r="I907" i="2" l="1"/>
  <c r="I908" i="2"/>
  <c r="AD923" i="2"/>
  <c r="AD917" i="2"/>
  <c r="AD916" i="2"/>
  <c r="AD915" i="2"/>
  <c r="AD918" i="2"/>
  <c r="AD921" i="2"/>
  <c r="AD914" i="2"/>
  <c r="T926" i="2"/>
  <c r="J911" i="2"/>
  <c r="I926" i="2"/>
  <c r="AD919" i="2"/>
  <c r="AD922" i="2"/>
  <c r="AD920" i="2"/>
  <c r="J486" i="1"/>
  <c r="A502" i="1"/>
  <c r="B502" i="1"/>
  <c r="N495" i="1"/>
  <c r="C25" i="4" l="1"/>
  <c r="C26" i="4"/>
  <c r="C27" i="4"/>
  <c r="C31" i="4"/>
  <c r="C28" i="4"/>
  <c r="C29" i="4"/>
  <c r="C30" i="4"/>
  <c r="C37" i="4"/>
  <c r="C33" i="4"/>
  <c r="V33" i="4" s="1"/>
  <c r="C34" i="4"/>
  <c r="C35" i="4"/>
  <c r="C36" i="4"/>
  <c r="C38" i="4"/>
  <c r="V38" i="4" s="1"/>
  <c r="C39" i="4"/>
  <c r="C40" i="4"/>
  <c r="C42" i="4"/>
  <c r="C41" i="4"/>
  <c r="V41" i="4" s="1"/>
  <c r="C43" i="4"/>
  <c r="C45" i="4"/>
  <c r="C46" i="4"/>
  <c r="C44" i="4"/>
  <c r="V44" i="4" s="1"/>
  <c r="C47" i="4"/>
  <c r="AD938" i="2"/>
  <c r="AD940" i="2"/>
  <c r="AD934" i="2"/>
  <c r="AD933" i="2"/>
  <c r="AD932" i="2"/>
  <c r="AD931" i="2"/>
  <c r="T943" i="2"/>
  <c r="J928" i="2"/>
  <c r="AD937" i="2"/>
  <c r="I943" i="2"/>
  <c r="AD936" i="2"/>
  <c r="AD939" i="2"/>
  <c r="AD935" i="2"/>
  <c r="J495" i="1"/>
  <c r="I925" i="2"/>
  <c r="I924" i="2"/>
  <c r="V36" i="4" l="1"/>
  <c r="H36" i="4" s="1"/>
  <c r="I942" i="2"/>
  <c r="I941" i="2"/>
  <c r="V35" i="4"/>
  <c r="H35" i="4" s="1"/>
  <c r="V47" i="4"/>
  <c r="H47" i="4" s="1"/>
  <c r="V34" i="4"/>
  <c r="H34" i="4" s="1"/>
  <c r="V46" i="4"/>
  <c r="H46" i="4" s="1"/>
  <c r="V37" i="4"/>
  <c r="H37" i="4" s="1"/>
  <c r="V45" i="4"/>
  <c r="H45" i="4" s="1"/>
  <c r="V30" i="4"/>
  <c r="H30" i="4" s="1"/>
  <c r="V43" i="4"/>
  <c r="H43" i="4" s="1"/>
  <c r="V29" i="4"/>
  <c r="H29" i="4" s="1"/>
  <c r="V28" i="4"/>
  <c r="H28" i="4" s="1"/>
  <c r="V42" i="4"/>
  <c r="H42" i="4" s="1"/>
  <c r="V31" i="4"/>
  <c r="H31" i="4" s="1"/>
  <c r="V40" i="4"/>
  <c r="H40" i="4" s="1"/>
  <c r="V27" i="4"/>
  <c r="H27" i="4" s="1"/>
  <c r="V39" i="4"/>
  <c r="H39" i="4" s="1"/>
  <c r="V26" i="4"/>
  <c r="H26" i="4" s="1"/>
  <c r="V25" i="4"/>
  <c r="H25" i="4" s="1"/>
  <c r="F57" i="4" l="1"/>
  <c r="F67" i="4"/>
  <c r="F55" i="4"/>
  <c r="F58" i="4"/>
  <c r="F66" i="4"/>
  <c r="F54" i="4"/>
  <c r="F65" i="4"/>
  <c r="F53" i="4"/>
  <c r="F38" i="4"/>
  <c r="F69" i="4"/>
  <c r="F64" i="4"/>
  <c r="F52" i="4"/>
  <c r="F63" i="4"/>
  <c r="F51" i="4"/>
  <c r="F62" i="4"/>
  <c r="F50" i="4"/>
  <c r="F41" i="4"/>
  <c r="F49" i="4"/>
  <c r="F61" i="4"/>
  <c r="F60" i="4"/>
  <c r="F48" i="4"/>
  <c r="F59" i="4"/>
  <c r="F33" i="4"/>
  <c r="F68" i="4"/>
  <c r="F56" i="4"/>
  <c r="F44" i="4"/>
  <c r="C9" i="4" l="1"/>
  <c r="F29" i="4" s="1"/>
  <c r="I15" i="4"/>
  <c r="L15" i="4" s="1"/>
  <c r="M15" i="4"/>
  <c r="O15" i="4" s="1"/>
  <c r="I16" i="4"/>
  <c r="L16" i="4"/>
  <c r="AA16" i="4" s="1"/>
  <c r="M16" i="4"/>
  <c r="O16" i="4" s="1"/>
  <c r="I17" i="4"/>
  <c r="L17" i="4" s="1"/>
  <c r="M17" i="4" s="1"/>
  <c r="O17" i="4" s="1"/>
  <c r="I18" i="4"/>
  <c r="L18" i="4" s="1"/>
  <c r="M18" i="4"/>
  <c r="O18" i="4" s="1"/>
  <c r="F19" i="4"/>
  <c r="I19" i="4"/>
  <c r="L19" i="4"/>
  <c r="M19" i="4"/>
  <c r="O19" i="4"/>
  <c r="I20" i="4"/>
  <c r="L20" i="4" s="1"/>
  <c r="I21" i="4"/>
  <c r="L21" i="4"/>
  <c r="M21" i="4"/>
  <c r="O21" i="4" s="1"/>
  <c r="I22" i="4"/>
  <c r="L22" i="4" s="1"/>
  <c r="I23" i="4"/>
  <c r="L23" i="4" s="1"/>
  <c r="F24" i="4"/>
  <c r="I24" i="4"/>
  <c r="L24" i="4" s="1"/>
  <c r="M24" i="4" s="1"/>
  <c r="O24" i="4" s="1"/>
  <c r="I25" i="4"/>
  <c r="L25" i="4"/>
  <c r="M25" i="4" s="1"/>
  <c r="O25" i="4" s="1"/>
  <c r="I26" i="4"/>
  <c r="L26" i="4" s="1"/>
  <c r="F27" i="4"/>
  <c r="I27" i="4"/>
  <c r="L27" i="4"/>
  <c r="M27" i="4"/>
  <c r="O27" i="4" s="1"/>
  <c r="F28" i="4"/>
  <c r="I28" i="4"/>
  <c r="L28" i="4" s="1"/>
  <c r="I29" i="4"/>
  <c r="L29" i="4" s="1"/>
  <c r="I30" i="4"/>
  <c r="L30" i="4" s="1"/>
  <c r="M30" i="4" s="1"/>
  <c r="O30" i="4" s="1"/>
  <c r="F31" i="4"/>
  <c r="I31" i="4"/>
  <c r="L31" i="4"/>
  <c r="I32" i="4"/>
  <c r="L32" i="4" s="1"/>
  <c r="M32" i="4"/>
  <c r="O32" i="4" s="1"/>
  <c r="I33" i="4"/>
  <c r="L33" i="4" s="1"/>
  <c r="AA33" i="4" s="1"/>
  <c r="M33" i="4"/>
  <c r="O33" i="4" s="1"/>
  <c r="I34" i="4"/>
  <c r="L34" i="4"/>
  <c r="M34" i="4"/>
  <c r="O34" i="4" s="1"/>
  <c r="F35" i="4"/>
  <c r="I35" i="4"/>
  <c r="L35" i="4"/>
  <c r="M35" i="4"/>
  <c r="O35" i="4" s="1"/>
  <c r="F36" i="4"/>
  <c r="I36" i="4"/>
  <c r="L36" i="4"/>
  <c r="M36" i="4"/>
  <c r="O36" i="4" s="1"/>
  <c r="F37" i="4"/>
  <c r="I37" i="4"/>
  <c r="L37" i="4"/>
  <c r="I38" i="4"/>
  <c r="L38" i="4"/>
  <c r="AA38" i="4" s="1"/>
  <c r="M38" i="4"/>
  <c r="O38" i="4" s="1"/>
  <c r="I39" i="4"/>
  <c r="L39" i="4" s="1"/>
  <c r="M39" i="4"/>
  <c r="O39" i="4"/>
  <c r="F40" i="4"/>
  <c r="I40" i="4"/>
  <c r="L40" i="4" s="1"/>
  <c r="M40" i="4"/>
  <c r="O40" i="4"/>
  <c r="I41" i="4"/>
  <c r="L41" i="4" s="1"/>
  <c r="AA41" i="4" s="1"/>
  <c r="M41" i="4"/>
  <c r="O41" i="4" s="1"/>
  <c r="F42" i="4"/>
  <c r="I42" i="4"/>
  <c r="L42" i="4"/>
  <c r="M42" i="4"/>
  <c r="O42" i="4" s="1"/>
  <c r="I43" i="4"/>
  <c r="L43" i="4" s="1"/>
  <c r="I44" i="4"/>
  <c r="L44" i="4"/>
  <c r="AA44" i="4" s="1"/>
  <c r="M44" i="4"/>
  <c r="O44" i="4"/>
  <c r="F45" i="4"/>
  <c r="I45" i="4"/>
  <c r="L45" i="4"/>
  <c r="M45" i="4"/>
  <c r="O45" i="4" s="1"/>
  <c r="F46" i="4"/>
  <c r="I46" i="4"/>
  <c r="L46" i="4"/>
  <c r="F47" i="4"/>
  <c r="I47" i="4"/>
  <c r="L47" i="4" s="1"/>
  <c r="M47" i="4"/>
  <c r="O47" i="4"/>
  <c r="I48" i="4"/>
  <c r="L48" i="4" s="1"/>
  <c r="AA48" i="4" s="1"/>
  <c r="M48" i="4"/>
  <c r="O48" i="4"/>
  <c r="I49" i="4"/>
  <c r="L49" i="4" s="1"/>
  <c r="AA49" i="4" s="1"/>
  <c r="M49" i="4"/>
  <c r="O49" i="4"/>
  <c r="I50" i="4"/>
  <c r="L50" i="4" s="1"/>
  <c r="AA50" i="4" s="1"/>
  <c r="M50" i="4"/>
  <c r="O50" i="4"/>
  <c r="I51" i="4"/>
  <c r="L51" i="4" s="1"/>
  <c r="AA51" i="4" s="1"/>
  <c r="M51" i="4"/>
  <c r="O51" i="4"/>
  <c r="I52" i="4"/>
  <c r="L52" i="4" s="1"/>
  <c r="AA52" i="4" s="1"/>
  <c r="M52" i="4"/>
  <c r="O52" i="4"/>
  <c r="I53" i="4"/>
  <c r="L53" i="4" s="1"/>
  <c r="AA53" i="4" s="1"/>
  <c r="M53" i="4"/>
  <c r="O53" i="4"/>
  <c r="I54" i="4"/>
  <c r="L54" i="4" s="1"/>
  <c r="AA54" i="4" s="1"/>
  <c r="M54" i="4"/>
  <c r="O54" i="4"/>
  <c r="I55" i="4"/>
  <c r="L55" i="4" s="1"/>
  <c r="AA55" i="4" s="1"/>
  <c r="M55" i="4"/>
  <c r="O55" i="4"/>
  <c r="I56" i="4"/>
  <c r="L56" i="4" s="1"/>
  <c r="AA56" i="4" s="1"/>
  <c r="M56" i="4"/>
  <c r="O56" i="4"/>
  <c r="I57" i="4"/>
  <c r="L57" i="4" s="1"/>
  <c r="AA57" i="4" s="1"/>
  <c r="M57" i="4"/>
  <c r="O57" i="4"/>
  <c r="I58" i="4"/>
  <c r="L58" i="4" s="1"/>
  <c r="AA58" i="4" s="1"/>
  <c r="M58" i="4"/>
  <c r="O58" i="4"/>
  <c r="I59" i="4"/>
  <c r="L59" i="4" s="1"/>
  <c r="AA59" i="4" s="1"/>
  <c r="M59" i="4"/>
  <c r="O59" i="4"/>
  <c r="I60" i="4"/>
  <c r="L60" i="4" s="1"/>
  <c r="AA60" i="4" s="1"/>
  <c r="M60" i="4"/>
  <c r="O60" i="4"/>
  <c r="I61" i="4"/>
  <c r="L61" i="4" s="1"/>
  <c r="AA61" i="4" s="1"/>
  <c r="M61" i="4"/>
  <c r="O61" i="4"/>
  <c r="I62" i="4"/>
  <c r="L62" i="4" s="1"/>
  <c r="AA62" i="4" s="1"/>
  <c r="M62" i="4"/>
  <c r="O62" i="4"/>
  <c r="I63" i="4"/>
  <c r="L63" i="4" s="1"/>
  <c r="AA63" i="4" s="1"/>
  <c r="M63" i="4"/>
  <c r="O63" i="4"/>
  <c r="I64" i="4"/>
  <c r="L64" i="4" s="1"/>
  <c r="AA64" i="4" s="1"/>
  <c r="M64" i="4"/>
  <c r="O64" i="4"/>
  <c r="I65" i="4"/>
  <c r="L65" i="4" s="1"/>
  <c r="AA65" i="4" s="1"/>
  <c r="M65" i="4"/>
  <c r="O65" i="4"/>
  <c r="I66" i="4"/>
  <c r="L66" i="4" s="1"/>
  <c r="AA66" i="4" s="1"/>
  <c r="M66" i="4"/>
  <c r="O66" i="4"/>
  <c r="I67" i="4"/>
  <c r="L67" i="4" s="1"/>
  <c r="AA67" i="4" s="1"/>
  <c r="M67" i="4"/>
  <c r="O67" i="4"/>
  <c r="I68" i="4"/>
  <c r="L68" i="4" s="1"/>
  <c r="AA68" i="4" s="1"/>
  <c r="M68" i="4"/>
  <c r="O68" i="4"/>
  <c r="I69" i="4"/>
  <c r="L69" i="4" s="1"/>
  <c r="AA69" i="4" s="1"/>
  <c r="M69" i="4"/>
  <c r="O69" i="4"/>
  <c r="T25" i="2"/>
  <c r="T42" i="2"/>
  <c r="T59" i="2"/>
  <c r="T76" i="2"/>
  <c r="T93" i="2"/>
  <c r="T110" i="2"/>
  <c r="T127" i="2"/>
  <c r="T144" i="2"/>
  <c r="T161" i="2"/>
  <c r="T178" i="2"/>
  <c r="T195" i="2"/>
  <c r="T212" i="2"/>
  <c r="T229" i="2"/>
  <c r="T246" i="2"/>
  <c r="T263" i="2"/>
  <c r="T280" i="2"/>
  <c r="T297" i="2"/>
  <c r="T314" i="2"/>
  <c r="T331" i="2"/>
  <c r="T348" i="2"/>
  <c r="T365" i="2"/>
  <c r="T382" i="2"/>
  <c r="T399" i="2"/>
  <c r="T416" i="2"/>
  <c r="T433" i="2"/>
  <c r="T450" i="2"/>
  <c r="T467" i="2"/>
  <c r="T484" i="2"/>
  <c r="T501" i="2"/>
  <c r="T518" i="2"/>
  <c r="T535" i="2"/>
  <c r="T552" i="2"/>
  <c r="T569" i="2"/>
  <c r="M29" i="4" l="1"/>
  <c r="O29" i="4" s="1"/>
  <c r="M23" i="4"/>
  <c r="O23" i="4" s="1"/>
  <c r="P23" i="4" s="1"/>
  <c r="AA23" i="4" s="1"/>
  <c r="M28" i="4"/>
  <c r="O28" i="4" s="1"/>
  <c r="M22" i="4"/>
  <c r="O22" i="4" s="1"/>
  <c r="P16" i="4"/>
  <c r="P36" i="4"/>
  <c r="AA36" i="4" s="1"/>
  <c r="M26" i="4"/>
  <c r="O26" i="4" s="1"/>
  <c r="P62" i="4"/>
  <c r="P58" i="4"/>
  <c r="P54" i="4"/>
  <c r="M43" i="4"/>
  <c r="O43" i="4" s="1"/>
  <c r="M46" i="4"/>
  <c r="O46" i="4" s="1"/>
  <c r="M37" i="4"/>
  <c r="O37" i="4" s="1"/>
  <c r="P37" i="4" s="1"/>
  <c r="AA37" i="4" s="1"/>
  <c r="M31" i="4"/>
  <c r="O31" i="4" s="1"/>
  <c r="F25" i="4"/>
  <c r="F18" i="4"/>
  <c r="F39" i="4"/>
  <c r="F20" i="4"/>
  <c r="F32" i="4"/>
  <c r="F15" i="4"/>
  <c r="C12" i="4" s="1"/>
  <c r="F22" i="4"/>
  <c r="F26" i="4"/>
  <c r="F21" i="4"/>
  <c r="F17" i="4"/>
  <c r="F30" i="4"/>
  <c r="F34" i="4"/>
  <c r="F43" i="4"/>
  <c r="F23" i="4"/>
  <c r="M20" i="4"/>
  <c r="O20" i="4" s="1"/>
  <c r="P42" i="4" s="1"/>
  <c r="AA42" i="4" s="1"/>
  <c r="P32" i="4" l="1"/>
  <c r="AA32" i="4" s="1"/>
  <c r="P64" i="4"/>
  <c r="P45" i="4"/>
  <c r="AA45" i="4" s="1"/>
  <c r="P68" i="4"/>
  <c r="P66" i="4"/>
  <c r="P44" i="4"/>
  <c r="P21" i="4"/>
  <c r="AA21" i="4" s="1"/>
  <c r="P33" i="4"/>
  <c r="P29" i="4"/>
  <c r="AA29" i="4" s="1"/>
  <c r="P31" i="4"/>
  <c r="AA31" i="4" s="1"/>
  <c r="P40" i="4"/>
  <c r="AA40" i="4" s="1"/>
  <c r="P41" i="4"/>
  <c r="P18" i="4"/>
  <c r="AA18" i="4" s="1"/>
  <c r="P17" i="4"/>
  <c r="AA17" i="4" s="1"/>
  <c r="P30" i="4"/>
  <c r="AA30" i="4" s="1"/>
  <c r="P46" i="4"/>
  <c r="AA46" i="4" s="1"/>
  <c r="P27" i="4"/>
  <c r="AA27" i="4" s="1"/>
  <c r="P38" i="4"/>
  <c r="P26" i="4"/>
  <c r="AA26" i="4" s="1"/>
  <c r="P48" i="4"/>
  <c r="P22" i="4"/>
  <c r="AA22" i="4" s="1"/>
  <c r="P24" i="4"/>
  <c r="AA24" i="4" s="1"/>
  <c r="P52" i="4"/>
  <c r="P28" i="4"/>
  <c r="AA28" i="4" s="1"/>
  <c r="P25" i="4"/>
  <c r="AA25" i="4" s="1"/>
  <c r="P39" i="4"/>
  <c r="AA39" i="4" s="1"/>
  <c r="P43" i="4"/>
  <c r="AA43" i="4" s="1"/>
  <c r="P56" i="4"/>
  <c r="P20" i="4"/>
  <c r="AA20" i="4" s="1"/>
  <c r="P47" i="4"/>
  <c r="AA47" i="4" s="1"/>
  <c r="P49" i="4"/>
  <c r="P51" i="4"/>
  <c r="P53" i="4"/>
  <c r="P55" i="4"/>
  <c r="P57" i="4"/>
  <c r="P59" i="4"/>
  <c r="P61" i="4"/>
  <c r="P63" i="4"/>
  <c r="P65" i="4"/>
  <c r="P67" i="4"/>
  <c r="P69" i="4"/>
  <c r="P35" i="4"/>
  <c r="AA35" i="4" s="1"/>
  <c r="C11" i="4"/>
  <c r="B11" i="4" s="1"/>
  <c r="P15" i="4"/>
  <c r="AA15" i="4" s="1"/>
  <c r="P50" i="4"/>
  <c r="P19" i="4"/>
  <c r="AA19" i="4" s="1"/>
  <c r="P60" i="4"/>
  <c r="P34" i="4"/>
  <c r="AA34" i="4" s="1"/>
  <c r="O9" i="1"/>
  <c r="Q9" i="1"/>
  <c r="S9" i="1"/>
  <c r="B10" i="1"/>
  <c r="C10" i="1"/>
  <c r="D10" i="1"/>
  <c r="I10" i="1"/>
  <c r="J10" i="1"/>
  <c r="K10" i="1"/>
  <c r="L10" i="1"/>
  <c r="M10" i="1"/>
  <c r="N10" i="1"/>
  <c r="S10" i="1"/>
  <c r="D11" i="1"/>
  <c r="E11" i="1"/>
  <c r="F11" i="1"/>
  <c r="G11" i="1"/>
  <c r="O18" i="1"/>
  <c r="Q18" i="1"/>
  <c r="S18" i="1"/>
  <c r="B19" i="1"/>
  <c r="C19" i="1"/>
  <c r="D19" i="1"/>
  <c r="I19" i="1"/>
  <c r="J19" i="1"/>
  <c r="K19" i="1"/>
  <c r="L19" i="1"/>
  <c r="M19" i="1"/>
  <c r="N19" i="1"/>
  <c r="S19" i="1"/>
  <c r="D20" i="1"/>
  <c r="E20" i="1"/>
  <c r="F20" i="1"/>
  <c r="G20" i="1"/>
  <c r="O27" i="1"/>
  <c r="Q27" i="1"/>
  <c r="S27" i="1"/>
  <c r="B28" i="1"/>
  <c r="C28" i="1"/>
  <c r="D28" i="1"/>
  <c r="I28" i="1"/>
  <c r="J28" i="1"/>
  <c r="K28" i="1"/>
  <c r="L28" i="1"/>
  <c r="M28" i="1"/>
  <c r="N28" i="1"/>
  <c r="S28" i="1"/>
  <c r="D29" i="1"/>
  <c r="E29" i="1"/>
  <c r="F29" i="1"/>
  <c r="G29" i="1"/>
  <c r="O36" i="1"/>
  <c r="Q36" i="1"/>
  <c r="S36" i="1"/>
  <c r="B37" i="1"/>
  <c r="C37" i="1"/>
  <c r="D37" i="1"/>
  <c r="I37" i="1"/>
  <c r="J37" i="1"/>
  <c r="K37" i="1"/>
  <c r="L37" i="1"/>
  <c r="M37" i="1"/>
  <c r="N37" i="1"/>
  <c r="S37" i="1"/>
  <c r="D38" i="1"/>
  <c r="E38" i="1"/>
  <c r="F38" i="1"/>
  <c r="G38" i="1"/>
  <c r="O45" i="1"/>
  <c r="Q45" i="1"/>
  <c r="S45" i="1"/>
  <c r="B46" i="1"/>
  <c r="C46" i="1"/>
  <c r="D46" i="1"/>
  <c r="I46" i="1"/>
  <c r="J46" i="1"/>
  <c r="K46" i="1"/>
  <c r="L46" i="1"/>
  <c r="M46" i="1"/>
  <c r="N46" i="1"/>
  <c r="S46" i="1"/>
  <c r="D47" i="1"/>
  <c r="E47" i="1"/>
  <c r="F47" i="1"/>
  <c r="G47" i="1"/>
  <c r="O54" i="1"/>
  <c r="Q54" i="1"/>
  <c r="S54" i="1"/>
  <c r="B55" i="1"/>
  <c r="C55" i="1"/>
  <c r="D55" i="1"/>
  <c r="I55" i="1"/>
  <c r="J55" i="1"/>
  <c r="K55" i="1"/>
  <c r="L55" i="1"/>
  <c r="M55" i="1"/>
  <c r="N55" i="1"/>
  <c r="S55" i="1"/>
  <c r="D56" i="1"/>
  <c r="E56" i="1"/>
  <c r="F56" i="1"/>
  <c r="G56" i="1"/>
  <c r="O63" i="1"/>
  <c r="Q63" i="1"/>
  <c r="S63" i="1"/>
  <c r="B64" i="1"/>
  <c r="C64" i="1"/>
  <c r="D64" i="1"/>
  <c r="I64" i="1"/>
  <c r="J64" i="1"/>
  <c r="K64" i="1"/>
  <c r="L64" i="1"/>
  <c r="M64" i="1"/>
  <c r="N64" i="1"/>
  <c r="S64" i="1"/>
  <c r="D65" i="1"/>
  <c r="E65" i="1"/>
  <c r="F65" i="1"/>
  <c r="G65" i="1"/>
  <c r="O72" i="1"/>
  <c r="Q72" i="1"/>
  <c r="S72" i="1"/>
  <c r="B73" i="1"/>
  <c r="C73" i="1"/>
  <c r="D73" i="1"/>
  <c r="I73" i="1"/>
  <c r="J73" i="1"/>
  <c r="K73" i="1"/>
  <c r="L73" i="1"/>
  <c r="M73" i="1"/>
  <c r="N73" i="1"/>
  <c r="S73" i="1"/>
  <c r="D74" i="1"/>
  <c r="E74" i="1"/>
  <c r="F74" i="1"/>
  <c r="G74" i="1"/>
  <c r="O81" i="1"/>
  <c r="Q81" i="1"/>
  <c r="S81" i="1"/>
  <c r="B82" i="1"/>
  <c r="C82" i="1"/>
  <c r="D82" i="1"/>
  <c r="I82" i="1"/>
  <c r="J82" i="1"/>
  <c r="K82" i="1"/>
  <c r="L82" i="1"/>
  <c r="M82" i="1"/>
  <c r="N82" i="1"/>
  <c r="S82" i="1"/>
  <c r="D83" i="1"/>
  <c r="E83" i="1"/>
  <c r="F83" i="1"/>
  <c r="G83" i="1"/>
  <c r="O90" i="1"/>
  <c r="Q90" i="1"/>
  <c r="S90" i="1"/>
  <c r="B91" i="1"/>
  <c r="C91" i="1"/>
  <c r="D91" i="1"/>
  <c r="I91" i="1"/>
  <c r="J91" i="1"/>
  <c r="K91" i="1"/>
  <c r="L91" i="1"/>
  <c r="M91" i="1"/>
  <c r="N91" i="1"/>
  <c r="S91" i="1"/>
  <c r="D92" i="1"/>
  <c r="E92" i="1"/>
  <c r="F92" i="1"/>
  <c r="G92" i="1"/>
  <c r="O99" i="1"/>
  <c r="Q99" i="1"/>
  <c r="S99" i="1"/>
  <c r="B100" i="1"/>
  <c r="C100" i="1"/>
  <c r="D100" i="1"/>
  <c r="I100" i="1"/>
  <c r="J100" i="1"/>
  <c r="K100" i="1"/>
  <c r="L100" i="1"/>
  <c r="M100" i="1"/>
  <c r="N100" i="1"/>
  <c r="S100" i="1"/>
  <c r="D101" i="1"/>
  <c r="E101" i="1"/>
  <c r="F101" i="1"/>
  <c r="G101" i="1"/>
  <c r="O108" i="1"/>
  <c r="Q108" i="1"/>
  <c r="S108" i="1"/>
  <c r="B109" i="1"/>
  <c r="C109" i="1"/>
  <c r="D109" i="1"/>
  <c r="I109" i="1"/>
  <c r="J109" i="1"/>
  <c r="K109" i="1"/>
  <c r="L109" i="1"/>
  <c r="M109" i="1"/>
  <c r="N109" i="1"/>
  <c r="S109" i="1"/>
  <c r="D110" i="1"/>
  <c r="E110" i="1"/>
  <c r="F110" i="1"/>
  <c r="G110" i="1"/>
  <c r="O117" i="1"/>
  <c r="Q117" i="1"/>
  <c r="S117" i="1"/>
  <c r="B118" i="1"/>
  <c r="C118" i="1"/>
  <c r="D118" i="1"/>
  <c r="I118" i="1"/>
  <c r="J118" i="1"/>
  <c r="K118" i="1"/>
  <c r="L118" i="1"/>
  <c r="M118" i="1"/>
  <c r="N118" i="1"/>
  <c r="S118" i="1"/>
  <c r="D119" i="1"/>
  <c r="E119" i="1"/>
  <c r="F119" i="1"/>
  <c r="G119" i="1"/>
  <c r="O126" i="1"/>
  <c r="Q126" i="1"/>
  <c r="S126" i="1"/>
  <c r="B127" i="1"/>
  <c r="C127" i="1"/>
  <c r="D127" i="1"/>
  <c r="I127" i="1"/>
  <c r="J127" i="1"/>
  <c r="K127" i="1"/>
  <c r="L127" i="1"/>
  <c r="M127" i="1"/>
  <c r="N127" i="1"/>
  <c r="S127" i="1"/>
  <c r="D128" i="1"/>
  <c r="E128" i="1"/>
  <c r="F128" i="1"/>
  <c r="G128" i="1"/>
  <c r="O135" i="1"/>
  <c r="Q135" i="1"/>
  <c r="S135" i="1"/>
  <c r="B136" i="1"/>
  <c r="C136" i="1"/>
  <c r="D136" i="1"/>
  <c r="I136" i="1"/>
  <c r="J136" i="1"/>
  <c r="K136" i="1"/>
  <c r="L136" i="1"/>
  <c r="M136" i="1"/>
  <c r="N136" i="1"/>
  <c r="S136" i="1"/>
  <c r="D137" i="1"/>
  <c r="E137" i="1"/>
  <c r="F137" i="1"/>
  <c r="G137" i="1"/>
  <c r="O144" i="1"/>
  <c r="Q144" i="1"/>
  <c r="S144" i="1"/>
  <c r="B145" i="1"/>
  <c r="C145" i="1"/>
  <c r="D145" i="1"/>
  <c r="I145" i="1"/>
  <c r="J145" i="1"/>
  <c r="K145" i="1"/>
  <c r="L145" i="1"/>
  <c r="M145" i="1"/>
  <c r="N145" i="1"/>
  <c r="S145" i="1"/>
  <c r="D146" i="1"/>
  <c r="E146" i="1"/>
  <c r="F146" i="1"/>
  <c r="G146" i="1"/>
  <c r="O153" i="1"/>
  <c r="Q153" i="1"/>
  <c r="S153" i="1"/>
  <c r="B154" i="1"/>
  <c r="C154" i="1"/>
  <c r="D154" i="1"/>
  <c r="I154" i="1"/>
  <c r="J154" i="1"/>
  <c r="K154" i="1"/>
  <c r="L154" i="1"/>
  <c r="M154" i="1"/>
  <c r="N154" i="1"/>
  <c r="S154" i="1"/>
  <c r="D155" i="1"/>
  <c r="E155" i="1"/>
  <c r="F155" i="1"/>
  <c r="G155" i="1"/>
  <c r="O162" i="1"/>
  <c r="Q162" i="1"/>
  <c r="S162" i="1"/>
  <c r="B163" i="1"/>
  <c r="C163" i="1"/>
  <c r="D163" i="1"/>
  <c r="I163" i="1"/>
  <c r="J163" i="1"/>
  <c r="K163" i="1"/>
  <c r="L163" i="1"/>
  <c r="M163" i="1"/>
  <c r="N163" i="1"/>
  <c r="S163" i="1"/>
  <c r="D164" i="1"/>
  <c r="E164" i="1"/>
  <c r="F164" i="1"/>
  <c r="G164" i="1"/>
  <c r="O171" i="1"/>
  <c r="Q171" i="1"/>
  <c r="S171" i="1"/>
  <c r="B172" i="1"/>
  <c r="C172" i="1"/>
  <c r="D172" i="1"/>
  <c r="I172" i="1"/>
  <c r="J172" i="1"/>
  <c r="K172" i="1"/>
  <c r="L172" i="1"/>
  <c r="M172" i="1"/>
  <c r="N172" i="1"/>
  <c r="S172" i="1"/>
  <c r="D173" i="1"/>
  <c r="E173" i="1"/>
  <c r="F173" i="1"/>
  <c r="G173" i="1"/>
  <c r="O180" i="1"/>
  <c r="Q180" i="1"/>
  <c r="S180" i="1"/>
  <c r="B181" i="1"/>
  <c r="C181" i="1"/>
  <c r="D181" i="1"/>
  <c r="I181" i="1"/>
  <c r="J181" i="1"/>
  <c r="K181" i="1"/>
  <c r="L181" i="1"/>
  <c r="M181" i="1"/>
  <c r="N181" i="1"/>
  <c r="S181" i="1"/>
  <c r="D182" i="1"/>
  <c r="E182" i="1"/>
  <c r="F182" i="1"/>
  <c r="G182" i="1"/>
  <c r="O189" i="1"/>
  <c r="Q189" i="1"/>
  <c r="S189" i="1"/>
  <c r="B190" i="1"/>
  <c r="C190" i="1"/>
  <c r="D190" i="1"/>
  <c r="I190" i="1"/>
  <c r="J190" i="1"/>
  <c r="K190" i="1"/>
  <c r="L190" i="1"/>
  <c r="M190" i="1"/>
  <c r="N190" i="1"/>
  <c r="S190" i="1"/>
  <c r="D191" i="1"/>
  <c r="E191" i="1"/>
  <c r="F191" i="1"/>
  <c r="G191" i="1"/>
  <c r="O198" i="1"/>
  <c r="Q198" i="1"/>
  <c r="S198" i="1"/>
  <c r="B199" i="1"/>
  <c r="C199" i="1"/>
  <c r="D199" i="1"/>
  <c r="I199" i="1"/>
  <c r="J199" i="1"/>
  <c r="K199" i="1"/>
  <c r="L199" i="1"/>
  <c r="M199" i="1"/>
  <c r="N199" i="1"/>
  <c r="S199" i="1"/>
  <c r="D200" i="1"/>
  <c r="E200" i="1"/>
  <c r="F200" i="1"/>
  <c r="G200" i="1"/>
  <c r="O207" i="1"/>
  <c r="Q207" i="1"/>
  <c r="S207" i="1"/>
  <c r="B208" i="1"/>
  <c r="C208" i="1"/>
  <c r="D208" i="1"/>
  <c r="I208" i="1"/>
  <c r="J208" i="1"/>
  <c r="K208" i="1"/>
  <c r="L208" i="1"/>
  <c r="M208" i="1"/>
  <c r="N208" i="1"/>
  <c r="S208" i="1"/>
  <c r="D209" i="1"/>
  <c r="E209" i="1"/>
  <c r="F209" i="1"/>
  <c r="G209" i="1"/>
  <c r="O216" i="1"/>
  <c r="Q216" i="1"/>
  <c r="S216" i="1"/>
  <c r="B217" i="1"/>
  <c r="C217" i="1"/>
  <c r="D217" i="1"/>
  <c r="I217" i="1"/>
  <c r="J217" i="1"/>
  <c r="K217" i="1"/>
  <c r="L217" i="1"/>
  <c r="M217" i="1"/>
  <c r="N217" i="1"/>
  <c r="S217" i="1"/>
  <c r="D218" i="1"/>
  <c r="E218" i="1"/>
  <c r="F218" i="1"/>
  <c r="G218" i="1"/>
  <c r="O225" i="1"/>
  <c r="Q225" i="1"/>
  <c r="S225" i="1"/>
  <c r="B226" i="1"/>
  <c r="C226" i="1"/>
  <c r="D226" i="1"/>
  <c r="I226" i="1"/>
  <c r="J226" i="1"/>
  <c r="K226" i="1"/>
  <c r="L226" i="1"/>
  <c r="M226" i="1"/>
  <c r="N226" i="1"/>
  <c r="S226" i="1"/>
  <c r="D227" i="1"/>
  <c r="E227" i="1"/>
  <c r="F227" i="1"/>
  <c r="G227" i="1"/>
  <c r="O234" i="1"/>
  <c r="Q234" i="1"/>
  <c r="S234" i="1"/>
  <c r="B235" i="1"/>
  <c r="C235" i="1"/>
  <c r="D235" i="1"/>
  <c r="I235" i="1"/>
  <c r="J235" i="1"/>
  <c r="K235" i="1"/>
  <c r="L235" i="1"/>
  <c r="M235" i="1"/>
  <c r="N235" i="1"/>
  <c r="S235" i="1"/>
  <c r="D236" i="1"/>
  <c r="E236" i="1"/>
  <c r="F236" i="1"/>
  <c r="G236" i="1"/>
  <c r="O243" i="1"/>
  <c r="Q243" i="1"/>
  <c r="S243" i="1"/>
  <c r="B244" i="1"/>
  <c r="C244" i="1"/>
  <c r="D244" i="1"/>
  <c r="I244" i="1"/>
  <c r="J244" i="1"/>
  <c r="K244" i="1"/>
  <c r="L244" i="1"/>
  <c r="M244" i="1"/>
  <c r="N244" i="1"/>
  <c r="S244" i="1"/>
  <c r="D245" i="1"/>
  <c r="E245" i="1"/>
  <c r="F245" i="1"/>
  <c r="G245" i="1"/>
  <c r="O252" i="1"/>
  <c r="Q252" i="1"/>
  <c r="S252" i="1"/>
  <c r="B253" i="1"/>
  <c r="C253" i="1"/>
  <c r="D253" i="1"/>
  <c r="I253" i="1"/>
  <c r="J253" i="1"/>
  <c r="K253" i="1"/>
  <c r="L253" i="1"/>
  <c r="M253" i="1"/>
  <c r="N253" i="1"/>
  <c r="S253" i="1"/>
  <c r="D254" i="1"/>
  <c r="E254" i="1"/>
  <c r="F254" i="1"/>
  <c r="G254" i="1"/>
  <c r="O261" i="1"/>
  <c r="Q261" i="1"/>
  <c r="S261" i="1"/>
  <c r="B262" i="1"/>
  <c r="C262" i="1"/>
  <c r="D262" i="1"/>
  <c r="I262" i="1"/>
  <c r="J262" i="1"/>
  <c r="K262" i="1"/>
  <c r="L262" i="1"/>
  <c r="M262" i="1"/>
  <c r="N262" i="1"/>
  <c r="S262" i="1"/>
  <c r="D263" i="1"/>
  <c r="E263" i="1"/>
  <c r="F263" i="1"/>
  <c r="G263" i="1"/>
  <c r="O270" i="1"/>
  <c r="Q270" i="1"/>
  <c r="S270" i="1"/>
  <c r="B271" i="1"/>
  <c r="C271" i="1"/>
  <c r="D271" i="1"/>
  <c r="I271" i="1"/>
  <c r="J271" i="1"/>
  <c r="K271" i="1"/>
  <c r="L271" i="1"/>
  <c r="M271" i="1"/>
  <c r="N271" i="1"/>
  <c r="S271" i="1"/>
  <c r="D272" i="1"/>
  <c r="E272" i="1"/>
  <c r="F272" i="1"/>
  <c r="G272" i="1"/>
  <c r="O279" i="1"/>
  <c r="Q279" i="1"/>
  <c r="S279" i="1"/>
  <c r="B280" i="1"/>
  <c r="C280" i="1"/>
  <c r="D280" i="1"/>
  <c r="I280" i="1"/>
  <c r="J280" i="1"/>
  <c r="K280" i="1"/>
  <c r="L280" i="1"/>
  <c r="M280" i="1"/>
  <c r="N280" i="1"/>
  <c r="S280" i="1"/>
  <c r="D281" i="1"/>
  <c r="E281" i="1"/>
  <c r="F281" i="1"/>
  <c r="G281" i="1"/>
  <c r="O288" i="1"/>
  <c r="Q288" i="1"/>
  <c r="S288" i="1"/>
  <c r="B289" i="1"/>
  <c r="C289" i="1"/>
  <c r="D289" i="1"/>
  <c r="I289" i="1"/>
  <c r="J289" i="1"/>
  <c r="K289" i="1"/>
  <c r="L289" i="1"/>
  <c r="M289" i="1"/>
  <c r="N289" i="1"/>
  <c r="S289" i="1"/>
  <c r="D290" i="1"/>
  <c r="E290" i="1"/>
  <c r="F290" i="1"/>
  <c r="G290" i="1"/>
  <c r="O297" i="1"/>
  <c r="Q297" i="1"/>
  <c r="S297" i="1"/>
  <c r="B298" i="1"/>
  <c r="C298" i="1"/>
  <c r="D298" i="1"/>
  <c r="I298" i="1"/>
  <c r="J298" i="1"/>
  <c r="K298" i="1"/>
  <c r="L298" i="1"/>
  <c r="M298" i="1"/>
  <c r="N298" i="1"/>
  <c r="S298" i="1"/>
  <c r="D299" i="1"/>
  <c r="E299" i="1"/>
  <c r="F299" i="1"/>
  <c r="G299" i="1"/>
  <c r="O306" i="1"/>
  <c r="Q306" i="1"/>
  <c r="S306" i="1"/>
  <c r="B307" i="1"/>
  <c r="C307" i="1"/>
  <c r="D307" i="1"/>
  <c r="I307" i="1"/>
  <c r="J307" i="1"/>
  <c r="K307" i="1"/>
  <c r="L307" i="1"/>
  <c r="M307" i="1"/>
  <c r="N307" i="1"/>
  <c r="S307" i="1"/>
  <c r="D308" i="1"/>
  <c r="E308" i="1"/>
  <c r="F308" i="1"/>
  <c r="G308" i="1"/>
  <c r="O315" i="1"/>
  <c r="Q315" i="1"/>
  <c r="S315" i="1"/>
  <c r="B316" i="1"/>
  <c r="C316" i="1"/>
  <c r="D316" i="1"/>
  <c r="I316" i="1"/>
  <c r="J316" i="1"/>
  <c r="K316" i="1"/>
  <c r="L316" i="1"/>
  <c r="M316" i="1"/>
  <c r="N316" i="1"/>
  <c r="S316" i="1"/>
  <c r="D317" i="1"/>
  <c r="E317" i="1"/>
  <c r="F317" i="1"/>
  <c r="G317" i="1"/>
  <c r="O324" i="1"/>
  <c r="Q324" i="1"/>
  <c r="S324" i="1"/>
  <c r="B325" i="1"/>
  <c r="C325" i="1"/>
  <c r="D325" i="1"/>
  <c r="I325" i="1"/>
  <c r="J325" i="1"/>
  <c r="K325" i="1"/>
  <c r="L325" i="1"/>
  <c r="M325" i="1"/>
  <c r="N325" i="1"/>
  <c r="S325" i="1"/>
  <c r="D326" i="1"/>
  <c r="E326" i="1"/>
  <c r="F326" i="1"/>
  <c r="G326" i="1"/>
  <c r="O333" i="1"/>
  <c r="Q333" i="1"/>
  <c r="S333" i="1"/>
  <c r="B334" i="1"/>
  <c r="C334" i="1"/>
  <c r="D334" i="1"/>
  <c r="I334" i="1"/>
  <c r="J334" i="1"/>
  <c r="K334" i="1"/>
  <c r="L334" i="1"/>
  <c r="M334" i="1"/>
  <c r="N334" i="1"/>
  <c r="S334" i="1"/>
  <c r="D335" i="1"/>
  <c r="E335" i="1"/>
  <c r="F335" i="1"/>
  <c r="G335" i="1"/>
  <c r="O342" i="1"/>
  <c r="Q342" i="1"/>
  <c r="S342" i="1"/>
  <c r="B343" i="1"/>
  <c r="C343" i="1"/>
  <c r="D343" i="1"/>
  <c r="I343" i="1"/>
  <c r="J343" i="1"/>
  <c r="K343" i="1"/>
  <c r="L343" i="1"/>
  <c r="M343" i="1"/>
  <c r="N343" i="1"/>
  <c r="S343" i="1"/>
  <c r="D344" i="1"/>
  <c r="E344" i="1"/>
  <c r="F344" i="1"/>
  <c r="G344" i="1"/>
  <c r="O351" i="1"/>
  <c r="Q351" i="1"/>
  <c r="S351" i="1"/>
  <c r="B352" i="1"/>
  <c r="C352" i="1"/>
  <c r="D352" i="1"/>
  <c r="I352" i="1"/>
  <c r="J352" i="1"/>
  <c r="K352" i="1"/>
  <c r="L352" i="1"/>
  <c r="M352" i="1"/>
  <c r="N352" i="1"/>
  <c r="S352" i="1"/>
  <c r="D353" i="1"/>
  <c r="E353" i="1"/>
  <c r="F353" i="1"/>
  <c r="G353" i="1"/>
  <c r="O360" i="1"/>
  <c r="Q360" i="1"/>
  <c r="S360" i="1"/>
  <c r="B361" i="1"/>
  <c r="C361" i="1"/>
  <c r="D361" i="1"/>
  <c r="I361" i="1"/>
  <c r="J361" i="1"/>
  <c r="K361" i="1"/>
  <c r="L361" i="1"/>
  <c r="M361" i="1"/>
  <c r="N361" i="1"/>
  <c r="S361" i="1"/>
  <c r="D362" i="1"/>
  <c r="E362" i="1"/>
  <c r="F362" i="1"/>
  <c r="G362" i="1"/>
  <c r="O369" i="1"/>
  <c r="Q369" i="1"/>
  <c r="S369" i="1"/>
  <c r="B370" i="1"/>
  <c r="C370" i="1"/>
  <c r="D370" i="1"/>
  <c r="I370" i="1"/>
  <c r="J370" i="1"/>
  <c r="K370" i="1"/>
  <c r="L370" i="1"/>
  <c r="M370" i="1"/>
  <c r="N370" i="1"/>
  <c r="S370" i="1"/>
  <c r="D371" i="1"/>
  <c r="E371" i="1"/>
  <c r="F371" i="1"/>
  <c r="G371" i="1"/>
  <c r="O378" i="1"/>
  <c r="Q378" i="1"/>
  <c r="S378" i="1"/>
  <c r="B379" i="1"/>
  <c r="C379" i="1"/>
  <c r="D379" i="1"/>
  <c r="I379" i="1"/>
  <c r="J379" i="1"/>
  <c r="K379" i="1"/>
  <c r="L379" i="1"/>
  <c r="M379" i="1"/>
  <c r="N379" i="1"/>
  <c r="S379" i="1"/>
  <c r="D380" i="1"/>
  <c r="E380" i="1"/>
  <c r="F380" i="1"/>
  <c r="G380" i="1"/>
  <c r="O387" i="1"/>
  <c r="Q387" i="1"/>
  <c r="S387" i="1"/>
  <c r="B388" i="1"/>
  <c r="C388" i="1"/>
  <c r="D388" i="1"/>
  <c r="I388" i="1"/>
  <c r="J388" i="1"/>
  <c r="K388" i="1"/>
  <c r="L388" i="1"/>
  <c r="M388" i="1"/>
  <c r="N388" i="1"/>
  <c r="S388" i="1"/>
  <c r="D389" i="1"/>
  <c r="E389" i="1"/>
  <c r="F389" i="1"/>
  <c r="G389" i="1"/>
  <c r="O396" i="1"/>
  <c r="Q396" i="1"/>
  <c r="S396" i="1"/>
  <c r="B397" i="1"/>
  <c r="C397" i="1"/>
  <c r="D397" i="1"/>
  <c r="I397" i="1"/>
  <c r="J397" i="1"/>
  <c r="K397" i="1"/>
  <c r="L397" i="1"/>
  <c r="M397" i="1"/>
  <c r="N397" i="1"/>
  <c r="S397" i="1"/>
  <c r="D398" i="1"/>
  <c r="E398" i="1"/>
  <c r="F398" i="1"/>
  <c r="G398" i="1"/>
  <c r="O405" i="1"/>
  <c r="Q405" i="1"/>
  <c r="S405" i="1"/>
  <c r="B406" i="1"/>
  <c r="C406" i="1"/>
  <c r="D406" i="1"/>
  <c r="I406" i="1"/>
  <c r="J406" i="1"/>
  <c r="K406" i="1"/>
  <c r="L406" i="1"/>
  <c r="M406" i="1"/>
  <c r="N406" i="1"/>
  <c r="S406" i="1"/>
  <c r="D407" i="1"/>
  <c r="E407" i="1"/>
  <c r="F407" i="1"/>
  <c r="G407" i="1"/>
  <c r="O414" i="1"/>
  <c r="Q414" i="1"/>
  <c r="S414" i="1"/>
  <c r="B415" i="1"/>
  <c r="C415" i="1"/>
  <c r="D415" i="1"/>
  <c r="I415" i="1"/>
  <c r="J415" i="1"/>
  <c r="K415" i="1"/>
  <c r="L415" i="1"/>
  <c r="M415" i="1"/>
  <c r="N415" i="1"/>
  <c r="S415" i="1"/>
  <c r="D416" i="1"/>
  <c r="E416" i="1"/>
  <c r="F416" i="1"/>
  <c r="G416" i="1"/>
  <c r="O423" i="1"/>
  <c r="Q423" i="1"/>
  <c r="S423" i="1"/>
  <c r="B424" i="1"/>
  <c r="C424" i="1"/>
  <c r="D424" i="1"/>
  <c r="I424" i="1"/>
  <c r="J424" i="1"/>
  <c r="K424" i="1"/>
  <c r="L424" i="1"/>
  <c r="M424" i="1"/>
  <c r="N424" i="1"/>
  <c r="S424" i="1"/>
  <c r="D425" i="1"/>
  <c r="E425" i="1"/>
  <c r="F425" i="1"/>
  <c r="G425" i="1"/>
  <c r="O432" i="1"/>
  <c r="Q432" i="1"/>
  <c r="S432" i="1"/>
  <c r="B433" i="1"/>
  <c r="C433" i="1"/>
  <c r="D433" i="1"/>
  <c r="I433" i="1"/>
  <c r="J433" i="1"/>
  <c r="K433" i="1"/>
  <c r="L433" i="1"/>
  <c r="M433" i="1"/>
  <c r="N433" i="1"/>
  <c r="S433" i="1"/>
  <c r="D434" i="1"/>
  <c r="E434" i="1"/>
  <c r="F434" i="1"/>
  <c r="G434" i="1"/>
  <c r="O441" i="1"/>
  <c r="Q441" i="1"/>
  <c r="S441" i="1"/>
  <c r="B442" i="1"/>
  <c r="C442" i="1"/>
  <c r="D442" i="1"/>
  <c r="I442" i="1"/>
  <c r="J442" i="1"/>
  <c r="K442" i="1"/>
  <c r="L442" i="1"/>
  <c r="M442" i="1"/>
  <c r="N442" i="1"/>
  <c r="S442" i="1"/>
  <c r="D443" i="1"/>
  <c r="E443" i="1"/>
  <c r="F443" i="1"/>
  <c r="G443" i="1"/>
  <c r="O450" i="1"/>
  <c r="Q450" i="1"/>
  <c r="S450" i="1"/>
  <c r="B451" i="1"/>
  <c r="C451" i="1"/>
  <c r="D451" i="1"/>
  <c r="I451" i="1"/>
  <c r="J451" i="1"/>
  <c r="K451" i="1"/>
  <c r="L451" i="1"/>
  <c r="M451" i="1"/>
  <c r="N451" i="1"/>
  <c r="S451" i="1"/>
  <c r="D452" i="1"/>
  <c r="E452" i="1"/>
  <c r="F452" i="1"/>
  <c r="G452" i="1"/>
  <c r="O459" i="1"/>
  <c r="Q459" i="1"/>
  <c r="S459" i="1"/>
  <c r="B460" i="1"/>
  <c r="C460" i="1"/>
  <c r="D460" i="1"/>
  <c r="I460" i="1"/>
  <c r="J460" i="1"/>
  <c r="K460" i="1"/>
  <c r="L460" i="1"/>
  <c r="M460" i="1"/>
  <c r="N460" i="1"/>
  <c r="S460" i="1"/>
  <c r="D461" i="1"/>
  <c r="E461" i="1"/>
  <c r="F461" i="1"/>
  <c r="G461" i="1"/>
  <c r="O468" i="1"/>
  <c r="Q468" i="1"/>
  <c r="S468" i="1"/>
  <c r="B469" i="1"/>
  <c r="C469" i="1"/>
  <c r="D469" i="1"/>
  <c r="I469" i="1"/>
  <c r="J469" i="1"/>
  <c r="K469" i="1"/>
  <c r="L469" i="1"/>
  <c r="M469" i="1"/>
  <c r="N469" i="1"/>
  <c r="S469" i="1"/>
  <c r="D470" i="1"/>
  <c r="E470" i="1"/>
  <c r="F470" i="1"/>
  <c r="G470" i="1"/>
  <c r="O477" i="1"/>
  <c r="Q477" i="1"/>
  <c r="S477" i="1"/>
  <c r="B478" i="1"/>
  <c r="C478" i="1"/>
  <c r="D478" i="1"/>
  <c r="I478" i="1"/>
  <c r="J478" i="1"/>
  <c r="K478" i="1"/>
  <c r="L478" i="1"/>
  <c r="M478" i="1"/>
  <c r="N478" i="1"/>
  <c r="S478" i="1"/>
  <c r="D479" i="1"/>
  <c r="E479" i="1"/>
  <c r="F479" i="1"/>
  <c r="G479" i="1"/>
  <c r="O486" i="1"/>
  <c r="Q486" i="1"/>
  <c r="S486" i="1"/>
  <c r="B487" i="1"/>
  <c r="C487" i="1"/>
  <c r="D487" i="1"/>
  <c r="I487" i="1"/>
  <c r="J487" i="1"/>
  <c r="K487" i="1"/>
  <c r="L487" i="1"/>
  <c r="M487" i="1"/>
  <c r="N487" i="1"/>
  <c r="S487" i="1"/>
  <c r="D488" i="1"/>
  <c r="E488" i="1"/>
  <c r="F488" i="1"/>
  <c r="G488" i="1"/>
  <c r="O495" i="1"/>
  <c r="Q495" i="1"/>
  <c r="S495" i="1"/>
  <c r="B496" i="1"/>
  <c r="C496" i="1"/>
  <c r="D496" i="1"/>
  <c r="I496" i="1"/>
  <c r="J496" i="1"/>
  <c r="K496" i="1"/>
  <c r="L496" i="1"/>
  <c r="M496" i="1"/>
  <c r="N496" i="1"/>
  <c r="S496" i="1"/>
  <c r="D497" i="1"/>
  <c r="E497" i="1"/>
  <c r="F497" i="1"/>
  <c r="G49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Jiovan Ríos</author>
  </authors>
  <commentList>
    <comment ref="E4" authorId="0" shapeId="0" xr:uid="{1108CD86-7BA8-4826-AFF0-FE608552BCA3}">
      <text>
        <r>
          <rPr>
            <b/>
            <sz val="9"/>
            <color indexed="81"/>
            <rFont val="Tahoma"/>
            <family val="2"/>
          </rPr>
          <t>Fecha originalmente establecida, sin importar si hay modificación de la misma.</t>
        </r>
      </text>
    </comment>
  </commentList>
</comments>
</file>

<file path=xl/sharedStrings.xml><?xml version="1.0" encoding="utf-8"?>
<sst xmlns="http://schemas.openxmlformats.org/spreadsheetml/2006/main" count="3957" uniqueCount="965">
  <si>
    <t>Volver al Indice</t>
  </si>
  <si>
    <t>NÚMERO  DE CONTRATOS: 1</t>
  </si>
  <si>
    <t>PESOS</t>
  </si>
  <si>
    <t>SMMLV-2020</t>
  </si>
  <si>
    <t>REQUISITOS DE LA EXPERIENCIA QUE SE PRETENDE ACREDITAR PARA EL PROCESO</t>
  </si>
  <si>
    <t>PRESUPUESTO OFICIAL</t>
  </si>
  <si>
    <t xml:space="preserve">PLAZO DEL CONTRATO EN MESES </t>
  </si>
  <si>
    <t xml:space="preserve"> (VALOR DEL PRESUPUESTO OFICIAL EN SMMLV / PLAZO DEL CONTRATO EN MESES)</t>
  </si>
  <si>
    <t>CODIGO UNSPSC</t>
  </si>
  <si>
    <t>No. DE CONTRATOS A ACREDITAR EXPERIENCIA HABILITANTE (VER PLIEGO)</t>
  </si>
  <si>
    <t>CONSECUTIVO RUP</t>
  </si>
  <si>
    <t>JET INGENIERIA SAS</t>
  </si>
  <si>
    <t>MUNICIPIO DE MONTERÍA</t>
  </si>
  <si>
    <t>754 DE 2018</t>
  </si>
  <si>
    <t>INTERVENTORÍA TÉCNICA, ADMINISTRATIVA, FINANCIERA, JURÍDICA Y AMBIENTAL A LA RECONSTRUCCIÓN DEL PAVIMENTO RÍGIDO, ANDENES Y ESPACIO PÚBLICO DE LA AVENIDA CIRCUNVALAR ENTRE LA CARRERA 5 Y CARRERA 14 DE LA CIUDAD DE MONTERÍA, CEPARTAMENTO DE CÓRDOBA</t>
  </si>
  <si>
    <t>CONSORCIO TRANSFORMAR VIAL 18-03</t>
  </si>
  <si>
    <t>SI</t>
  </si>
  <si>
    <t>CTO INGENIERIA SAS</t>
  </si>
  <si>
    <t>PROPONENTE HÁBIL / NO HÁBIL</t>
  </si>
  <si>
    <t>INGENIERIA DF SAS</t>
  </si>
  <si>
    <t>INSTITUTO DE DESARROLLO URBANO - IDU</t>
  </si>
  <si>
    <t>IDU-181 DE 2007</t>
  </si>
  <si>
    <t>INTERVENTORIA TÉCNICA, ADMINISTRATIVA, FINANCIERA Y AMBIENTAL PARA LA CONSTRUCCIÓN DE ACCESOS A BARRIOS Y PAVIMENTOS LOCALES, PROGRAMA DE PAVIMENTOS LOCALES GRUPO 1: LOCALIDAD DE BOSA, CHAPINERO, KENNEDY Y SUBA DE BOGOTÁ DC</t>
  </si>
  <si>
    <t>DIEGO FONSECA CHAVEZ</t>
  </si>
  <si>
    <t>AEROVIAS INGENIERIA SAS</t>
  </si>
  <si>
    <t>GOBERNACION DE CASANARE</t>
  </si>
  <si>
    <t>1067 de 2005</t>
  </si>
  <si>
    <t xml:space="preserve">INTERVENTORIA AL MEJORAMIENTO Y PAVIMENTACION DE LA VIA QUE CONDUCE DE PAZ DE ARIPORO EN EL K16+900 HASTA EL K48+900, SECTOR LA CHAPA DEL MUNICIPIO DE PAZ DE ARIPORO. </t>
  </si>
  <si>
    <t>CONSORCIO MALLA VIAL</t>
  </si>
  <si>
    <t>VELNEC SA</t>
  </si>
  <si>
    <t>INSTITUTO DE DESARROLLO URBANO IDU</t>
  </si>
  <si>
    <t>IDU-BM-250-2004</t>
  </si>
  <si>
    <t>INTERVENTORÍA TÉCNICA, ADMINISTRATIVA, FINANCIERA, SOCIAL Y AMBIENTAL PARA LA CONSTRUCCIÓN, REHABILITACIÓN Y CONSERVACIÓN DE VÍAS PARA RUTAS ALIMENTADORAS DEL SISTEMA TRANSMILENIO ZONA 4, GRUPO 1 EN BOGOTÁ D.C.</t>
  </si>
  <si>
    <t>JORGE ALVARO SANCHEZ BLANCO</t>
  </si>
  <si>
    <t>AGENCIA LOGISTICA DE LAS FUERZAS MILITARES</t>
  </si>
  <si>
    <t>001-237-2013</t>
  </si>
  <si>
    <t>INTERVENTORÍA TÉCNICA, FINANCIERA Y ADMINISTRATIVA PARA LA CONSTRUCCIÓN DEL BATALLÓN ESPECIAL ENERGÉTICO Y VIAL No. 19 UBICADO EN PUERTO RICO CAQUETÁ.</t>
  </si>
  <si>
    <t>CONSORCIO SAMAN 2013</t>
  </si>
  <si>
    <t>CONSULTORIA INTERVENTORIA TECNICAS CIVILES CONINTEC SAS</t>
  </si>
  <si>
    <t>MUNICIPIO DE ENVIGADO</t>
  </si>
  <si>
    <t>09-00-31-07-025-16</t>
  </si>
  <si>
    <t>INTERVENTORIA PARA LA AMPLIACIÓN DE LA DIAGONAL 29, ENTRE LA TV 34 DD SUR Y LA CRA 28, Y LA CRA 42A Y 28D, MUNICIPIO DE ENVIGADO, DEPARTAMENTO DE ANTIOQUIA</t>
  </si>
  <si>
    <t>CB INGENIEROS SAS</t>
  </si>
  <si>
    <t>INVIAS</t>
  </si>
  <si>
    <t>2215 de 2012</t>
  </si>
  <si>
    <t>INTERVENTORÍA PARA EL MANTENIMIENTO Y REHABILITACIÓN DE LA CARRETERA SINCELEJO – CALAMAR – BARRANQUILLA, SECTOR CARRETO – CALAMAR – PR54+0000, RUTA 25 TRAMOS 2515 Y 2516. DEPARTAMENTOS DE BOLÍVAR Y ATLÁNTICO</t>
  </si>
  <si>
    <t>CONSORCIO INTEVIAL 015</t>
  </si>
  <si>
    <t>GRUPO POSSO SAS</t>
  </si>
  <si>
    <t>INSTITUTO NACIONAL DE VÍAS - INVIAS</t>
  </si>
  <si>
    <t>1766-2015</t>
  </si>
  <si>
    <t>INTERVENTORÍA A LA GESTIÓN PREDIAL, SOCIAL, AMBIENTAL, CONSTRUCCIÓN Y MANTENIMIENTO DEL INTERCAMBIADOR VERSALLES - PROYECTO CRUCE DE LA CORDILLERA CENTRAL</t>
  </si>
  <si>
    <t>CONSORCIO VERSALLES 124</t>
  </si>
  <si>
    <t>PROYECTOS E INTERVENTORÍAS LIMITADA</t>
  </si>
  <si>
    <t>2319 DE 2004</t>
  </si>
  <si>
    <t>INTERVENTORIA MEJORAMIENTO Y MANTENIMIENTO CARRETERA OCAÑA - SARDINATA - CUCUTA. SECTOR ALTO DEL POZO - SARDINATA PR69+000 AL PR 128+000, RUTA 70, TRAMO 7008.</t>
  </si>
  <si>
    <t>CONSORCIO TORCOROMA</t>
  </si>
  <si>
    <t>INGENIERÍA DE ESTUDIOS Y ASESORIAS S.A.S. INESAS</t>
  </si>
  <si>
    <t>VIASTOP SAS</t>
  </si>
  <si>
    <t>GOBERNACIÓN 
DE ANTIOQUIA</t>
  </si>
  <si>
    <t>DE ANTIOQUIA
2006-CC-
20-176</t>
  </si>
  <si>
    <t>INTERVENTORÍA TÉCNICA, ADMINISTRATIVA, FINANCIERA Y AMBIENTAL DEL PROYECTO PARA LA EJECUCIÓN DEL MEJORAMIENTO Y PAVIMENTACIÓN DE LA CARRETERA LA PIÑUELA -SAN FRANCISCO</t>
  </si>
  <si>
    <t>INGEVAL SAS</t>
  </si>
  <si>
    <t>EDESA</t>
  </si>
  <si>
    <t>197-2014</t>
  </si>
  <si>
    <t>INTERVENTORIA TECNICA, ADMINISTRATIVA Y FINANCIERA PARA LOS PROYECTOS CONSTRUCCIÓN SISTEMA DE ALCANTARILLADO PLUVIAL CALLE 5 ENTRE CARRERA 7 - 8, CARRERA 7 ENTRE CALLE 5 - 3, CARRERA 8 ENTRE CALLE 3 - 3a Y CALLE 3 ENTRE CARRERA 7 Y DESCOLE EN EL MUNICIPIO DE VISTA HERMOSA, META, CONSTRUCCIÓN SISTEMA DE ALCANTARILLADO PLUVIAL SOBRE LA CARRERA 10 ENTRE CALLES 20 Y 15, CALLES 20, 19a, 19, 18, 16, 15 ENTRE CARRERAS 10 Y 11, CALLE 15 ENTRE CARRERAS 10 Y 3, EN EL MUNICIPIO DE VISTAHERMOSA, META, MEJORAMIENTO DESCARGA ALCANTARILLADO PLUVIAL SECTOR CASA DE LA CULTURA EN EL MUNICIPIO DE VISTA HERMOSA, META, MEJORAMIENTO REDES DE ALCANTARILLADO SANITARIO ZONA 1: CALLES 19A - 25A ENTRE CARRERA 1 - 6A Y ZONA 2: CALLES 9 -14 ENTRE CARRERAS 8 - 12 EN EL MUNICIPIO DE GRANADA, META, MEJORAMIENTO ALCANTARILLADO SANITARIO CR 1 ENTRE CL 14¬10, CR 1A ENTRE CL 10-8, CL 16 ENTRE CR 6-8, CR 7-8A ENTRE CL 16-17, CR 13 ENTRE CL 13-14, CL 13 ENTRE CR 12-13, CL 10A -11A ENTRE CR 10-33, CR 10 ENTRE CL 11-12, CR 7-8 ENTRE CL 10-11, CR 9 EN EL MUNICIPIO DE PUERTO RICO - META, CONSTRUCCIÓN ACUEDUCTO, ALCANTARILLADO SANITARIO Y PLUVIAL URBANIZACIÓN SAN JORGE Y ALCANTARILLADO SANITARIO BARRIO LOS MOLINOS EN EL MUNICIPIO DE SAN MARTIN, META Y MEJORAMIENTO ALCANTARILLADO SANITARIO EN LA CRA 4 ENTRE CLL 14-15, CRA 4 ENTRE CLL 8-9, CR 8 Y 7 ENTRE CLL 9-10, CLL 12A ENTRE CRA 6 Y 8, CRA 6 ENTRE CLL 9-13 EN EL MUNICIPIO DE PUERTO CONCORDIA, META.</t>
  </si>
  <si>
    <t>COMPAÑÍA COLOMBIANA DE CONSULTORES SAS -CCC</t>
  </si>
  <si>
    <t>GOBERNACIÓN DE ANTIOQUIA</t>
  </si>
  <si>
    <t>95-CO-21-058</t>
  </si>
  <si>
    <t>INTERVENTORÍA DE LA AMPLIACIÓN, RECTIFICACIÓN Y PAVIMENTACIÓN DE LA CARRETERA GUATAPÉ-SAN RAFAEL-SAN CARLOS. (68KM)</t>
  </si>
  <si>
    <t>IAR PROYECTOS SAS</t>
  </si>
  <si>
    <t>4169 DE 2013</t>
  </si>
  <si>
    <t>INTERVENTORÍA TECNICA, ADMINISTRATIVA, FINANCIERA Y AMBIENTAL PARA EL MEJORAMIENTO Y MANTENIMIENTO DE LA VIA EL EMPATE – SAN BERNARDO - LA CRUZ - HIGUERONES DEL DEPARTAMENTO DE NARIÑO</t>
  </si>
  <si>
    <t>CONSORCIO INTERVIAL NARIÑO</t>
  </si>
  <si>
    <t>BATEMAN INGENIERIA SAS</t>
  </si>
  <si>
    <t>ESTRUCTURADOR COLOMBIA SAS</t>
  </si>
  <si>
    <t>GOBERNACIÓM  DE ANTIOQUIA</t>
  </si>
  <si>
    <t>2013-SS-20-0020</t>
  </si>
  <si>
    <t>CPS-ECOSAS - INTERVENTORÍA TÉCNICA, ADMINISTRATIVA, AMBIENTAL, FINANCIERA Y LEGAL PARA EL MEJORAMIENTO, REHABILITACIÓN, MANTENIMIENTO Y CONSTRUCCIÓN DE OBRAS COMPLEMENTARIAS EN LA RED VIAL DE LAS SUBREGIONES NORTE Y BAJO CAUCA DEL DEPARTAMENTO DE ANTIOQUIA</t>
  </si>
  <si>
    <t>CONSORCIO CPS-ECO SAS</t>
  </si>
  <si>
    <t>INEICA LTDA</t>
  </si>
  <si>
    <t>GOBERNACION DE ANTIOQUIA</t>
  </si>
  <si>
    <t>2010-SS20-8013</t>
  </si>
  <si>
    <t>INTERVENTORÍA TÉCNICA, ADMINISTRATIVA, FINANCIERA Y AMBIENTAL DEL PROYECTO PARA LA REHABILITACIÓN DE LA RVSP, VÍA SAN PEDRO DE LOS MILAGROS - ENTRERIOS</t>
  </si>
  <si>
    <t>Aporta experiencia de socio, por tener menos de tres (3) años de constituida</t>
  </si>
  <si>
    <t>JPS INGENIERÍA SA</t>
  </si>
  <si>
    <t>ALC SAN JOSÉ DE CUCUTA</t>
  </si>
  <si>
    <t>0981 DE 2006</t>
  </si>
  <si>
    <t>INTERVENTORÍA TÉCNICA Y ADMINISTRATIVA DE LA CONSTRUCCIÓN DE LA INTERSECCIÓN DIAGONAL SANTANDER - CANAL BOGOTÁ, MEGAPROYECTO DE INTERÉS PÚBLICO, EN EL MUNICIPIO DE SAN JOSÉ DE CÚCUTA</t>
  </si>
  <si>
    <t>CONSORCIO INTERVENTORIA INTERSECCION SANTANDER</t>
  </si>
  <si>
    <t>CONSTRUCCIONES E INVERSIONES ASOCIATIVAS SAS</t>
  </si>
  <si>
    <t>2011-SS-20-139CH</t>
  </si>
  <si>
    <t>INTERVENTORIA TECNICA, ADMINISTRATIVA Y FINANCIERA PARA LA REHABILITACIÓN DE LA VIA EN TODA LA LONGITUD Y RECUPERACIÓN DE LA BANCA KM31+800 DE LA CEJA - ABEJORRAL POR COLMENAS DEL DEPARTAMENTO DE ANTIOQUIA</t>
  </si>
  <si>
    <t>SEDIC CONSULTING SAS</t>
  </si>
  <si>
    <t>EMPRESAS PÚBLICAS DE MEDELLÍN E.S.P.</t>
  </si>
  <si>
    <t>No. 016-2009</t>
  </si>
  <si>
    <t>INTERVENTORÍA (SUPERVISIÓN) DURANTE LA CONSTRUCCIÓN DE LAS OBRAS DE INFRAESTRUCTURA DEL PROYECTO HIDROELÉCTRICO LTUANGO Y LA PRESTACIÓN DE LOS SERVICIOS COMPLEMENTARIOS REQUERIDOS POR LAS EMPRESAS, ASOCIADOS CON LA GESTIÓN DEL ALCANCE, CALIDAD, TIEMPO Y COSTOS DE LAS OBRAS INTERVENIDAS, DE ACUERDO CON LOS DOCUMENTOS DEL CONTRATO, EL CUAL SE EJECUTÓ EN EL ÁREA DE INFLUENCIA DEL PROYECTO, EN LOS MUNICIPIOS DE SAN ANDRÉS DE CUERQUIA, TOLEDO, LTUANGO Y BRICEÑO, DEPARTAMENTO DE ANTIOQUIA, REPÚBLICA DE COLOMBIA</t>
  </si>
  <si>
    <t>CONSORCIO SEDIC S.A.- INGETEC S.A.</t>
  </si>
  <si>
    <t>VALLEJO H INGENIEROS CONSULTORES CONSTRUCTORES SAS</t>
  </si>
  <si>
    <t>DIRECCIÓN GENERAL DE SANIDAD MILITAR</t>
  </si>
  <si>
    <t>059-MDNCGFM-DGSMSAF-GC-2014</t>
  </si>
  <si>
    <t>INTERVENTORIA TÉCNICA, JURÍDICA, ADMINISTRATIVA, FINANCIERA DEL CONTRATO CUYO OBJETO ES EL DISEÑO, CONSTRUCCIÓN, TRAMITES, DOTACION Y EQUIPOS DE UN ESTABLECIMIENTO DE SANIDAD MILITAR CONJUNTO FAC-ARC DE MEDIANA COMPLEJIDAD EN BOGOTÁ D.C.</t>
  </si>
  <si>
    <t>CONSORCIO CVH</t>
  </si>
  <si>
    <t>GALINDO ALVARADO GILBERTO</t>
  </si>
  <si>
    <t>GOBERNACION CASANARE</t>
  </si>
  <si>
    <t>572-2015</t>
  </si>
  <si>
    <t>INTERVENTORIA TECNICA AMBIENTAL, ADMINISTRATIVA FINANCIERA CONTABLE Y JURIDICA AL MEJORAMIENTO A NIVEL DE PAVIMENTO FLEXIBLE DE LA MARGINAL DE LA SELVA - EL VERDE - EL BANCO -MATALARGA DEL K0+0000 AL K15+400 MUNICIPIO DE PORE DPTO DE CASANARE.</t>
  </si>
  <si>
    <t>UNION TEMPORAL INTERVIA PORE</t>
  </si>
  <si>
    <t>GNG INGENIERÍA SAS</t>
  </si>
  <si>
    <t>INSTITUTO DE DESARROLLO URBANO</t>
  </si>
  <si>
    <t>IDU
5 DE 2013</t>
  </si>
  <si>
    <t>INTERVENTORÍA TÉCNICA, ADMINISTRATIVA, LEGAL, FINANCIERA, SOCIAL, AMBIENTAL Y S&amp;SO PARA LA CONSTRUCCIÓN DE LA AVENIDA GERMÁN ARCINIEGAS (CARRERA 11), ENTRE LA AVENIDA CARLOS LLERAS RESTREPO (CALLE 100) Y LA CALLE 106, EN BOGOTÁ D. C.</t>
  </si>
  <si>
    <t>CONSORCIO INTER MALLA VIAL 017</t>
  </si>
  <si>
    <t>DPC INGENIEROS SAS</t>
  </si>
  <si>
    <t>1578 DE 2016</t>
  </si>
  <si>
    <t>INTERVENTORIA PARA EL MEJORAMIENTO Y REHABILITACION DE LAS CARRETERAS COVEÑAS-SABANETA RUTA 90SCO2 EN EL DEPARTAMENTO DE SUCRE Y SABANETA MOMIL EN EL DEPARTAMENTO DE CORDOBA</t>
  </si>
  <si>
    <t>CONSORCIO CORDOBA SDM 049</t>
  </si>
  <si>
    <t>ARCA ARQUITECTURA E INGENIERIA SA</t>
  </si>
  <si>
    <t>FONADE</t>
  </si>
  <si>
    <t>INTERVENTORÍA TÉCNICA, ADMINISTRATIVA, FINANCIERA Y CONTABLE A LA CONSTRUCCIÓN DEL COMPLEJO PENITENCIARIO, CARCELARIO DE JAMUNDÍ, QUE CONTIENE ESTABLECIMIENTO PENITENCIARIO DE MÍNIMA, MEDIANA, ALTA SEGURIDAD Y RECLUSIÓN DE MUJERES EN JAMUNDÍ – VALLE DEL CAUCA</t>
  </si>
  <si>
    <t xml:space="preserve">CONSORCIO SEDIC-ORBIT A &amp; ESTUDIOS TECNICOS </t>
  </si>
  <si>
    <t>CIVILTEC INGENIEROS LTDA</t>
  </si>
  <si>
    <t>IDU</t>
  </si>
  <si>
    <t>183 DE 1997</t>
  </si>
  <si>
    <t xml:space="preserve">INTERVENTORÍA TÉCNICA Y ADMINISTRATIVA PARA LA CONSTRUCCIÓN DE LA AV. CIUDAD DE CALI, DE LA CALLE 13 A LA AV. VILLAVICENCIO </t>
  </si>
  <si>
    <t>CONSORCIO LA VIALIDAD LTDA-CIVILTEC INGENIEROS LTDA</t>
  </si>
  <si>
    <t>ARQUICIVILES CONSTRUCTORA SAS</t>
  </si>
  <si>
    <t>FRANCISCO MIGUEL GARCES VERGARA</t>
  </si>
  <si>
    <t>002 DE 2009</t>
  </si>
  <si>
    <t>INTERVENTORÍA TÉCNICA, ADMINISTRATIVA, CONTABLE, FINANCIERA Y JURÍDICA DE LAS OBRAS QUE TIENEN POR OBJETO "ESTUDIOS, DISEÑOS Y CONSTRUCCIÓN DE PAVIMENTO EN CONCRETO RÍGIDO PARA EL PROYECTO URBANIZACION MONTEVERDE II UBICADA EN LA CARRERA 17 No. 50-85</t>
  </si>
  <si>
    <t>Diseños Interventorías y Servicios – DIS SAS</t>
  </si>
  <si>
    <t>FONDO
ADAPTACION</t>
  </si>
  <si>
    <t>086 DE
2013</t>
  </si>
  <si>
    <t>INTERVENTORIA INTEGRAL (TÉCNICA, ADMINISTRATIVA, FINANCIERA, SOCIAL, AMBIENTAL Y JURIDICA) DE LA CONSTRUCCIÓN DE LAS OBRAS PARA LA SOLUCIÓN DE LOS SITIOS CRÍTICOS DEL TRAMO COMPRENDIDO ENTRE LOS PRS 46+850 Y 85+903, DE LA CARRETERA
MALAGA-LOS CUROS, EN EL DEPARTAMENTO DE SANTANDER.</t>
  </si>
  <si>
    <t>DISEÑOS INTERVENTORÍAS Y SERVICIOS – DIS SAS</t>
  </si>
  <si>
    <t>CONSORCIO RED VIAL</t>
  </si>
  <si>
    <r>
      <t xml:space="preserve">En el formulario No. 1 - Experiencia habilitante, el proponente registra dos (2) contratos. Sin embargo, conforme con el numeral 2.3.1 del pliego de condiciones, la capacidad técnica deberá acreditarse mediante un (1) contrato.
Por lo anterior, se requiere al Proponente corregir el mencionado formulario, indicando solo un (1) contrato. 
Tener presente que, el contrato para acreditar el requisito habilitante para la capacidad técnica, deberá ser diferente de los aportados para acceder al puntaje por el criterio de calificación "Experiencia del Proponente", lo anterior conforme con el segundo párrafo del numeral 4.1.1 del pliego de condiciones.
</t>
    </r>
    <r>
      <rPr>
        <sz val="8"/>
        <color rgb="FFFF0000"/>
        <rFont val="Arial"/>
        <family val="2"/>
      </rPr>
      <t>El proponente dentro del término máximo establecido para realizar subsanaciones no allegó los documentos solicitados en el Informe de Evaluación preliminar capacidad técnica. Por tanto, no da cumplimiento con los requisitos exigidos en el pliego de condiciones.</t>
    </r>
  </si>
  <si>
    <t>ALFREDO JOSE LEPESQUEUR MARTINEZ</t>
  </si>
  <si>
    <t>ALCALDIA DE MONTERIA</t>
  </si>
  <si>
    <t>365 DE 2016</t>
  </si>
  <si>
    <t>INTERVENTORIA NO. 1 TECNICA, ADMINISTRATIVA, FINANCIERA, AMBIENTAL, LEGAL Y CONTABLE A MANTENIMIENTO Y MEJORAMIENTO DE CALLES EN MONTERIA, CORDOBA.</t>
  </si>
  <si>
    <t>CONSORCIO CALLES 2015</t>
  </si>
  <si>
    <t>COINZA ING SAS</t>
  </si>
  <si>
    <t>2011-SS-20-172</t>
  </si>
  <si>
    <t>INTERVENTORIA TECNICA, ADMINISTRATIVA Y AMBIENTAL PARA EL MEJORAMIENTO Y PAVIMENTACION DE LA VIA CARACOLI - SAN JOSE DEL NUS, SUBREGION NORDESTE DEL DEPARTAMENTO DE ANTIOQUIA</t>
  </si>
  <si>
    <t>RICARDO LEON ISAZA JIMENEZ</t>
  </si>
  <si>
    <t>INGECON SAS</t>
  </si>
  <si>
    <t>TRANSCARIBE</t>
  </si>
  <si>
    <t>CPI-TC-01-06</t>
  </si>
  <si>
    <t>ASESORIA E INTERVENTORIA TECNICA, FINANCIERA Y AMBIENTAL PARA LA CONSTRUCCION DE UN TRAMO DE CORREDOR DEL SISTEMA INTEGRADO DE TRANSPORTE MASIVO TRANSCARIBE DE EL AMPARO A CUATRO VIENTOS. CARTAGENA DE INDIAS D.T Y C INCLUYO ASPECTOS TECNICOS , AMBIENTALES, SOCIALES, SISO, FINANCIERO, ADMINISTRATIVO Y LEGAL.</t>
  </si>
  <si>
    <t>INGENIERIA Y CONSULTORIA INGECON SAS</t>
  </si>
  <si>
    <t>SOCIEDAD TECNICA SOTA</t>
  </si>
  <si>
    <t>INTERVENTORIA TECNICA, ADMINISTRATIVA, AMBIENTAL Y DE CONTROL PRESUPUESTAL PARA LOS PROYECTOS DE MEJORAMIENTO Y MANTENIMIENTO DE LA RED TERCIARIA EN EL DEPARTAMENTO DEL ATLANTICO (SIC)</t>
  </si>
  <si>
    <t>SOCIEDAD TECNICA SOTA LTDA</t>
  </si>
  <si>
    <t>INTERSA SA</t>
  </si>
  <si>
    <t>AGENCIA NACIONAL DE INFRAESTRUCTURA</t>
  </si>
  <si>
    <t>761 DE 2015</t>
  </si>
  <si>
    <t xml:space="preserve">INTERVENTORIA, QUE INCLUYE, PERO NO SE LIMITA A LA INTERVENTORIA TECNICA ADMINISTRATIVA, FINANCIERA, LEGAL, AMBIENTAL, SOCIAL, PREDIAL Y DE MANTENIMIENTO PARA EL SEGUIMIENTO DEL CONTRATO N° 0110-O.P. DEL 10 DE JULIO DE 1995, CUYO OBJETO ES "(...) CONSTRUIR Y MANTENER LA SEGUNDA PISTA Y MANTENER PISTA EXISTENTE, DE CONFORMIDAD CON LO PREVISTO EN EL PLIEGO DE CONDICIONES CORRESPONDIENTE A LA LICITACION PUBLICA NUMERO 003/94 Y LA PROPUESTA ACEPTADA POR LA UAEAC Y, EN PARTICULAR, A REALIZAR LAS OBRAS A QUE SE REFIERE LA SECCION 2 DEL TOMO I DEL PLIEGO DE CONDICIONES. EN TODO CASO, EL CONCESIONARIO SE OBLIGA A REALIZAR CUALESQUIERA GESTIONES, INCLUYENDO LA OBTENCION DE FINANCIAMIENTO, EQUIPO, PERSONAL E INFRAESTRUCTURA ADECUADOS, PARA EJECUTAR A CABALIDAD </t>
  </si>
  <si>
    <t>CONSORCIO A&amp;I 2015</t>
  </si>
  <si>
    <t>GOMEZ CAJIAO Y ASOCIADOS SAS</t>
  </si>
  <si>
    <t>3353-2007</t>
  </si>
  <si>
    <t>INTERVENTORÍA PARA LA CONSTRUCCIÓN DE LA DOBLE CALZADA SECTOR CITRONELA (PR15+000) - ALTOS DE ZARAGOZA (PR29+000) DE LA CARRETERA BUENAVENTURA - CRUCE RUTA 25 (BUGA) RUTA 40 TRAMO 01, EN EL DEPARTAMENTO DEL VALLE DEL CAUCA.</t>
  </si>
  <si>
    <t>CONSORCIO GOMEZ CAJIAO - CONSULTECNICOS</t>
  </si>
  <si>
    <t>NÚMERO  DE CONTRATOS: MINIMO 1, MÁXIMO 3</t>
  </si>
  <si>
    <t xml:space="preserve">  DEL PRESUPUESTO OFICIAL </t>
  </si>
  <si>
    <t>FACTURACION MENSUAL OFICIAL (FMO) EN SMMLV</t>
  </si>
  <si>
    <t>No. DE CONTRATOS A ACREDITAR EXPERIENCIA ESPECÍFICA (VER PLIEGO)</t>
  </si>
  <si>
    <t>PROPONENTE No.</t>
  </si>
  <si>
    <t>PFMP</t>
  </si>
  <si>
    <t>¿EL CONTRATO CUMPLE CON LOS REQUERIMIENTOS ADICIONALES DE EXPERIENCIA  EN EL PLIEGO?
 (SI EL CONTRATO NO ES VÁLIDO, INDICAR NO)
(SI / NO)</t>
  </si>
  <si>
    <t>EXP. ESPECÍFICA 
A:</t>
  </si>
  <si>
    <t>EXP. ESPECÍFICA 
B:</t>
  </si>
  <si>
    <t>ITEM</t>
  </si>
  <si>
    <t>PROPONENTE 
/ 
INTEGRANTE OFERENTE PLURAL</t>
  </si>
  <si>
    <t>INFORMACIÓN DEL CONTRATO</t>
  </si>
  <si>
    <t>¿SE ENCUENTRA INSCRITO EN EL RUP Y CUMPLE CÓDIGOS UNSPSC?</t>
  </si>
  <si>
    <t xml:space="preserve">VALOR EN RUP (SMMLV) </t>
  </si>
  <si>
    <t>% PARTIC en el RUP</t>
  </si>
  <si>
    <t>VALOR DEL CONTRATO TERMINADO (SMMLV) en el   RUP</t>
  </si>
  <si>
    <t>FECHA DE INICIO</t>
  </si>
  <si>
    <t>FECHA DE TERMINACION</t>
  </si>
  <si>
    <t>PLAZO CONTRA-TO (Meses)</t>
  </si>
  <si>
    <t>Tsusp i</t>
  </si>
  <si>
    <t>PLAZO i REAL</t>
  </si>
  <si>
    <t>FACTURA-CION MENSUAL PROPO-NENTE</t>
  </si>
  <si>
    <t>VALIDACIÓN DE LA EXPERIENCIA GENERAL
(SI/NO)</t>
  </si>
  <si>
    <t>OBSERVACIONES</t>
  </si>
  <si>
    <t>Interventoria a la ejecución de obras relacionadas con Colocación de capas granulares (tales como bases y/o sub-bases granulares).</t>
  </si>
  <si>
    <t>Interventoria a la Ejecución de obras de subdrenaje y/o drenaje, en carreteras.</t>
  </si>
  <si>
    <t>ENTIDAD</t>
  </si>
  <si>
    <t>No. DE CONTRATO</t>
  </si>
  <si>
    <t>OBJETO</t>
  </si>
  <si>
    <t>CONTRATISTA</t>
  </si>
  <si>
    <r>
      <t>Finic</t>
    </r>
    <r>
      <rPr>
        <b/>
        <vertAlign val="subscript"/>
        <sz val="11"/>
        <rFont val="Arial"/>
        <family val="2"/>
      </rPr>
      <t>suspi</t>
    </r>
  </si>
  <si>
    <r>
      <t xml:space="preserve"> Fterm</t>
    </r>
    <r>
      <rPr>
        <b/>
        <vertAlign val="subscript"/>
        <sz val="11"/>
        <rFont val="Arial"/>
        <family val="2"/>
      </rPr>
      <t>suspi</t>
    </r>
    <r>
      <rPr>
        <b/>
        <sz val="11"/>
        <rFont val="Arial"/>
        <family val="2"/>
      </rPr>
      <t xml:space="preserve"> </t>
    </r>
  </si>
  <si>
    <t>Tsusp i (meses)</t>
  </si>
  <si>
    <t>GOBERNACIÓN DEL ATLÁNTICO</t>
  </si>
  <si>
    <t>0108*2018*000079</t>
  </si>
  <si>
    <t>INTERVENTORÍA TÉCNICA, ADMINISTRATIVA, FINANCIERA Y AMBIENTAL DE LAS VÍAS DEL GRUPO VIII DE LA LICITACIÓN PÚBLICA No. LP-DG-007-2017 CUYO OBJETO ES: "MEJORAMIENTO DE LA VÍA SANTO TOMÁS - EL UVITO, CONSTRUCCIÓN PUENTE EL UVITO, CONSTRUCCIÓN PUENTE EL UVITO, REVISIÓN ESTUDIOS Y DISEÑOS"</t>
  </si>
  <si>
    <t>CONSORCIO TRANSFORMAR VIAL 18-02</t>
  </si>
  <si>
    <t>¿CADA INTEGRANTE DE PROPONENTE PLURAL APORTAN CONTRATO?  (SI; NO; NA)</t>
  </si>
  <si>
    <t>FACTURACION MENSUAL TOTAL</t>
  </si>
  <si>
    <t>PROMEDIO FACTURACIÓN MENSUAL DEL PROPONENTE (PFMP)</t>
  </si>
  <si>
    <t>PROPONENTE CUMPLE CON LAS ACTIVIDADES a) y b)? (SI; NO)</t>
  </si>
  <si>
    <t>VALOR PUNTAJE POR EXPERIENCIA DEL PROPONENTE</t>
  </si>
  <si>
    <t>CPS INFRAESTRUCTURAS COLOMBIA SAS</t>
  </si>
  <si>
    <t>GENERALITAT VALENCIANA</t>
  </si>
  <si>
    <t>n/s</t>
  </si>
  <si>
    <t>ASISTENCIA TÉCNICA PARA LA EJECUCIÓN DEL PROYECTO DE CONSTRUCCIÓN DEL TERCER CARRIL DE LA AUTOVÍA DE LLIRIA, TRAMO TVV‐BYPASS. PATERNA (VALENCIA)</t>
  </si>
  <si>
    <t>CPS INGENIEROS OBRA CIVIL Y MEDIO AMBIENTE SL</t>
  </si>
  <si>
    <t>GENERALITAT VALENCIANA ‐ AYUNTAMIENTO DE VALENCIA</t>
  </si>
  <si>
    <t>DIRECCIÓN DE OBRA Y COORDINACIÓN DE SEGURIDAD Y SALUD DE LAS OBRAS DE RENOVACIÓN DE INFRAESTRUCTURAS VIARIAS Y MEJORAS MEDIOAMBIENTALES Y DE ACCESIBILIDAD CON PAVIMENTO FONOABSORBENTE EN LA AVENIDA PRIMADO REIG</t>
  </si>
  <si>
    <t>NO</t>
  </si>
  <si>
    <t>IDU-1836-2013</t>
  </si>
  <si>
    <t>INTERVENTORÍA TÉCNICA, ADMINISTRATIVA, FINANCIERA, LEGAL, SOCIAL Y SEGURIDAD INDUSTRIAL, SALUD OCUPACIONAL Y MEDIO AMBIENTE PARA LAS OBRAS Y ACTIVIDADES PARA LA CONSERVACIÓN DE LA MALLA VIALARTERIAL NO TRONCAL, EN EL GRUPO 2, FASE 1 — 2013, A PRECIO GLOBAL CON AJUSTE, EN LA CIUDAD DE BOGOTÁ D.C.</t>
  </si>
  <si>
    <t>DIEGO FERNANDO FONSECA CHAVEZ</t>
  </si>
  <si>
    <t>ELSA MARIA RUEDA LANDINEZ INGENIERIA SAS</t>
  </si>
  <si>
    <t>INSTITUTO DE INFRAESTRUCTURA Y CONCESIONES DE CUNDINAMARCA- ICCU</t>
  </si>
  <si>
    <t>ICCU-023-2014</t>
  </si>
  <si>
    <t>EJECUTAR LA INTERVENTORÍA TÉCNICA, ADMINISTRATIVA Y FINANCIERA AL CONTRATO DE OBRA ICCU-843-13. CUYO OBJETO ES "EL MEJORAMIENTO Y REHABILITACIÓN DE LA VÍA SUPATA - SAN FRANCISCO, (SECTOR BUENOS AIRES K0+000 HASTA EL K3+500) K0+000 UBICADO EN EL SECTOR LA TRINIDAD DEL MUNICIPIO DE SUPATA CUNDINAMARCA</t>
  </si>
  <si>
    <t>ELSA MARIA RUEDA LANDINEZ</t>
  </si>
  <si>
    <t>751 de 2005</t>
  </si>
  <si>
    <t>INTERVENTORÍA TÉCNICA Y ADMINISTRATIVA PARA LA PAVIMENTACION VIÍA HATO COROZAL SAN SALVADOR (K0+000 AL K17+670) MUNICIPIO DE HATOCOROZAL -</t>
  </si>
  <si>
    <t>AEROCIVIL</t>
  </si>
  <si>
    <t>13000279-OJ-2013</t>
  </si>
  <si>
    <t>INTERVENTORIA PARA EL MEJORAMIENTO DE LAS ZONAS DE SEGURIDAD Y PISTA EN LA CABECERA 17 Y SU CONEXIÓN MEDIANTE LA PROLONGACION DE LA CALLE DE RODAJE CHARLIE DEL AEROPUERTO PALONEGRO DE LA CIUDAD DE BUCARAMANGA SANTANDER.</t>
  </si>
  <si>
    <t>UNIÓN TEMPORAL ARCA</t>
  </si>
  <si>
    <t>INSTITUTO DE
DESARROLLO
URBANO
IDU</t>
  </si>
  <si>
    <t>IDU-BM-236-2004</t>
  </si>
  <si>
    <t>INTERVENTORÍA TÉCNICA, ADMINISTRATIVA, FINANCIERA, SOCIAL Y AMBIENTAL PARA LA CONSTRUCCIÓN, REHABILITACIÓN Y CONSERVACIÓN DE VÍAS PARA RUTAS ALIMENTADORAS DEL SISTEMA TRANSMILENIO ZONA 4, GRUPO 2 EN BOGOTÁ, D.C.</t>
  </si>
  <si>
    <t>IDU 42 de 2007</t>
  </si>
  <si>
    <t>INTERVENTORÍA TÉCNICA, ADMINISTRATIVA, FINANCIERA Y AMBIENTAL AL DIAGNÓSTICO Y MANTENIMIENTO DE VÍAS, ZONA SUR A TRAVÉS DEL PROGRAMA BRIGADA DE
REACCIÓN VIAL, EN BOGOTÁ D.C.</t>
  </si>
  <si>
    <t>FONDO DE PROGRAMAS ESPECIALES PARA LA PAZ</t>
  </si>
  <si>
    <t>069 DE 2014</t>
  </si>
  <si>
    <t>INTERVENTORÍA TÉCNICA, ADMINISTRATIVA, FINANCIERA Y AMBIENTAL PARA LAS OBRAS DE MEJORAMIENTO, REHABILITACIÓN Y RECUPERACIÓN DE LA VÍA QUE DEL
MUNICIPIO DE ATACO CONDUCE ALMUNICIPIO DE PLANADAS EN EL SECTOR EL K13+000 AL K13+800, EN EL SUR DEL DEPARTAMENTO DEL TOLIMA.</t>
  </si>
  <si>
    <t>A raiz de la observación realizada por el proponente No. 17, se evidencia que se registró la fecha de terminación del contrato de manera errónea al no considerar que el contrato ejecutó la interventoría a varios sectores, siendo el periodo de ejecución del contrato No. 069 de 2014, el registrado en la última página del documento denominado "Acta de entrega y recibo final del contrato 069 de 2014", es decir, desde el 19 de septiembre de 2014 al 15 de abril de 2015.
Lo anterior conforme con el literal D del numeral 4.1.1.1 del pliego de condiciones</t>
  </si>
  <si>
    <t>BOGOTÁ D.C.- ALCALDÍA LOCAL DE KENNEDY</t>
  </si>
  <si>
    <t>CIN - 205-2011</t>
  </si>
  <si>
    <t>DESARROLLAR LA INTERVENTORÍA TÉCNICA, ADMINISTRATIVA, AMBIENTAL, SOCIAL, JURÍDICA Y FINANCIERA A CONTRATOS DE OBRA PÚBLICA RESULTADO DE LAS LICITACIONES FDLK-LP-05-2011 Y FDLK-LP-07-2011</t>
  </si>
  <si>
    <t>JORGE ALVARO SACHEZ BLANCO</t>
  </si>
  <si>
    <t>ARM CONSULTING LTDA</t>
  </si>
  <si>
    <t>AGENCIA PARA LA INFRAESTRUCTURA DEL META - AIM</t>
  </si>
  <si>
    <t>127-2014</t>
  </si>
  <si>
    <t>CONTROL MEDIANTE INTERVENTORÍA TÉCNICA, LEGAL, ADMINISTRATIVA, FINANCIERA Y AMBIENTAL AL MEJORAMIENTO CON BASE ESTABILIZADA EN CRUDO DE CASTILLA DE LA VÍA QUE CONDUCE DESDE TIENDA NUEVA EN EL MUNICIPIO DE PUERTO CONCORDIA HASTA EL MUNICIPIO DE MAPIRIPÁN, META. ORINOQUIA.</t>
  </si>
  <si>
    <t>CONSORCIO INTERVIA MAPIRIPAN 2014</t>
  </si>
  <si>
    <t>El 27 de julio de 2020, el Proponente solicita la corrección del valor del contrato conforme con lo registrado en el RUP. A lo cual, se confirma que efectivamente se tomó erróneamente el dato y se procede a corregir.</t>
  </si>
  <si>
    <t>INSTITUTO DE DESARROLLO DEL META - IDM</t>
  </si>
  <si>
    <t>400-2009</t>
  </si>
  <si>
    <t>INTERVENTORÍA TÉCNICA, ADMINISTRATIVA, FINANCIERA Y PRESUPUESTAL AL SEGUNDO SEGMENTO DE OBRAS CONTRATADAS Y POR CONTRATAR POR PARTE DEL INSTITUTO DE DESARROLLO DEL META</t>
  </si>
  <si>
    <t>CONSORCIO INTEGRALES</t>
  </si>
  <si>
    <t>09-00-31-07-059-16</t>
  </si>
  <si>
    <t>INTERVENTORÍA PARA LA CONSTRUCCIÓN DE LOS INTERCAMBIOS VIALES DE BENEDICTINOS - LOMA EL ESMERALDAL CON TRANSVERSAL INTERMEDIA - PIEDRA DE LA AYURÁ ETAPA 1. MUNICIPIO DE ENVIGADO</t>
  </si>
  <si>
    <t>09-00-31-07-107-16</t>
  </si>
  <si>
    <t>INTERVENTORIA PARA OBRAS DE PAVIMENTACIÓN EN DIFERENTES SITIOS DE LA ZONA URBANA Y RURAL DEL MUNICIPIO DE ENVIGADO 2016-2017</t>
  </si>
  <si>
    <t>09-00-31-07-013-15</t>
  </si>
  <si>
    <t>INTERVENTORÍA PARA LA CONSTRUCCIÓN OBRAS DEL MEGA PLAN DE MOVILIDAD Y APOYO A LA GERENCIA DE LAS SIGUIENTES OBRAS: AMPLIACIÓN DE LA CALLE 37 SUR (LOMA DEL ESCOBERO) ENTRE LA DIAGONAL 31 Y LA URBANIZACIÓN CASAS DEL CAMINO, CONSTRUCCIÓN DE LA PARALELA DE LA QUEBRADA LA AYURÁ (CALZADA NORTE) ENTRE LA CARRERA 48 (AV. LAS VEGAS) Y LA CARRERA 50 (SISTEMA VIAL DEL RÍO) Y CONSTRUCCIÓN DEL INTERCAMBIO VIAL DE LA SALLE (CARRERA 43A X CALLE 25 SUR), ETAPA 1, MUNICIPIO DE ENVIGADO, DEPARTAMENTO DE ANTIOQUIA</t>
  </si>
  <si>
    <t>INSTITUTO DE DESARROLLO URBANO -IDU-</t>
  </si>
  <si>
    <t>034 DE 1996</t>
  </si>
  <si>
    <t>INTERVENTORÍA TÉCNICA Y ADMINISTRATIVA PARA LA CONSTRUCCIÓN DE LAS VÍAS DE ACCESO A BARRIOS EN LA LOCALIDAD DE USME, ASÍ: ACCESO UE-3 (BARRIOS EL VIRREY Y LOS COMUNEROS), ACCESO UE-5 (BARRIOS ALFONSO LÓPEZ, LA REFORMA, LA ALBORADA Y EL PROGRESO), ACCESO UE-6 (BARRIOS SERRANÍAS, LORENZO ALCANTUZ Y ANTONIO JOSÉ DE SUCRE) Y
ACCESO UE-8 (BARRIOS EL DANUBIO Y LA
FISCALA), EN BOGOTÁ</t>
  </si>
  <si>
    <t>CACERES BOLAÑOS Y CIA LTDA</t>
  </si>
  <si>
    <t>INSTITUTO NACIONAL
DE VÍAS - INVIAS</t>
  </si>
  <si>
    <t>1569 DE 2009</t>
  </si>
  <si>
    <t>INTERVENTORÍA TÉCNICA, LEGAL, FINANCIERA, ADMINISTRATIVA, AMBIENTAL, PREDIAL Y SOCIAL DEL PROYECTO: “ESTUDIOS Y DISEÑOS, GESTIÓN SOCIAL, PREDIAL, AMBIENTAL Y MEJORAMIENTO DEL PROYECTO CORREDOR DEL SUR Y MARGINAL DE LA SELVA"</t>
  </si>
  <si>
    <t>CONSORCIO SELVA Y SUR</t>
  </si>
  <si>
    <t>1082 - 2013</t>
  </si>
  <si>
    <t>INTERVENTORIA TECNICA, ADMINISTRATIVA, FINANCIERA Y AMBIENTAL PARA MANTENIMIENTO DE VIAS, PROGRAMA CAMINOS DE PROSPERIDAD DEPARTAMENTO DEL VALLE DEL CAUCA, MODULO 2</t>
  </si>
  <si>
    <t>CONSORCIO PALMIRA 9</t>
  </si>
  <si>
    <t>GOBERNACION DE SUCRE</t>
  </si>
  <si>
    <t>CM 015-2014</t>
  </si>
  <si>
    <t>INTERVENTORIA TECNICA, ADMINISTRATIVA, FINANCIERA Y AMBIENTAL PARA LAS OBRAS DE MEJORAMIENTO EN PAVIMENTO ASFALTICO DE LA VIA SINCELEJO - EL CERRITO DE LA PALMA - LAGUNA LA FLOR - SAN ANTONIO DE PALMITO, MUNICIPIOS DE SINCELEJO Y SAN ANTONIO DE PALMITO EN EL DEPARTAMENTO DE SUCRE</t>
  </si>
  <si>
    <t>CONSORCIO OMEGA</t>
  </si>
  <si>
    <t>COMPAÑIA DE PROYECTOS TECNICOS CPT SA</t>
  </si>
  <si>
    <t>133-1987</t>
  </si>
  <si>
    <t>INTERVENTORIA DE LAS OBRAS DE CONSTRUCCIÓN DEL SECTOR YOPAL - RIO TOCARIA DE LA CARRETERA YOPAL - LA CABUYA</t>
  </si>
  <si>
    <t>8000301-OH-2008</t>
  </si>
  <si>
    <t>INTERVENTORIA TECNICA Y ADMINISTRATIVA PARA LAS OBRAS DE MANTENIMIENTO DE LA PISTA DEL AEROPUERTO DE SANTIAGO VILA DE FLANDES</t>
  </si>
  <si>
    <t>1937 DE 2004</t>
  </si>
  <si>
    <t>INTERVENTORIA DEL MEJORAMIENTO Y MANTENIMIENTO INTEGRAL DE LA RUTA LA MATA-BOSCONIA DEL CORREDOR VIAL DEL MAGDALENA RUTA 45 TRAMO 4515 Y 4516.</t>
  </si>
  <si>
    <t>CONSORCIO INTERVENTORES ASOCIADOS 1</t>
  </si>
  <si>
    <t>16000347-H3-2 DE 2016</t>
  </si>
  <si>
    <t>REALIZAR LA INTERVENTORIA TECNICA Y ADMINISTRATIVA PARA EL ESTUDIO, DISEÑO DISEÑOS Y MANTENIMIENTO DE LA PISTA DEL AEROPUERTO ALBERTO JARAMILLO SANCHEZ DE OTU - REMEDIOS-ANTIOQUIA.</t>
  </si>
  <si>
    <t>CONSORCIO PI AEROPUERTOS</t>
  </si>
  <si>
    <t>El Proponente aclara lo requerido</t>
  </si>
  <si>
    <t>2220 DE 2012</t>
  </si>
  <si>
    <t>INTERVENTORÍA PARA EL MANTENIMIENTO Y REHABILITACIÓN DE LAS CARRETERAS: BUCARAMANGA - SAN ALBERTO, SECTOR RIONEGRO - SAN ALBERTO RUTA 45A08; BARRANCABERMEJA - CRUCE RUTA 45 (LA LIZAMA), RUTA 66, TRAMO 6601 Y CRUCE RUTA 45 (LA FORTUNA) - LEBRIJA RUTA 66, TRAMO 6602 . DEPARTAMENTO DE SANTANDER.</t>
  </si>
  <si>
    <t>ARREDONDO MADRID INGENIEROS 
CIVILES A.I.M LIMITADA.</t>
  </si>
  <si>
    <t>95-CI-21-060</t>
  </si>
  <si>
    <t>INTERVENTORÍA AMPLIACIÓN, RECTIFICACIÓN Y PAVIMENTACIÓN CARRETERA "LA METIDA -CONCORDIA.</t>
  </si>
  <si>
    <t>PEB CONSULTORES SAS</t>
  </si>
  <si>
    <t>INFICALDAS</t>
  </si>
  <si>
    <t>PV-025- 2011</t>
  </si>
  <si>
    <t>INTERVENTORÍA TÉCNICA,    ADMINISTRATIVA, FINANCIERA Y AMBIENTAL DEL CONTRATO DE OBRA PUBLICA    PARA    LA    RECONSTRUCCIÓN, PAVIMENTACIÓN Y/O REPAVIMENTACIÓN, EN EL TRAMO VIAL VICTORIA - MARQUETALIA, INCLUIDOS EN EL PROGRAMA DE PAVIMENTACIÓN DE LA GOBERNACIÓN DE CALDAS.</t>
  </si>
  <si>
    <t>ALCALDIA DE VILLAVICENCIO</t>
  </si>
  <si>
    <t>1767-2013</t>
  </si>
  <si>
    <t>INTERVENTORIA TECNICA, ADMINISTRATIVA Y FINANCIERA AL MEJORAMIENTO Y PRESERVACION DE LA ESTRUCTURA VIAL EN LA CIUDAD DE VILLAVICENCIO</t>
  </si>
  <si>
    <t>UNION TEMPORAL VIAL 2013.</t>
  </si>
  <si>
    <t>1582-2015</t>
  </si>
  <si>
    <t>INTERVENTORIA TECNICA, ADMINISTRATIVA Y FINANCIERA PARA EL PROYECTO DE ADECUACION VIAL DEL MUNICIPIO DE VILLAVICENCIO</t>
  </si>
  <si>
    <t>637 de 2012</t>
  </si>
  <si>
    <t>INTERVENTORÍA INTEGRAL QUE INCLUYE PERO NO SE LIMITA A LA INTERVENTORÍA TÉCNICA, FINANCIERA, ADMINISTRATIVA, JURÍDICA, GESTIÓN SOCIAL, PREDIAL Y AMBIENTAL PARA EL MEJORAMIENTO DEL PROYECTO VILLAGARZÓN - SAN JOSÉ DEL FRAGUA FASE II EN EL PROGRAMA DE CORREDORES PRIORITARIOS PARA LA PROSPERIDAD - MODULO 3.</t>
  </si>
  <si>
    <t>CONSORCIO PRIORITARIOS 004</t>
  </si>
  <si>
    <t>677 de 2012</t>
  </si>
  <si>
    <t>INTERVENTORÍA INTEGRAL QUE INCLUYE PERO NO SE LIMITA A LA INTERVENTORÍA TÉCNICA, FINANCIERA, ADMINISTRATIVA, JURÍDICA, GESTIÓN SOCIAL, PREDIAL Y AMBIENTAL PARA EL MEJORAMIENTO DEL PROYECTO CORREDOR TRANSVERSAL CENTRAL DEL PACIFICO FASE II EN EL PROGRAMA DE CORREDORES PRIORITARIOS PARA LA PROSPERIDAD..</t>
  </si>
  <si>
    <t>CONSORCIO PRIORITARIOS 003</t>
  </si>
  <si>
    <t>902 de 2001</t>
  </si>
  <si>
    <t>INTERVENTORÍA DE LAS OBRAS DE PAVIMENTACIÓN DEL SECTOR K14+400 - K20+058 - K181+549 - K178+200, DE LA CARRETERA CAUCASIA - ZARAGOZA</t>
  </si>
  <si>
    <t>INSTITUTO NACIONAL DE VIAS</t>
  </si>
  <si>
    <t>4223 DE 2013</t>
  </si>
  <si>
    <t>INTERVENTORIA DE LAS OBRAS DE MEJORAMIENTO Y MANTENIMIENTO DE LAS CARRETERA IPIALES - GUACHUCAL - EL ESPINO RUTAS 0801 Y 1701, DEPARTAMENTO DE NARIÑO</t>
  </si>
  <si>
    <t xml:space="preserve">ALCALDIA DE MEDELLIN </t>
  </si>
  <si>
    <t>46000763 95 DE 2018</t>
  </si>
  <si>
    <t>INTERVENTORÍA AL MANTENIMIENTO DE VÍAS Y DEMÁS OBRAS COMPLEMENTARIAS EN LOS CORREGIMIENTOS DEL MUNICIPIO DE MEDELLÍN, PLAN VIAL RURAL</t>
  </si>
  <si>
    <t>026 DE 1997</t>
  </si>
  <si>
    <t>INTERVENTORIA TECNICA Y ADMINISTRATIVA PARAELDISEÑO Y LA CONSTRUCCION DE LOS ACCESOS A LOS BARRIOS CANTALEJO Y GUILLERMO NUÑEZ EN LA LOCALIDAD DE SUBA</t>
  </si>
  <si>
    <t>2019-SS-20-0002</t>
  </si>
  <si>
    <t>ECONORDESTE - INTERVENTORÍA TÉCNICA, ADMINISTRATIVA, AMBIENTAL, FINANCIERA Y LEGAL PARA EL MEJORAMIENTO, REHABILITACIÓN Y MANTENIMIENTO DE LAS VIAS DE LA SUBREGIÓN NORDESTE Y MAGDALENA MEDIO DEL DEPARTAMENTO DE ANTIOQUIA</t>
  </si>
  <si>
    <t>CONSORCIO ECONORDESTE</t>
  </si>
  <si>
    <t>ECG INGENIERIA SAS</t>
  </si>
  <si>
    <t>MINISTERIO DE FOMENTO</t>
  </si>
  <si>
    <t>12-CO-4020</t>
  </si>
  <si>
    <t>ASISTENCIA TÉCNICA PARA EL CONTROL Y VIGILANCIA AUTOVIA DE MALAGA A-45: TRAMO ENCINAS REALES (S)- BENAMEJÍ (S)</t>
  </si>
  <si>
    <t>12-SA-4010</t>
  </si>
  <si>
    <t>ASISTENCIA TÉCNICA PARA EL CONTROL Y VIGILANCIA AUTOVIA RUTA DE LA PLATA A-66, DE GIJÓN A SEVILLA, P.K.360 AL 376. TRAMO CUATRO CALZADAS-MONTEJO, PROVINCIA DE SALAMANCA</t>
  </si>
  <si>
    <t>INGENOBRAS CONSTRUCCION Y CONSULTORIA SAS - INGENOBRAS SAS</t>
  </si>
  <si>
    <t>GOBERNACION DEL CESAR</t>
  </si>
  <si>
    <t>02-1455-12</t>
  </si>
  <si>
    <t>INTERVENTORIA TÉCNICA, ADMINISTRATIVA , FINANCIERA Y AMBIENTAL A LA PAVIMENTACIÓN DE 13,080 M CON MDC-2, REPARTIDOS EN LOS TRAMOS K2+060 - K3+937; K4+012 - K11+600; K13+000 - K16+615, VÍA TAMALAMEQUE - EL BURRO, EN EL DEPARTAMENTO DEL CESAR.</t>
  </si>
  <si>
    <t>CONSORCIO INTERVIAS</t>
  </si>
  <si>
    <t>DISTRITO DE BARRANQUILLA</t>
  </si>
  <si>
    <t>INT-002-98</t>
  </si>
  <si>
    <t>INTERVENTORIA EXTERNA PARA LA PAVIMENTACION DE VIAS ENTRE CARRERAS 29 Y 26 Y ENTRE LA CALLE 14 Y EL CAÑO DE LA AHUYAMA, LA CALLE 6 EN TRE CARRERAS 30 Y 28, Y LA CALLE 10 EN TRE CARRERAS 30 Y 29.</t>
  </si>
  <si>
    <t>AREA METROPOLITANA DE BARRANQUILLA</t>
  </si>
  <si>
    <t>003 DE 98</t>
  </si>
  <si>
    <t>INTERVENORIA TÉCNICA Y ADMINISTRATIVA DE LAS OBRAS DE PAVIMENTACIÓN DE LA CALLE 14 ENTRE CARRERAS 17B Y 23, Y DE LA CARRERA 33 ENTRE CALLES 17 Y 21, DE LA CIUDAD DE BARRANQUILLA</t>
  </si>
  <si>
    <t xml:space="preserve">
IDU-586 DE
1999</t>
  </si>
  <si>
    <t>INTERVENTORÍA TECNICA, ADMINISTRATIVA Y FINANCIERA, A PRECIO GLOBAL FIJO, PARA LAS OBRAS DE RECUPERACION, MANTENIMIENTO, REHABILITACION Y/O CONSTRUCCION DE VIAS EN LAS LOCALIDADES DE ENGATIVA Y SUBA, EN SANTA FE DE BOGOTA.</t>
  </si>
  <si>
    <t>UNION TEMPORAL SABANA II</t>
  </si>
  <si>
    <t>JOSÉ ALBERTO ROJAS PRIETO</t>
  </si>
  <si>
    <t>AERONAUTICA CIVIL</t>
  </si>
  <si>
    <t>15000209-OH DE 2015</t>
  </si>
  <si>
    <t>REALIZAR LA INTERVENTORÍA TÉCNICA Y ADMINISTRATIVA PARA EL ESTUDIO,  DISEÑO Y MANTENIMIENTO DE PISTA, PLATAFORMA Y CALLE DE RODAJE DEL AEROPUERTO SANTIAGO PÉREZ QUIROZ Y GABRIEL VARGAS SANTOS - DEPARTAMENTO DE ARAUCA</t>
  </si>
  <si>
    <t>CONSORCIO AEROPUERTO ARAUCA 2015</t>
  </si>
  <si>
    <t>13000280-OJ-2013</t>
  </si>
  <si>
    <t>INTERVENTORIA TECNICA Y ADMINISTRATIVA PARA LA PAVIMENTACION DE LA PISTA DEL AEROPUERTO DE IPIALES</t>
  </si>
  <si>
    <t>CONSORCIO INFRAESTRUCTURAS AEROPORTUARIAS</t>
  </si>
  <si>
    <t>MUNICIPIO DE ITAGUI</t>
  </si>
  <si>
    <t>SI-304-2013</t>
  </si>
  <si>
    <t>INTERVENTORIA TECNICA, ADMINISTRATIVA, FINANCIERA Y AMBIENTAL PARA LAS ADECUACIONES URBANISTICAS, PAISAJISTICAS E HIDRAULICAS DEL PARQUE DEL ARTISTA, REMODELACION Y RECUPERACION DEL PARQUE DE LAS CHIMENEAS COMUNA 4 Y OTRAS OBRAS DE URBANISMO EN EL MUNICIPIO DE ITAGÜÍ</t>
  </si>
  <si>
    <t>CAMILO ANDRÉS ÁNGEL SALDARRIAGA</t>
  </si>
  <si>
    <t>MUNICIPIO DE MEDELLIN</t>
  </si>
  <si>
    <t>4600066083 de 2016</t>
  </si>
  <si>
    <t>INTERVENTORÍA A LAS OBRAS DE PARCHEO DE HUECOS Y DE FALLOS EN LA MALLA VIAL DE LA CIUDAD</t>
  </si>
  <si>
    <t>2009-CC-20-065</t>
  </si>
  <si>
    <t xml:space="preserve">INTERVENTORÍA TÉCNICA, ADMINISTRATIVA Y AMBIENTAL PARA LA PAVIMENTACIÓN DE LA VIA SAN PEDRO DE URABÁ - EL TRES </t>
  </si>
  <si>
    <t>CONSORCIO VÍAS DE URABA 2008</t>
  </si>
  <si>
    <t>SEDIC SA</t>
  </si>
  <si>
    <t>IDU-139-2000</t>
  </si>
  <si>
    <t>INTERVENTORÍA TÉCNICA, ADMINISTRATIVA Y FINANCIERA, A PRECIO GLOBAL FIJO, DE LA CONSTRUCCIÓN DE LA AVENIDA CIUDAD DE VILLAVICENCIO DESDE LA AVENIDA PRIMERO DE MAYO HASTA LA  AUTOPISTA SUR E INTERVENTORÍA DE DISEÑO Y CONSTRUCCIÓN DEL VIADUCTO SOBRE EL RÍO TUNJUELITO EN SANTA FÉ DE BOGOTÁ</t>
  </si>
  <si>
    <t>CONSORCIO ACI LTDA - SEDIC S.A.</t>
  </si>
  <si>
    <t>IDU-46-2004</t>
  </si>
  <si>
    <t>EL INTERVENTOR SE OBLIGA PARA CON EL IDU A LLEVAR A CABO A PRECIO GLOBAL FIJO LA INTERVENTORÍA TÉCNICA, ADMINISTRATIVA. FINANCIERA Y AMBIENTAL PARA LA CONSTRUCCIÓN DE LA AVENIDA SANTA FÉ (CARRERA 112) DE LA CALLE 73 A SUR A LA AVENIDA CIRCUNVALAR DEL SUR EN BOGOTÁ D.C., DE ACUERDO CON LA DESCRIPCIÓN, ESPECIFICACIONES Y DEMÁS CONDICIONES ESTABLECIDAS EN LOS TÉRMINOS DE REFERENCIA, Y SU PROPUESTA PRESENTADA EL 1 DE ABRIL DE 2004, DOCUMENTOS QUE HACEN PARTE INTEGRAL DE ESTE CONTRATO.</t>
  </si>
  <si>
    <t>CONSORCIO SANTA FE</t>
  </si>
  <si>
    <t>INVÍAS</t>
  </si>
  <si>
    <t>145 DE 1987 Y ADICIONALES</t>
  </si>
  <si>
    <t>INTERVENTORÍA DE LAS OBRAS DE CON§.TRUCCIÓN DE LA CARRETERA: LA LIZAMA- SAN ALBERTO</t>
  </si>
  <si>
    <t>SEDIC S.A.</t>
  </si>
  <si>
    <t>COMPAÑÍA CONSULTORA COLOMBIANA TRIPLE C SAS</t>
  </si>
  <si>
    <t>INSITITUTO DE DESARROLLO URBANO</t>
  </si>
  <si>
    <t>IDU-2254 DE 2013</t>
  </si>
  <si>
    <t>INTERVENTORÍA TECNICA PARA LAS VIAS INTERMEDIAS Y LOCALES QUE EJECUTAN LOS URBANIZADORES Y/O TERCEROS EN BOGOTA, D.C.</t>
  </si>
  <si>
    <t>CIVING INGENIEROS CONTRATISTAS SAS</t>
  </si>
  <si>
    <t>TRANSMILENIO</t>
  </si>
  <si>
    <t>264 DE 2009</t>
  </si>
  <si>
    <t>INTERVENTORÍA TÉCNICA, ADMINISTRATIVA Y FINANCIERA DEL CONTRATO DE LAS OBRAS DE MANTENIMIENTO DE LA INFRAESTRUCTURA DEL SISTEMA DE TRANSPORTE MASIVO DE PASAJEROS DE LA CIUDAD DE BOGOTÁ</t>
  </si>
  <si>
    <t>4600000897 de 2013</t>
  </si>
  <si>
    <t>INTERVENTORIA TECNICA, AMBIENTAL, ADMINISTRATIVA, FINANICERA Y LEGAL PARA EL MANTENIMIENTO, REHABILITACION Y MEJORAMIENTO EN ESTABILIZACION PARA VIAS EN AFIRMADO A CARGO DEL DEPARTAMENTO DE ANTIOQUIA</t>
  </si>
  <si>
    <t>No se evidencia, que se hubiese adelantado la interventoría de la actividad de pavimento asfaltico en caliente o concreto hidraulico, tal como lo establece el pliego de condiciones en su numeral 4.1.1 EXPERIENCIA DEL PROPONENTE, literal A.</t>
  </si>
  <si>
    <t>MUNICIPIO DE OROCUE</t>
  </si>
  <si>
    <t>2313-0284/2013</t>
  </si>
  <si>
    <t>INTERVENTORIA TECNICA ADMINISTRATIVA FINANCIERA Y LEGAL A LA CONSTRUCCION DE LA PAVIMENTACION EN LA VIA BARQUEREÑA - OROCUE K27+980 AL K38+0000 DEL MUNICIPIO DE OROCUE DEPARTAMENTO DE CASANARE</t>
  </si>
  <si>
    <t>PEDRAZA JIMENEZ ANTONIO JOSE</t>
  </si>
  <si>
    <t>MUNICIPIO DE TUNJA</t>
  </si>
  <si>
    <t>264-1997</t>
  </si>
  <si>
    <t>INTERVENTORIA TECNICA ADMINISTRATIVA PARA LA CONSTUCCION DE LA VARIANTE DE TUNJA K8+0326 AL K9+0500 VIA LOS PATRIOTAS - COOSERVICIOS CIUDAD DE TUNJA</t>
  </si>
  <si>
    <t>PASTRANA SIERRA JOSE FRANCISCO</t>
  </si>
  <si>
    <t>MUNICIPIO DE MALAMBO - ATLANTICO</t>
  </si>
  <si>
    <t>0015-2003</t>
  </si>
  <si>
    <t>INTERVENTORIA ADMINISTRATIVA TECNICA Y LEGAL CONTABLE A LA CONSTRUCCION EN PAVIMENTO RIGIDO DEL ANILLO VIAL URBANO Y CONSTRUCCION EN ASFALTO Y BACHEO DE LA VIA ORIENTAL.</t>
  </si>
  <si>
    <t>ALCALDIA MUNICIPAL DE TOCANCIPA</t>
  </si>
  <si>
    <t>313 DE 2016</t>
  </si>
  <si>
    <t>CONSULTORÍA PARA LA INTERVENTORIA TECNICA, ADMINISTRATIVA, FINANCIERA, CONTABLE, AMBIENTAL PARA LA CONSTRUCCION, REHABILITACION, ADECUACION DE LA VIA DE PIEDEMONTE DE LA VEREDA CANAVITA DEL MUNICIPIO DE TOCANCIPA</t>
  </si>
  <si>
    <t>INGENIERIA DE PROYECTOS SAS</t>
  </si>
  <si>
    <t>METRO CALI S.A</t>
  </si>
  <si>
    <t>MC-IT-01-11</t>
  </si>
  <si>
    <t>INTERVENTORIA TÉCNICA, ADMINISTRATIVA, FINANCIERA, SOCIAL Y AMBIENTAL PARA LA CONSTRUCCIÓN DE LOS CARRILES MIXTOS Y EL ESPACIO PÚBLICO DEL CORREDOR TRONCAL DE LA CALLE 5/ CARRERA 100 ENTRE CARRERA 56 Y CALLE 20 Y OBRAS COMPLEMENTARIAS DEL SISTEMA INTEGRADO DE TRANSPORTE MASIVO DE PASAJEROS DE SANTIAGO CALI.</t>
  </si>
  <si>
    <t>90 DE 1993</t>
  </si>
  <si>
    <t>INTERVENTORIA DE LAS OBRAS DE AMPLIACIÓN Y RECTIFICACIÓN DE LA CARRERA 51B SECTOR VIA CIRCUNVALAR-EMPALME AUTOPISTA PUERTO COLOMBIA. 2) CONSTRUCCIÓN PUENTE INTERSECCIÓN VIA CIRCUNVALAR CARRERA 51B Y SUS ACCESOS VIALES. 3) CONSTRUCCIÓN RED PRIMARIA E ILUMINACIÓN DEL SEPARADOR CENTRAL DE LA CARRERA 51B. TRAM COMPRENDIDO ENTRE LA VIA CIRCUNVALAR Y LA UNIVERSIDAD DEL ATLÁNTICO.</t>
  </si>
  <si>
    <t>INSTITUTO
NACIONAL DE VIAS -
INVIAS</t>
  </si>
  <si>
    <t>4233-2013</t>
  </si>
  <si>
    <t>INTERVENTORIA PARA EL MEJORAMIENTO, GESTION SOCIAL, PREDIAL Y AMBIENTAL DEL PROYECTO: EL EMPATE - LA UNION, RUTA 2501A EN EL TRAMO DEL PR60+240 AL PR66+090 - EN EL DEPARTAMENTO DE NARIÑO.</t>
  </si>
  <si>
    <t>CONSORCIO MDG 138</t>
  </si>
  <si>
    <t>INFRAESTRUCTURAS E INGENIERIA GLOBAL SAS</t>
  </si>
  <si>
    <t>GRUPO QUIMBAYA INGENIEROS SAS</t>
  </si>
  <si>
    <t>MUNICIPIO DE PEREIRA</t>
  </si>
  <si>
    <t>1425-2013</t>
  </si>
  <si>
    <t>INTERVENTORÍA TÉCNICA, ADMINISTRATIVA, FINANCIERA, LEGAL Y AMBIENTAL AL CONTRATO DE CONSTRUCCIÓN DE LA CALLE DE LA FUNDACIÓN Y SU ENTORNO URBANO DENTRO DEL MARCO PARA LA CELEBRACIÓN DE LOS 150 AÑOS DEL MUNCIPIO DE PEREIRA</t>
  </si>
  <si>
    <t>INSERT SAS SOCIO /ASOCIADO</t>
  </si>
  <si>
    <t>DEPARTAMENTO
DEL QUINDIO</t>
  </si>
  <si>
    <t>011-2010</t>
  </si>
  <si>
    <t>INTERVENTORÍA TÉCNICA Y ADMINISTRATIVA, FINANCIERA Y AMBIENTAL PARA LA OBRA PAVIMENTACIÓN VÍA QUIMBAYA-PUERTO ALEJANDRÍA COD. 29BQN 06 (NI 43) 2DO ORDEN MUNICIPIO DE QUIMBAYA, PAVIMENTACIÓN VÍA SALENTO. CÓCORA COD 29 QN01-1 (NI 40) 2DO ORDEN MUNICIPIO DE CIRCASIA. PAVIMENTACIÓN VÍA CÓRDOBA - LA QUIEBRA COD 40QN09 (NI 60) 2DO ORDEN MUNICIPIO DE BUENAVISTA, DEPARTAMENTO DEL QUINDÍO.</t>
  </si>
  <si>
    <t>JHON FABER CARMONA MEJIA SOCIO /ASOCIADO</t>
  </si>
  <si>
    <t xml:space="preserve">INTERVENTORÍA TECNICA, ADMINISTRATIVA, FINANCIERA Y AMBIENTAL PARA LOS PROYECTOS DE MEJORAMIENTO Y MANTENIMIENTO DE LA RED TERCIARIA EN EL DEPARTAMENTO DE RISARALDA </t>
  </si>
  <si>
    <t>UNION TEMPORAL R&amp;D - RISARALDA ( RIO ARQUITECTURA E INGENIERIA SA 40%)</t>
  </si>
  <si>
    <t>GOBERNACION
DE ANTIOQUIA</t>
  </si>
  <si>
    <t>4000005623
DE 2016</t>
  </si>
  <si>
    <t xml:space="preserve">INTERVENTORIA TECNICA, LEGAL, PARA EL MEJORAMIENTO, REHABILITACIÓN, Y SUBREGIONES NORTE Y BAJO CAUCA DEL DEPARTAMENTO DE ANTIOQUIA SE EXCLUYEN LAS VIAS DE INFLUENCIA DEL PEAJE DE PAJARITO EN LA SUBREGION NORTE </t>
  </si>
  <si>
    <t>CONSORCIO VAS DE ANTIOQUIA 1 (ARCA ARQUITECTURA E INGENIERIA SA 50 %)</t>
  </si>
  <si>
    <t>INGENNYA SAS</t>
  </si>
  <si>
    <t>MINISTERIO DE
FOMENTO
DIRECCION
GENERAL DE
CARRETERAS
(ESPAÑA)</t>
  </si>
  <si>
    <t>ASISTENCIA TECNICA PARA VIGILANCIA Y CONTROL DE LAS OBRAS AUTOVIA DE LEVANTE A FRANCIA POR ARAGON TRAMO
CALAMOCHA - ROMANOS CLAVE 12-TE- 2860</t>
  </si>
  <si>
    <t>U.T.E CUENCABUENA</t>
  </si>
  <si>
    <t>0137-2003</t>
  </si>
  <si>
    <t>INTERVENTORÍA DE LAS OBRAS DE CONSTRUCCIÓN Y PAVIMENTACIÓN DE LA VÍA INTERNA A BUENAVENTURA SECTOR INTERSECCIÓN SENA - VIADUCTO 7, RUTA 40, TRAMO 4001.</t>
  </si>
  <si>
    <t>CONSORCIO CIVILTEC INGENIEROS - PIV INGENIERIA LTDA</t>
  </si>
  <si>
    <t>idu-200</t>
  </si>
  <si>
    <t>INTERVENTORÍA TÉCNICA, ADMINISTRATIVA Y SOCIO AMBIENTAL PARA LA CONSTRUCCIÓN Y/O REHABILITACIÓN DE VÍAS EN LA LOCALIDAD DE SAN CRISTOBAL GRUPO 5 EN BOGOTÁ D.C.</t>
  </si>
  <si>
    <t>149 DE 2006</t>
  </si>
  <si>
    <t>INTERVENTORÍA TÉCNICA, ADMINISTRATIVA Y SOCIO AMBIENTAL PARA LA CONSTRUCCIÓN DE ACCESOS A BARRIOS Y PAVIMENTOS LOCALES, PROGRAMA DE PAVIMENTOS LOCALES GRUPO III: LOCALIDADES DE ENGATIVA Y BARRIOS UNIDOS EN BOGOTÁ D.C.</t>
  </si>
  <si>
    <t>JOSE LUIS GARCES VERGARA/FRANCISCO GARCES VERGARA</t>
  </si>
  <si>
    <t>001 DE 2005</t>
  </si>
  <si>
    <t>INTERVENTORÍA TÉCNICA, ADMINISTRATIVA, CONTABLE, FINANCIERA Y JURÍDICA DE LAS OBRA QUE TIENEN POR OBJETO "ESTUDIO, DISEÑOS Y CONSTRUCCIÓN DE PAVIMENTO EN CONCRETO RÍGIDO PARA LA URBANIZACIÓN MONTEVERDE PRIMERA ETAPA DESTINADO PARA VIVIENDAS Y EDIFICIOS DE 8 PLANTAS, UBICADA ENTRE LA CALLE 44 Y 48 CON CARRERA 16A Y 17 Y ENTRE LAS CALLES 48 Y 52 CON CARRERA 14C Y CANAL DE POR MEDIO CON TRANSVERSAL 14C DEL MUNICIPIO DE MONTERÍA – CORDOBÁ”.</t>
  </si>
  <si>
    <t>2050 DE 2005</t>
  </si>
  <si>
    <t>INTERVENTORÍA DE LOS ESTUDIOS Y DISEÑOS, PAVIMENTACIÓN Y/O REPAVIMENTACIÓN DE LAS VÍAS INCLUIDAS DENTRO DEL PROGRAMA DE PAVIMENTACIÓN DE INFRAESTRUCTURA VIAL DE INTEGRACIÓN Y DESARROLLO GRUPO 87 TRAMO 1 VÍA EL VIAJANO - SAN MARCOS - MAJAGUAL - ACHI CON UNA LONGITUD DE 46.70 KILÓMETROS EN EL DEPARTAMENTO DE SUCRE</t>
  </si>
  <si>
    <t>Enrique Dávila Lozano – EDL SAS</t>
  </si>
  <si>
    <t>127 DE 2001</t>
  </si>
  <si>
    <t>INTERVENTORÍA PARA EL MEJORAMIENTO Y PAVIMENTACIÓN DE LA CARRETERA FUENTE DE ORO - PUERTO LLERAS - CRUCE PUERTO RICO - PUERTO ARTURO - SAN JOSÉ DEL GUAVIARE, SECTOR FUENTE DE ORO - PUERTO LLERAS, K34+000 AL K38+000 Y SECTOR PUERTO LLERAS - CRUCE PUERTO RICO K0+000 - K18+000.</t>
  </si>
  <si>
    <t>YOHAN FAHIR BERMUDEZ PARRA</t>
  </si>
  <si>
    <t>DEPARTAMENTO DE CALDAS</t>
  </si>
  <si>
    <t>23112015-0740</t>
  </si>
  <si>
    <t>INTERVENTORIA TECNICA ADMINISTRATIVA AMBIENTAL Y FINANCIERA A LAS OBRAS DE REHABILITACION Y PAVIMENTACION DE VIAS INCLUIDAS EN EL PLAN VIAL DEL DEPARTAMENTO DE CALDAS TERCERA ETAPA ( RECURSOS REGALIAS) CORRESPONDIENTE AL
MODULO No. 6 TRAMO VIAL NORCASI - BERLIN</t>
  </si>
  <si>
    <t>CONSORCIO INTERCALDAS</t>
  </si>
  <si>
    <t>El contrato no se tiene en cuenta para la evaluación, puesto que ninguno de los documentos aportados se considera válido para acreditar la experiencia conforme con el numeral 4.1.1.2 del pliego de condiciones.</t>
  </si>
  <si>
    <t>ORGANIZACIÓN LUIS FERNADO ROMERO SANDOVAL INGENIEROS SAS</t>
  </si>
  <si>
    <t>COOTECOL</t>
  </si>
  <si>
    <t>011-2002</t>
  </si>
  <si>
    <t>INTERVENTORIA INTEGRAL A LAS OBRAS DE MANTENIMIENTO Y CONSTRUCCIÓN DE PAVIMENTOS EN BARRIOS DE LA COMUNA 1 DE LA CIUDAD DE VILLAVICENCIO, META</t>
  </si>
  <si>
    <t>LA BALLENITA AZUL LTDA</t>
  </si>
  <si>
    <t>El contrato no se tiene en cuenta para la evaluación, puesto que la certificación expedida por COOTECOL se encuentra suscrita por el Director Administrativo y Financiero, por tanto, no cumple con el numeral 4.1.1.2 del pliego de condiciones, para contratos suscritos con particulares.
“(…)
1.	Certificación expedida con posterioridad a la fecha de terminación del contrato, la cual debe encontrarse debidamente suscrita por el representante legal y el revisor fiscal o contador público de la persona contratante(...)
2.	Copia de la tarjeta profesional del contador público o revisor fiscal (según corresponda) y certificado de antecedente disciplinarios vigente, expedido por la Junta Central de Contadores,(...)
(…)”</t>
  </si>
  <si>
    <t>CONSTRUDET Y COMPAÑÍA LTDA</t>
  </si>
  <si>
    <t>MUNICIPIO DE SAN ANTERO</t>
  </si>
  <si>
    <t>057 DE 1999</t>
  </si>
  <si>
    <t>GERENCIA E INTERVENTORIA PARA LAS OBRAS DE PAVIMENTACION DE LA VIA SAN ANTERO A LOS CASERIOS DE PLAYA BLANCA Y CISPATA</t>
  </si>
  <si>
    <t>UNION TEMPORAL CONSTRUDET - INGEOCIM</t>
  </si>
  <si>
    <t>GOBERNACION DE CORDOBA</t>
  </si>
  <si>
    <t>691/2014</t>
  </si>
  <si>
    <t>INTERVENTORIA TECNICA, ADMINISTRATIVA, FINANCIERA PARA LA OBRA QUE TIENE POR OBJETO CONSTRUCCION DE PAVIMENTO RIGIDO PARA LOS CORREDORES VIALES ESTRATEGICOS CORREGIMENTALES QUE COMUNICAN CON LAS CABECERAS URBANAS Y TRONCALES EN LOS MUNICIPIOS DEL MEDIO Y BAJO SINU - DEPARTAMENTO DE CORDOBA</t>
  </si>
  <si>
    <t>UNION TEMPORAL INTERVIAS BS 2014</t>
  </si>
  <si>
    <t>DEPARTAMENTO DE CORDOBA</t>
  </si>
  <si>
    <t>763-2015</t>
  </si>
  <si>
    <t>INTERVENTORIA TECNICA ADMINISTRATIVA FINANCIERA DE LA CONSTRUCCION DE PAVIMENTO RIGIDO Y MEJORAMIENTO EN PLACA HUELLA EN EL MUNICIPIO DE MONTERIA</t>
  </si>
  <si>
    <t>CONSORCIO INTERPAV</t>
  </si>
  <si>
    <t>001057 DE 2001</t>
  </si>
  <si>
    <t xml:space="preserve">INTERVENTORÍA DÉ LAS OBRAS DE ESTABILIZACIÓN DE DESLIZAMIENTOS DE LOS SITIOS K5+600, K6+200, KO+480, DEL RETORNO DE • CHINCHINA, PAVIMENTACIÓN DE LOS CORRESPONDIENTES SECTORES Y LA SEÑALIZACIÓN DEL SECTOR PUENTE DOMÉNICO PARMA K1+230 AL PUENTE RÍO CAMPO ALEGRE K7+600 Y RETORNO A CHINCHINA DE LA VARIANTE DE CHINCHINA DE LA CARRETERA CHINCHINA - SANTA ROSA. </t>
  </si>
  <si>
    <t>INCONOBRAS LTDA</t>
  </si>
  <si>
    <t>SOLICITUD DE ACLARACION: En el acta de recibodefinitivo de obra no se evidencia la fecha de inicio del contrato de obra. Teniendo presente que es posible evidenciar que dicho contrato conto con dos empresas para hacer la interventoria, no es posible conocer si en el plazo total del contrato de interventoria desarrollado por INCONOBRAS, se abarcó la totalidad del contrato de obra, para acreditar claramente las actividades a las que INCONOBRAS efectuo la interventoria.
Se le solicita e al integrante COINZA ING, que de claridad al respecto.
Durante el término de traslado del informe de evaluación, el Proponente no aclara lo requerido. Por tanto, no se tiene en cuenta el contrato para acreditar la experiencia requerida.</t>
  </si>
  <si>
    <t>CITEC LTDA</t>
  </si>
  <si>
    <t>MINISTERIO DE OBRAS PUBLICAS</t>
  </si>
  <si>
    <t>235 DE 1981</t>
  </si>
  <si>
    <t>INTERVENTORIA DE LAS OBRAS DE PAVIMENTACION DEL SECTOR SANTUARIO LA PIÑUELA K73 + 000 A K84 + 400 DE LA CARRETERA MEDELLIN - BOGOTA</t>
  </si>
  <si>
    <t>46000007222 DE 2015</t>
  </si>
  <si>
    <t>INTERVENTORIA TECNICA ADMINISTRATIVA AMBIENTAL FINANCIERA Y LEGAL PARA EL MEJORAMIENTO REHABILITACION Y MANTENIMIENTO DE LAS VIAS DE LA SUBREGION SUROESTE DEL DEPARTAMENTO DE ANTIOQUIA</t>
  </si>
  <si>
    <t xml:space="preserve">CONSORCIO C E SUROEST E </t>
  </si>
  <si>
    <t>ESTUTEC SAS</t>
  </si>
  <si>
    <t>NOGAALL SAS</t>
  </si>
  <si>
    <t>2588-06</t>
  </si>
  <si>
    <t>INTERVENTORÍA TÉCNICA, ADMINISTRATIVA, FINANCIERA Y AMBIENTAL PARA EL MEJORAMIENTO DE LA RED TERCIARIA NACIONAL DEL DEPARTAMENTO DE META.</t>
  </si>
  <si>
    <t>GPM PROYECTOS DE INGENIERIA SAS</t>
  </si>
  <si>
    <t>MUNICIPIO DE SANTIAGO DE CALI</t>
  </si>
  <si>
    <t>4151.1.14.
07.006-
2009</t>
  </si>
  <si>
    <t xml:space="preserve">INTERVENTORIA TECNICA, ADMINISTRATIVA Y FINANCIERA PARA EL MANTENIMIENTO DE TRES (3) VIAS EN EL SECTOR URBANO DEL MUNICIPIO DE SANTIAGO DE CALI </t>
  </si>
  <si>
    <t>CONSORCIO GPM CONSULTORES</t>
  </si>
  <si>
    <t>ANI</t>
  </si>
  <si>
    <t>101 de 2014</t>
  </si>
  <si>
    <t>INTERVENTORIA INTEGRAL DEL CONTRATO DE CONCESION, QUE INCLUYE PERO NO SE LIMITA A LA INTERVENTORIA FINANCIERA, ADMINISTRATIVA, LEGAL, OPERATIVA, AMBIENTAL Y DE SEGURIDAD DEL CONTRATO DE CONCESION NO 10000078 OK DE 2010 Y SUS APENDICES, OTROSI NO 1 Y DEMAS DOCUMENTOS QUE ACLARAN, MODIFICAN, COMPLEMENTAN O SUSTITUYEN CUYO OBJETON ES LA CONCESION DE LAS TERMIONALES AEROPORTUARIAS DE NORORIENTE - AEROPUERTOS CAMILO DAZA DE CUCUTA, PALONEGRO DE BUACARAMANGA, YARIGUIES DE BARRANCABERMEJA, ALFONSO LOPEZ DE VALLEDUPAR, SIMON BOLIVAR DE SANTA MARTA Y ALMIRANTE PADILLA DE RIOHACHA.</t>
  </si>
  <si>
    <t>CONSORCI UNIDO INXI</t>
  </si>
  <si>
    <r>
      <t xml:space="preserve">El contrato no es tenido en cuenta para la evaluacion, por ser un contrato de interventoria a un contrato de concesión, de acuerdo con lo estipulado en el pliego de condiciones, parrafo 8 del numeral  4.1.1 .EXPERIENCIA DEL PROPONENTE.
Para efectos de acreditación de experiencia, NO SE ACEPTARÁN:
-SUBCONTRATOS DE INTERVENTORÍA
</t>
    </r>
    <r>
      <rPr>
        <u/>
        <sz val="10"/>
        <rFont val="Arial"/>
        <family val="2"/>
      </rPr>
      <t>-CONTRATOS DE INTERVENTORÍA A CONTRATOS DE CONCESIÓN</t>
    </r>
    <r>
      <rPr>
        <sz val="10"/>
        <rFont val="Arial"/>
        <family val="2"/>
      </rPr>
      <t xml:space="preserve">
-CONTRATOS DE ADMINISTRACIÓN VIAL
-CONTRATOS ESCINDIDOS</t>
    </r>
  </si>
  <si>
    <t>MINISTERIO DE
DEPORTE - INVIAS</t>
  </si>
  <si>
    <t>075-1999</t>
  </si>
  <si>
    <t xml:space="preserve">CONSULTORIA, ASESORIA E INTERVENTORIA TECNICA Y ADMINISTRATIVA PARA EL MANTENIMIENTO DE LA CARRETERA PITALITO RIOLORO - NEIVA RUTA 45, TRAMO 4; PR 0+000 A PR 71+800 Y TRAMO 5; PR 0+000 A PR 110+500 </t>
  </si>
  <si>
    <r>
      <rPr>
        <sz val="10"/>
        <rFont val="Arial"/>
        <family val="2"/>
      </rPr>
      <t>No se evidencia, con la documentación válida aportada, que se hubiese adelantado la interventoría a la actividad de pavimento asfaltico en caliente o concreto hidraulico, tal como lo establece el pliego de condiciones en su numeral 4.1.1 EXPERIENCIA DEL PROPONENTE, literal A. Lo anterior, puesto que el documento aportado  (contrato de obra) no se encuentra entre los documentos válidos para acreditar experiencia (numeral 4.1.1.2)</t>
    </r>
    <r>
      <rPr>
        <sz val="10"/>
        <color theme="3"/>
        <rFont val="Arial"/>
        <family val="2"/>
      </rPr>
      <t xml:space="preserve">
El 28 de julio de 2020, el Proponente solicita tener presente la información consignada a folio 17 del archivo denominado "Experiencia puntuable del proponente". Revisado nuevamente dicho documento, encuentra el Comité Evaluador que el mismo corresponde al contrato de obra No. 00563 de 1999, en el cual es posible evidenciar las actividades que en su momento correspondieron a las proyectadas, sin embargo, no dan fe de la efectiva ejecucion de las mismas. Es por ello que, dentro del listado de documentos válidos para la acreditación de la experiencia requerida numeral 4.1.1.2 del pliego de condiciones, no se encuetra dicho documento.
Por tanto, no es de recibo su observación.</t>
    </r>
  </si>
  <si>
    <t>DEPARTAMENTO
DEL HUILA</t>
  </si>
  <si>
    <t>029 DE
1995</t>
  </si>
  <si>
    <t>INTERVENTORÍA TÉCNICA Y ADMINISTRATIVA, PARA LAS OBRAS CIVILES, QUE SE REALIZARON PARA LA CONSTRUCCIÓN DE CARRETERA GARZÓN – AGRADO – PITAL, EN UNA LONGITUD DE 27.5 KM según contrato No. 029/95 y sus adicionales.</t>
  </si>
  <si>
    <t>RUTH ELENA TABARES ZULETA</t>
  </si>
  <si>
    <t>EDU</t>
  </si>
  <si>
    <t>159 De 2016</t>
  </si>
  <si>
    <t>INTERVENTORÍA TÉCNICA, ADMINISTRATIVA, FINANCIERA, LEGAL Y AMBIENTAL PARA LA CONSTRUCCIÓN DE LOS PROYECTOS PRIORIZADOS DEL PROGRAMA DE PRESUPUESTO PARTICIPATIVO EN EL MUNICIPIO DE MEDELLIN.</t>
  </si>
  <si>
    <t>0838-1999</t>
  </si>
  <si>
    <t>INTERVENTORIA DE LAS OBRAS DE MANTENIMIENTO Y REFUERZO ASFALTICO DEL SECTOR LA ESPAÑOLA PR76+000-PEÑAS BLANCAS-PR83+200 DE LA CARRETERA LA PAILACALARCA.</t>
  </si>
  <si>
    <t>CONSORCIO INTERSA SA - GUSTAVO REYES</t>
  </si>
  <si>
    <t>411-2001</t>
  </si>
  <si>
    <t>INTERVENTORIA TECNICA, ADMINISTRATIVA Y FINANCIERA DE LA ADECUACION Y CONSTRUCCION DE LA CARRERA 123-CAMINO SALAZAR, EN BOGOTA D.C</t>
  </si>
  <si>
    <t>INTERSA</t>
  </si>
  <si>
    <t>654-1996</t>
  </si>
  <si>
    <t>CONSULTORÍA, ASESORÍA E INTERVENTORÍA TÉCNICA Y ADMINISTRATIVA DE LAS OBRAS DE CONSTRUCCIÓN DE LA VARIANTE DE IBAGUÉ</t>
  </si>
  <si>
    <t>GOMEZ CAJIAO Y ASOCIADOS SA</t>
  </si>
  <si>
    <t>313-1985</t>
  </si>
  <si>
    <t>INTERVENTORÍA DE LA PAVIMENTACIÓN DEL SECTOR LORICA - MOMIL DE LA CARRETERA LORICA - CHINÚ</t>
  </si>
  <si>
    <r>
      <t xml:space="preserve">No se evidencia, con la documentación aportada, que se hubiese adelantado la interventoría a la actividad de pavimento asfaltico en caliente o concreto hidráulico, tal como lo establece el pliego de condiciones en su numeral 4.1.1 EXPERIENCIA DEL PROPONENTE, literal A.
</t>
    </r>
    <r>
      <rPr>
        <sz val="10"/>
        <color theme="3"/>
        <rFont val="Arial"/>
        <family val="2"/>
      </rPr>
      <t xml:space="preserve">
El 27 de julio de 2020, el Proponente allega con su observación el anexo técnico del proceso CMA-DO-SRN-104-2019, mediante el cual  se describen las obras a ejecutar en el último contrato adelantado en la vía y el certificado expedido por la entidad contratante del contrato en cuestión.
Frente a esto, para el Comité evaluador no es de recibo para análisis el documento del proceso con fecha del año 2019 puesto que no hace parte del contrato (del año 1985) presentado para acreditar la experiencia. Ahora bien, se reitera que con la información contenida en el certificado presentado por el proponente para acreditar la experiencia, donde no se registra las actividades objeto de la interventoría, no es posible concluir que se  hayan llevado a cabo las actividades requeridas en el pliego de condiciones (pavimento asfáltico en caliente o concreto hidráulico).
Por tanto, no se acepta la observación presentada.</t>
    </r>
  </si>
  <si>
    <t>073-2009</t>
  </si>
  <si>
    <t xml:space="preserve">INTERVENTORÍA TÉCNICA, ADMINISTRATIVA, FINANCIERA, LEGAL, SOCIAL Y AMBIENTAL, PARA LA CONSTRUCCIÓN DE LAS OBRAS DE LA INTERSECCIÓN A DESNIVEL DE LA AVENIDA LAUREANO GÓMEZ (AK 9) CON CALLE 94 Y SU CONEXIÓN CON LA AVENIDA SANTA BÁRBARA (AK 19), CORRESPONDIENTE AL CÓDIGO DE OBRA 104 DEL ACUERDO 180 DE 2005 DE VALORIZACIÓN, EN BOGOTÁ D.C. </t>
  </si>
  <si>
    <t>CONSORCIO GOMEZ CAJIAO - JOYCO</t>
  </si>
  <si>
    <t>NÚMERO  DE CONTRATOS  REQUERIDO</t>
  </si>
  <si>
    <t>REQUISITOS DE LA EXPERIENCIA DEL PROFESIONAL QUE SE PRETENDE ACREDITAR PARA EL PROCESO</t>
  </si>
  <si>
    <t>FECHA DE CIERRE</t>
  </si>
  <si>
    <t>REQUISITOS MÍNIMOS
* Procesos simultáneos (VÁLIDO/NO VÁLIDO)
* Carta de compromiso, Matricula profesional, Certificado de antecedentes del organismo autorizado (COPNIA) (SI/NO)
* Fecha de expedición de la matricula profesional
* Experiencia profesional
PUNTUACIÓN
* Validez de las certificaciones laborales o contractuales después de la expedición de la matricula profesional
* Formación valida para obtener puntaje (SI/NO) (SI: 200 puntos; NO: 0 puntos)</t>
  </si>
  <si>
    <t>PROFESIONAL</t>
  </si>
  <si>
    <t>Cédula</t>
  </si>
  <si>
    <t>Fecha expedición tarjeta o matricula profesional</t>
  </si>
  <si>
    <t>Experien Profesional en años</t>
  </si>
  <si>
    <t>CARGO EJERCIDO (Coordinador o Director o Residente o Supervisor en entidades estatales)</t>
  </si>
  <si>
    <t>SE CUMPLE CON OBJETO Y/O ACTIVIDADES EJECUTADAS, DE ACUERDO A LO REQUERIDO? (SI/NO)</t>
  </si>
  <si>
    <t>VALIDACIÓN DE LA EXPERIENCIA DEL EQUIPO DE TRABAJO
(SI/NO)</t>
  </si>
  <si>
    <t>OBSERVACIONES A LOS CONTRATOS PARA ACREDITAR EXPERIENCIA DEL EQUIPO DE TRABAJO</t>
  </si>
  <si>
    <t>1.</t>
  </si>
  <si>
    <t>N/S</t>
  </si>
  <si>
    <t>Interventoría a los Contratos y Convenios Celebrados en la Vigencia 2013-2014 según relación entregada por el Departamento de la Guajira</t>
  </si>
  <si>
    <t>CONSORCIO APPLUS GESTION SOCIAL</t>
  </si>
  <si>
    <t>Director</t>
  </si>
  <si>
    <t>2.</t>
  </si>
  <si>
    <t>SETP SANTA MARTA</t>
  </si>
  <si>
    <t>Interventoría a la Construcción de las Obras Civiles, Arquitectónicas, Hidráulicas y Todas Aquellas Actividades necesarias para la Rehabilitación y Adecuación de los Corredores Viales Urbanos de la Carrera 5 entre la Calle 22 y la Calle 29 y de la Avenida Tamacá Tramo II Rodadero entre Salguero y la Carrera 4ta para el Sistema Estratégico de Transporte Público de la Ciudad de Santa Marta – SETP</t>
  </si>
  <si>
    <t>UNION TEMPORAL INTERVENTORÍA LA AVENIDA 2015</t>
  </si>
  <si>
    <t>No se evidencia, con la documentación aportada, que en el contrato se hubiese ejecutado la interventoria a la actividad de pavimento asfaltico en caliente o concreto hidráulico, tal como lo establece el pliego de condiciones en su numeral 4.1.2 EXPERIENCIA Y FORMACIÓN ACADÉMICA DEL EQUIPO DE TRABAJO, subnumeral 2.</t>
  </si>
  <si>
    <t>3.</t>
  </si>
  <si>
    <t>CM-001-2016</t>
  </si>
  <si>
    <t>Interventoría a la Construcción de las Obras Civiles, Arquitectónicas, Hidráulicas y todas aquellas Actividades Necesarias para la Reconstrucción y Adecuación de las Intervenciones de las Vías Curinca (Calle 53 Troncal del Caribe - Carrera 31 Troncal del Caribe), y Líbano 2000 (Carrera 31 Troncal del Caribe - Calle 40b Avenida del Libertador sector Líbano), para el sistema estratégico de transporte público de la ciudad de Santa Marta - SEPT</t>
  </si>
  <si>
    <t>UNION TEMPORAL
PENINSULAR</t>
  </si>
  <si>
    <t>4.</t>
  </si>
  <si>
    <t>EL OFERENTE PROPONE UN DIRECTOR DE INTERVENTORIA CON TÍTULO DE POSGRADO (ESPECIALIZACIÓN O MAESTRIA) EN LAS ÁREAS RELACIONADAS CON: Vías, Pavimentos, Geotecnia, Gerencia de proyectos, Interventoría y Gerencia de Obras.</t>
  </si>
  <si>
    <t>¿SE APORTA LA DOCUMENTACIÓN MÍNIMA DEL PROFESIONAL PROPUESTO (Carta de compromiso, Matricula Profesional, Certificado de antecendentes del organismo autorizado  (COPNIA o similar)? (SI; NO; NA)</t>
  </si>
  <si>
    <t>¿EL PROFESIONAL PARTICIPA EN ALGÚN PROCESO SIMULTANEO DE LA ENTIDAD (SI; NO; NA)</t>
  </si>
  <si>
    <t>Si sí, no válido</t>
  </si>
  <si>
    <t>¿EL PROFESIONAL CUMPLE CON EL REQUISITO MÍNIMO DE OCHO (8) AÑOS DE EXPERIENCIA DE ACUERDO AL PLIEGO DE CONDICIONES? (SI; NO)</t>
  </si>
  <si>
    <t>Si sí, válido</t>
  </si>
  <si>
    <t>¿SE APORTAN LOS TRES (3) CONTRATOS VÁLIDOS REQUERIDOS PARA ACREDITACIÓN DE LA EXPERIENCIA DEL PROFESIONAL?  (SI; NO)</t>
  </si>
  <si>
    <t>EL PROFESIONAL OFRECIDO POR EL PROPONENTE CUMPLE CON LOS REQUISITOS MÍNIMOS ESTABLECIDOS EN EL NUMERAL 4.1.2. (no se evalúa simultaneidad de procesos en esta celda)</t>
  </si>
  <si>
    <t>CTO 807 DE 1999</t>
  </si>
  <si>
    <t>INTERVENTORIA TECNICA, ADMINISTRATIVA Y FINANCIERA A PRECIO GLOBAL FIJO PARA LA EVALUACION Y REHABILITACION DE VIAS DEL GRUPO NO. 4, EN SANTA FE DE BOGOTA D.C.</t>
  </si>
  <si>
    <t>UNION
TEMPORAL
FONAR</t>
  </si>
  <si>
    <t>CTO 022 DE 2001</t>
  </si>
  <si>
    <t>INTERVENTORIA TÉCNICA, ADMINISTRATIVA, FINANCIERA Y AMBIENTAL A PRECIO GLOBAL FIJO PARA LA CONSTRUCCIÓN DE LA FASE 1 DE LA AV. VILLAVICENCIO DESDE LA AV. CIUDAD DE CALI HASTA LA AV. EL TINTAL Y CONSTRUCCIÓN FASE 1 DE LA AV. EL TINTAL ENTRE LA AV. VILLAVICENCIO HASTA LA AV. BOSA EN BOGOTA D.C.</t>
  </si>
  <si>
    <t>CTO 181 DE 2007</t>
  </si>
  <si>
    <t>INTERVENTORIA TÉCNICA, ADMINISTRATIVA, FINANCIERA Y SOCIO AMBIENTAL PARA LA CONSTRUCCIÓN DE ACCESOS A BARRIOS Y PAVIMENTOS LOALES GRUPO 1 LOCALIDADES DE BOSA, CHAPINERO, KENNEDY Y SUBA EN BOGOTA D.C.</t>
  </si>
  <si>
    <t>DIEGO
FONSECA</t>
  </si>
  <si>
    <t>ICCU 022-2014</t>
  </si>
  <si>
    <t>INTERVENTORÍA TÉCNICA, ADMINISTRATIVA, FINANCIERA Y LEGAL PARA EL: “MEJORAMIENTO Y PAVIMENTACIÓN DE LA VÍA SUESCA – LA PLAYA – SESQUILÉ DEPARTAMENTO DE CUNDINAMARCA</t>
  </si>
  <si>
    <t>ICCU 023-2014</t>
  </si>
  <si>
    <t>ALCALDIA DE
BUCARAMANGA</t>
  </si>
  <si>
    <t>184 DE 2018</t>
  </si>
  <si>
    <t>INTERVENTORIA PARA LAS OBRAS DE PARCHEOS DE HUECOS, FALLOS Y ACTIVIDADES ADICIONALES EN LA MALLA VIAL URBANA DEL MUNICIPIO DE BUCARAMANGA</t>
  </si>
  <si>
    <t>CONSORCIO MALLA VIAL JE</t>
  </si>
  <si>
    <t>Residente</t>
  </si>
  <si>
    <t>080 DE 2012</t>
  </si>
  <si>
    <t>INTERVENTORIA TECNICA ADMINISTRATIVA FINANCIERA LEGAL SOCIAL Y AMBIENTAL PARA LA CONSTRUCCION DE LA INFRAESTRUCTURA DEL SISTEMA INTEGRADO DE TRANSPORTE PUBLICO: TRONCALES DEL SISTEMA DE TRANSMILENIO, RUTAS AUXILIARES Y ESPACIO PUBLICO, ENTRE LA CALLE 80 Y EL PORTAL USME</t>
  </si>
  <si>
    <t>CONSORCIO NIKOS 007</t>
  </si>
  <si>
    <t>Coodinador</t>
  </si>
  <si>
    <t>039 DE 2009</t>
  </si>
  <si>
    <t>CONTINUACIÓN DE LA INTERVENTORIA TECNICA ADMINISTRATIVA FINANCIERA LEGAL SOCIAL Y AMBIENTAL PARA LA AMPLIACIÓN Y REHABILITACION DE LA AUTOPISTA AL LLANO ENTRE EL CAI YOMASA Y EL INICIO DE LA CONCESIÓN BOGOTA-VILLAVICENCIO EN EL TRAMO COMPRENDIDO ENTRE EL K1+575 AL K5+324 EN BOGOTA DC</t>
  </si>
  <si>
    <t>236-2004</t>
  </si>
  <si>
    <t>INTERVENTORIA TECNICA ADMINISTRATIVA FINANCIERA SOCIAL Y AMBIENTAL PARA LA CONSTRUCCION, REHABILITACION Y CONSERVACION DE VIAS PARA RUTAS ALIMENTADORAS DEL SISTEMA DE TRANSMILENIO ZONA 4, GRUPO 2, EN BOGOTA DC</t>
  </si>
  <si>
    <t>RED DE UNIVERSIDADES PUBLICAS DEL EJE CAFETERO - ALMA MATER</t>
  </si>
  <si>
    <t>CAS-AM-064-06-02</t>
  </si>
  <si>
    <t>INTERVENTORÍA TÉCNICA, ADMINISTRATIVA Y FINANCIERA DEL CONTRATO QUE TIENE POR OBJETO LA CONSTRUCCIÓN DE LA VÍA SAN LORENZO - CRUCE SABANAS DEL ROSARIO EN MEZCLA DENSA EN CALIENTE EN EL MUNICIPIO DE CASTILLA LA NUEVA - META, EN EJECUCIÓN DEL PROYECTO (58002).</t>
  </si>
  <si>
    <t>ALCALDIA DE GUAMAL</t>
  </si>
  <si>
    <t>116 DE 2013</t>
  </si>
  <si>
    <t>INTERVENTORÍA TÉCNICA, ADMINISTRATIVA Y FINANCIERA DE LA CONSTRUCCIÓN DE LA PRIMERA FASE PARA EL MEJORAMIENTO Y RENOVACIÓN URBANA DE LA CALLE 12 ENTRE CARRERA 3A Y LÍMITE URBANO EN EL BARRIO JULIO MAYORGA DEL MUNICIPIO DE GUAMAL - META</t>
  </si>
  <si>
    <t>CONSORCIO VÍAS URBANAS GUAMAL</t>
  </si>
  <si>
    <t>1594 DE 2014</t>
  </si>
  <si>
    <t>INTERVENTORÍA TÉCNICA, ADMINISTRATIVA Y FINANCIERA PARA LA REHABILITACIÓN DE LA VÍA MEDIANTE LA CONSTRUCCIÓN DE PONTON SOBRE CAÑO VANGUARDIUNO, BOX COULVERT SOBRE CAÑO MAPIRI Y CAÑO CORCOVADO EN LA VEREDA LA POYATA DEL MUNICIPIO DE VILLAVICENCIO Y REHABILITACIÓN DE LA CALLE 39 ENTRE CARRERAS 9 Y 11 CONDOMINIO LOS GIRASOLES Y CARRERA 9 ENTRE CALLE 39 Y 40 CONJUNTO PARQUE DE SEVILLA EN EL MUNICIPIO DE VILLAVICENCIO.</t>
  </si>
  <si>
    <t>Interventoría para la construcción obras del Mega Plan de Movilidad y apoyo a la Gerencia de las siguientes obras: Ampliación de la calle 37 sur (Loma del Escobero) entre la diagonal 31 y la Urbanización Casas del Camino, construcción de la paralela de la quebrada La Ayurá (Calzada norte) entre la carrera 48 (Av. Las Vegas) y la carrera 50 (sistema vial del río) y construcción del intercambio vial de la Salle (Carrera 43a x calle 25 sur), Etapa 1, Municipio de Envigado, Departamento de Antioquia</t>
  </si>
  <si>
    <t>CONINTEC SAS</t>
  </si>
  <si>
    <t>Interventoría para la construcción de los intercambios viales de Benedictinos - Loma el Esmeraldal con transversal intermedia - Piedra de la Ayurá etapa 1. Municipio de Envigado</t>
  </si>
  <si>
    <t>09-00-31-07-138-17</t>
  </si>
  <si>
    <t>Interventoría Para La Construcción De La Ampliación De La Calle 37 Sur Etapa 3 Y Del Puente Del Esmeraldal Con La Transversal Intermedia del municipio de Envigado</t>
  </si>
  <si>
    <t>15000114-OK-2015</t>
  </si>
  <si>
    <t>ESTUDIO Y DISEÑO PARA EL MANTENIMIENTO DE PISTA, PLATAFORMA Y CALLE DE RODAJE DEL AEROPUERTO SANTIAGO PÉREZ QUIROZ Y GABRIEL VARGAS SANTOS – DEPARTAMENTO DE ARAUCA</t>
  </si>
  <si>
    <t>CONSORCIO RG Y P
ARAUCA</t>
  </si>
  <si>
    <r>
      <t>No se tiene en cuenta el contrato para la evaluación, puesto que el certificado se encuentra suscrito por una persona diferente a quien indica que lo expide, siendo éste último el profesional del cual hace referencia el certificado, es decir, una autocertificación.</t>
    </r>
    <r>
      <rPr>
        <u/>
        <sz val="8"/>
        <rFont val="Arial"/>
        <family val="2"/>
      </rPr>
      <t xml:space="preserve">
No se considerarán como válidos para acreditar la experiencia:</t>
    </r>
    <r>
      <rPr>
        <sz val="8"/>
        <rFont val="Arial"/>
        <family val="2"/>
      </rPr>
      <t xml:space="preserve"> copias de contratos, autocertificaciones, experiencia en cátedra universitaria, proyectos de investigación o asesorías de tesis para optar a títulos de educación superior."</t>
    </r>
  </si>
  <si>
    <t>INTERVENTORÍA TÉCNICA, LEGAL, FINANCIERA, ADMINISTRATIVA, AMBIENTAL, PREDIAL Y SOCIAL DEL PROYECTO: “ESTUDIOS Y DISEÑOS, GESTIÓN SOCIAL, PREDIAL, AMBIENTAL Y MEJORAMIENTO DEL PROYECTO CORREDOR DEL SUR Y MARGINAL DE LA SELVA</t>
  </si>
  <si>
    <t>CONSORCIO SELVA Y
SUR</t>
  </si>
  <si>
    <t>636 DE 2012</t>
  </si>
  <si>
    <t>INTERVENTORIA INTEGRAL QUE INCLUYE, PERO NO SE LIMITA A LA INTERVENTORIA TECNICA, FINANCIERA, ADMINISTRATIVA, JURÍDICA, GESTIÓN SOCIAL, PREDIAL Y AMBIENTAL PARA EL MEJORAMIENTO DEL PROYECTO CORREDOR DEL SUR FASE 2 EN EL PROGRAMA DE CORREDORES PRIORITARIOS PARA LA PROSPERIDAD.</t>
  </si>
  <si>
    <t>TNM LIMITED</t>
  </si>
  <si>
    <t>ALCALDIA DE YUMBO</t>
  </si>
  <si>
    <t>180.10.05.021-2016</t>
  </si>
  <si>
    <t>INTERVENTORÍA TÉCNICA, FINANCIERA, ADMINISTRATIVA, AMBIENTAL, JURÍDICA Y CONTROL DE CALIDAD PARA LA REHABILITACIÓN Y ADECUACIÓN DE VÍAS EN LA ZONA INDUSTRIAL DEL SECTOR ARROYOHONDO I, DEL MUNICIPIO DE YUMBO, VALLE DEL CAUCA.</t>
  </si>
  <si>
    <t>CONSORCIO
IZI 2016</t>
  </si>
  <si>
    <t>DEPARTAMENTO DE SUCRE</t>
  </si>
  <si>
    <t>CM 001-2014</t>
  </si>
  <si>
    <t>INTERVENTORÍA TÉCNICA, ADMINISTRATIVA, FINANCIERA Y AMBIENTAL PARA LAS OBRAS DE MEJORAMIENTO EN PAVIMENTO ASFALTICO DE LA VIA SAMPUÉS - SAN BENITO ABAD, MUNICIPIOS DE SAMPUÉS (K49+500) Y SAN BENITO ABAD (K+000) EN EL DEPARTAMENTO DE SUCRE</t>
  </si>
  <si>
    <t>CONSORCIO
VIAS SUCRE</t>
  </si>
  <si>
    <t>1950 - 2005</t>
  </si>
  <si>
    <t>INTERVENTORÍA DE LOS ESTUDIOS Y DISEÑOS, PAVIMENTACIÓN Y/O REPAVIMENTACIÓN DE LAS VÍAS INCLUIDAS DENTRO DEL PROGRAMA DE PAVIMENTACIÓN DE INFRAESTRUCTURA VIAL DE INTEGRACIÓN Y DESARROLLO GRUPO 30 VÍA EL PALO (K140+0000) - TORIBÍO - JAMBALÓ CON UNA LONGITUD DE 23.50 KILÓMETROS EN EL DEPARTAMENTO DEL CAUCA.</t>
  </si>
  <si>
    <t>CONSORCIO
CAUCA</t>
  </si>
  <si>
    <t>2577 DE 2007</t>
  </si>
  <si>
    <t>INTERVENTORIA PARA EL MEJORAMIENTO Y MANTENIMIENTO DE LA CARRETERA CHOCONTA - GUATEQUE, SECTOR PR 16+000 - PR 35+000 Y PR 36+000 AL PR 40+000, RUTA 5607</t>
  </si>
  <si>
    <t>PI LTDA</t>
  </si>
  <si>
    <t>836 DE 2012</t>
  </si>
  <si>
    <t>INTERVENTORIA PARA EL MEJORAMIENTO Y MANTENIMIENTO DE LA CARRETERA SAN ROQUE - LA PAZ, SECTOR SAN ROQUE A PR13+000, RUTA 4901 EN EL DEPARTAMENTO DEL CESAR, MODULO 4</t>
  </si>
  <si>
    <t>CONSORCIO UPI COLOMBIA</t>
  </si>
  <si>
    <t>3329 DE 2013</t>
  </si>
  <si>
    <t>INTERVENTORIA DE LAS OBRAS DE MEJORAMIENTO Y MANTENIMIENTO DE LA CARRETERA MEDIACANOA - ANSERMANUEVO - LA VIRGINIA SECTOR ANSERMANUEVO - LA VIRGINIA RUTA 2302 MODULO 2</t>
  </si>
  <si>
    <t>CONSORCIO UPITEC 2013</t>
  </si>
  <si>
    <t>AGENCIA NACIONAL DE 
INFRAESTRUCTURA -ANI</t>
  </si>
  <si>
    <t xml:space="preserve"> SEA-O5712012</t>
  </si>
  <si>
    <t>Interventoría Integral del contrato de concesión, el cual hace parte del proyecto Vial Rutas del Sol, sector 3: San Roque – Ye de Ciénaga y Valledupar – Carmen de Bolívar</t>
  </si>
  <si>
    <t>CONSORCIO EL SOL</t>
  </si>
  <si>
    <t>METROPLÚS S.A</t>
  </si>
  <si>
    <t>73 de 2010.</t>
  </si>
  <si>
    <t>Interventoría para la construcción corredor parcial de Itagüí, carrera 52D entre calles 87 y el puente del Parque del Artista y carrera 52 entre calles 87.</t>
  </si>
  <si>
    <t>SIGA CONSULTORES S. A</t>
  </si>
  <si>
    <t>Gobernación del Meta</t>
  </si>
  <si>
    <t>062 DE 2007</t>
  </si>
  <si>
    <t>Interventoría técnica, administrativa y financiera para la construcción del Puente Metálico Vehicular y accesos sobre Caño Parrado sector Mesetas-Galán en el Municipio de Villavicencio, Meta.</t>
  </si>
  <si>
    <t>CONSORCIO INTERPUENTES</t>
  </si>
  <si>
    <t>MUNICIPIO DE VILLAVICENCIO</t>
  </si>
  <si>
    <t>1762 DE 2013</t>
  </si>
  <si>
    <t>INTERVENTORIA TECNICA, ADMINISTRATIVA Y FINANCIERA PARA LA REHABILITACION DE LA CALLE 37 ENTRE LA CRA. 33 Y CRA 34, CRA 34 ENTRE CALLE 36 Y CALLE 38 SECTOR LA CRUZ Y CALLE 37 ENTRE CARRERA 34 Y GLORIETA HOSPITAL DEPARTAMENTAL EN EL MUNICIPIO DE VILLAVICENCIO Y PARA LA CONSTRUCION DEL PARQUE LAS JIRAFAS Y PLAZOLETA LA CRUZ EN EL MUNICIPIO DE VILLAVICENCIO</t>
  </si>
  <si>
    <t>UT. JIRAFAS 2013</t>
  </si>
  <si>
    <t>AGENCIA PARA LA
INFRAESTRUCTURA DEL META</t>
  </si>
  <si>
    <t>032 de 2016</t>
  </si>
  <si>
    <t>CONTROL MEDIANTE INTERVENTORIA TECNICA, LEGAL, ADMINISTRATIVA Y AMBIENTAL A LA CONSTRUCCION DE INFRAESTRUCTURA VIAL Y MILITAR EN LOS MUNICIPIOS DE RESTREPO Y VILLAVICENCIO</t>
  </si>
  <si>
    <t>CONSORCIO VIAL 
2016</t>
  </si>
  <si>
    <t>146 DE 2018</t>
  </si>
  <si>
    <t>CONTROL MEDIANTE INTERVENTORÍA TÉCNICA, LEGAL, ADMINISTRATIVA, FINANCIERA Y AMBIENTAL A LA CONSTRUCCIÓN DEL PUENTE Y MEJORAMIENTO DE VÍAS EN LOS MUNICIPIOS DE EL CASTILLO, SAN CARLOS DE GUAROA Y CASTILLA LA NUEVA, DEPARTAMENTO DEL META</t>
  </si>
  <si>
    <t>CONSORCIO VIAS 
DEL LLANO 2018</t>
  </si>
  <si>
    <t xml:space="preserve"> INVIAS</t>
  </si>
  <si>
    <t>420 de 2003</t>
  </si>
  <si>
    <t>Interventoría de las obras de Mejoramiento del sector K0+000 (Pueblo Rico) al K8+000 de la carretera Pueblo Rico - Apía. Ruta 50, Tramo 5003. en el Municipio de Pueblo Rico, Departamento de Risaralda.</t>
  </si>
  <si>
    <t>Consorcio CCC S.A -AIM LTDA</t>
  </si>
  <si>
    <t>Interventoría integral que incluye, pero no se limita a la interventoría técnica, financiera, administrativa, jurídica, gestión social, predial y ambiental para el mejoramiento del proyecto Corredor Trasversal Central del Pacifico fase II en el programa de Corredores Prioritanos para la Prosperidad</t>
  </si>
  <si>
    <t xml:space="preserve">Consorcio Prioritario 002 </t>
  </si>
  <si>
    <t>2982 de 2008</t>
  </si>
  <si>
    <t>Interventoría técnica, administrativa, y financiera para la reconstrucción, pavimentación y/o repavimentación de las vías tramo 1: tablazo-fenicia del k12+000 al k18+100 con una longitud de 6 10km, tramo 2: vía Tuluá - San Rafael del k14+040 al k21+440 con una longitud de 740km, y obras complementarias de la Vía Tuluá - San Rafael entre k6+570 al k11+690 en el Departamento del Valle Cauca</t>
  </si>
  <si>
    <t>CCC S A S</t>
  </si>
  <si>
    <t xml:space="preserve">MOVILIDAD
FUTURA S.A.S </t>
  </si>
  <si>
    <t xml:space="preserve">115 de 2016 </t>
  </si>
  <si>
    <t>INTERVENTORÍA EXTERNA INTEGRAL (TÉCNICA, ADMINISTRATIVA, FINANCIERA, CONTABLE Y AMBIENTAL) DEL CONTRATO DE OBRA PÚBLICA RESULTANTE DE LA LICITACIÓN PUBLICA N° LP-01-2016 CUYO OBJETO ES SELECCIONAR AL PROPONENTE QUE LLEVE A CABO POR EL 
SISTEMA DE PRECIOS UNITARIOS FIJOS, SIN FORMULA DE REAJUSTE, LA REHABILITACIÓN VIAL Y CONSTRUCCIÓN DEL ESPACIO PÚBLICO DEL TRAMO 4 PARA EL SETP- POPAYÁN.</t>
  </si>
  <si>
    <t xml:space="preserve">IAR PROYECTOS SAS </t>
  </si>
  <si>
    <t>GOBERNACION DE 
ARAUCA</t>
  </si>
  <si>
    <t>295 - 2005</t>
  </si>
  <si>
    <t>INTERVENTORIA TECNICA, ADMINISTRATIVA, FINANCIERA Y AMBIENTAL DE LAS OBRAS DE MANTENIMIENTO, MEJORAMIENTO Y PAVIMENTACION DE LA VIA TAME- ARAUCA, SECTOR LA ANTIOQUEÑA - RIO LIPA, MUNICIPIO DE ARAUCA, DPTO DE ARAUCA.</t>
  </si>
  <si>
    <t>Consorcio INTARCOL</t>
  </si>
  <si>
    <t>No se evidencia, con la documentación aportada, que en el contrato se hubiese ejecutado la interventoría a la actividad de pavimento asfaltico en caliente o cooncreto hidráulico, tal como lo establece el pliego de condiciones en su numeral 4.1.2 EXPERIENCIA Y FORMACIÓN ACADÉMICA DEL EQUIPO DE TRABAJO, subnumeral 2.</t>
  </si>
  <si>
    <t>029-2007</t>
  </si>
  <si>
    <t>INTERVENTORÍA TÉCNICA, ADMINISTRATIVA, FINANCIERA, JURIDICA Y CONTABLE AL CONTRATO 
DE OBRA PARA ADELANTAR LA  CONSTRUCCION DE PAVIMENTO  FLEXIBLE VIA TIMBIO - PAISPAMBA, MUNICIPIO DE SOTARA CAUCA  SEGUNDA ETAPA</t>
  </si>
  <si>
    <t>2053 de 2014</t>
  </si>
  <si>
    <t>INTERVENTORÍA PARA EL MEJORAMIENTO, MANTENIMIENTO Y REHABILITACIÓN DEL CORREDOR VIAL RIOSUCIO - BELÉN DE BAJIRÁ - CAUCHERAS</t>
  </si>
  <si>
    <t>CONSORCIO ECOVIAL</t>
  </si>
  <si>
    <t>1739 de 2015</t>
  </si>
  <si>
    <t>INTERVENTORÍA PARA EL MEJORAMIENTO, GESTIÓN SOCIAL, PREDIAL Y AMBIENTAL DE LA VÍA QUIBDÓ _ MEDELLÍN. SECTOR QUIBDÓ - EL DIECIOCHO PARA EL PROGRAMA VÍAS PARA LA
EQUIDAD” MODULO 1</t>
  </si>
  <si>
    <t>CONSORCIO ECO-118</t>
  </si>
  <si>
    <t>1188 del 2014</t>
  </si>
  <si>
    <t>MEJORAMIENTO Y MANTENIMIENTO DE LA CARRETERA CAUYÁ - SUPIA - LA FELISA</t>
  </si>
  <si>
    <t>CONSORCIO VIAL COLOMBIA 20-14</t>
  </si>
  <si>
    <t>LA UNIDAD ADMINISTRATIVA ESPECIAL DE 
LA AERONAUTICA CIVIL (U.A.E.A.C.)</t>
  </si>
  <si>
    <t>001-CON 97</t>
  </si>
  <si>
    <t xml:space="preserve">INTERVENTORIA DE OBRAS CIVILES PARA LA AMPLIACION Y 
REHABILITACION DE LAS MARGENES DE LA PISTA DEL 
AEROPUERTO INTERNACIONAL ERNESTO CORTISSOZ DE LA 
CIUDAD DE BARRANQUILLA </t>
  </si>
  <si>
    <t>AEROPUERTOS DEL CARIBE S.A. (ACSA)</t>
  </si>
  <si>
    <t>Gobernación de Antioquia</t>
  </si>
  <si>
    <t>2010-SS-20-8013</t>
  </si>
  <si>
    <t>INTERVENTORÍA  TÉCNICA, ADMINISTRATIVA, FINANCIERA Y 
AMBIENTAL DEL PROYECTO PARA LA REHABILITACIÓN DE LA 
RVSP, VÍA SAN PEDRO DE LOS MILAGROS - ENTRERIOS</t>
  </si>
  <si>
    <t>Ineica Ltda.</t>
  </si>
  <si>
    <t>Invias</t>
  </si>
  <si>
    <t>0568 de 2001</t>
  </si>
  <si>
    <t>INTERVENTORIA PARA EL MANTENIMIENTO DE LA CARRETERA 
PUERTO REY - MONTERIA</t>
  </si>
  <si>
    <t>UNIÓN TEMPORAL RAFAEL GUSTAVO RIOS B. E INEICA LTDA</t>
  </si>
  <si>
    <t>Municipio de Tocancipa</t>
  </si>
  <si>
    <t>332 de 2008</t>
  </si>
  <si>
    <t>INTERVENTORÍA TÉCNICA ADMINISTRATIVA Y FINANCIERA PARA LA CONSTRUCCIÓN PAVIMENTACIÓN DE LA VÍA, CAMINO EN LA VEREDA CANATIVA DEL MUNICIPIO DE TOCANCIPÁ</t>
  </si>
  <si>
    <t>CONSORCIO CANAVITA</t>
  </si>
  <si>
    <t>457-00</t>
  </si>
  <si>
    <t>INTERVENTORIA, TECNICA, ADMINISTRATIVA, Y FINANCIERA A PRECIO GLOBAL FIJO PARA EL ESTUDIO, DISEÑO Y CONSTRUCCIÓN DE ACCESOS A BARRIOS Y PAVIMENTOS LOCALES EN LAS LOCALIDADES DE CIUDAD BOLIVAR.</t>
  </si>
  <si>
    <t>UNION TEMPORAL SABANA</t>
  </si>
  <si>
    <t>813 DE 2012</t>
  </si>
  <si>
    <t>INTERVENTORÍA PARA EL MEJORAMIENTO Y MANTENIMIENTO DE LA CARRETERA MALAGA - LOS CUROS, RUTA 55ST02, DEPARTAMENTO DE SANTANDER, MODULO 3</t>
  </si>
  <si>
    <t>CONSORCIO JPS-AIM/006</t>
  </si>
  <si>
    <t>N.D.</t>
  </si>
  <si>
    <t>1541 DE 2015</t>
  </si>
  <si>
    <t>INTERVENTORíA PARA EL - MEJORAMIENTO, GESTIÓN PREDIAL, SOCIAL Y AMBIENTAL DE LA VÍA ASTILLEROS - TIBÚ EN EL DEPARTAMENTO DE SANTANDER PARA EL PROGRAMA "VÍAS PARA LA EQUIDAD" MÓDULO 3</t>
  </si>
  <si>
    <t>CONSORCIO VIAS EQUIDAD 2015</t>
  </si>
  <si>
    <t>INTERVENTORÍA TÉCNICA, ADMINISTRATIVA Y AMBIENTAL PARA EL MEJORAMIENTO Y ATENCIÓN PUNTOS CRÍTICOS EN LA VÍA CONCORDIA — BETULIA Y PAVIMENTACIÓN DE LAS VÍAS URBANAS EN EL MUNICIPIO DE BETULIA EN EL DEPARTAMENTO DE ANTIOQUIA</t>
  </si>
  <si>
    <t>MUNICIPIO DE SABANETA</t>
  </si>
  <si>
    <t>535 DE 2014</t>
  </si>
  <si>
    <t>INTERVENTORIA TÉCNICA, ADMINISTRATIVA, FINANCIERA Y AMBIENTAL PARA LA CONSTRUCCIÓN DE LA SEGUNDA CALZADA AVENIDA LAS VEGAS ENTRE LA CALLE 73 SUR Y LA CALLE 77 SUR Y OBRAS COMPLEMENTARIAS EN EL MUNICIPIO DE SABANETA</t>
  </si>
  <si>
    <t>CONSORCIO DOBLE CALZADA</t>
  </si>
  <si>
    <t>VALORIZACIÓN DEPARTAMENTAL DE ANTIOQUIA</t>
  </si>
  <si>
    <t>Interventoría técnica, administrativa, contable y ambiental del proyecto para el mejoramiento y pavimentación de la Troncal de La Paz, tramo La Cruzada - Caucasia, sector Nuevo Oriente - Escarralao, Valorización Departamental, Antioquia</t>
  </si>
  <si>
    <t>CONSORCIO DINSEDIC</t>
  </si>
  <si>
    <t>Interventoría Integral (Técnica, Administrativa y Financiera) del contrato de ejecución del proyecto “Corredor de Acceso Rápido de la Variante de Cartagena"</t>
  </si>
  <si>
    <t>Interventoría de la construcción y pavimentación de la Carretera Bolombolo - Santa Fe de Antioquia</t>
  </si>
  <si>
    <t>4000483-OH-2004</t>
  </si>
  <si>
    <t>Interventoría técnica administrativa para el mantenimiento de las Calles de Rodaje de la pista del Aeropuerto Internacional el Dorado.</t>
  </si>
  <si>
    <t>5000548-OH-2005</t>
  </si>
  <si>
    <t>Realizar la interventoría técnica y administrativa para el mejoramiento de la pista del aeropuerto de Calamar Guaviare.</t>
  </si>
  <si>
    <t>7000506-OH-2007</t>
  </si>
  <si>
    <t>Interventoría técnica y administrativa para las obras de mejoramiento de la pista del aeropuerto de Acandi y mejoramiento del cerramiento del aeropuerto de Capurgana</t>
  </si>
  <si>
    <t>1213 de 2009</t>
  </si>
  <si>
    <t>INTERVENTORIA PARA EL MEJORAMIENTO Y MANTENIMIENTO DE LA CARRETERA CERETE - LORICA. RUTA 21 TRAMO 2103</t>
  </si>
  <si>
    <t>IGNACIO ALVAREZ REYES</t>
  </si>
  <si>
    <t>4043 de 2013</t>
  </si>
  <si>
    <t>MEJORAMIENTO Y MANTENIMIENTO DE LA CARRETERA CAUYÁ – SUPIA – LA PINTADA, SECTOR CAUYÁ – SUPIA – LA FELISA (PR00+0000 – PR61+0000)</t>
  </si>
  <si>
    <t>CONSORCIO INTERVIAL OCCIDENTE</t>
  </si>
  <si>
    <t>PV-018-2003</t>
  </si>
  <si>
    <t>INTERVENTORÍA TÉCNICA, ADMINISTRATIVA Y FINANCIERA PARA LA RECONSTRUCCIÓN, PAVIMENTACIÓN Y/O REPAVIMENTACIÓN EN EL TRAMO VARSOVIA - FILADELFIA - LA FELISA INCLUIDOS EN EL PROGRAMA DE PAVIMENTACIÓN DE LA GOBERNACIÓN DE CALDAS</t>
  </si>
  <si>
    <t>ALCALDIA MUNICIPAL DE MOSQUERA</t>
  </si>
  <si>
    <t>001-2013</t>
  </si>
  <si>
    <t>INTERVENTORÍA TÉCNICA, ADMINISTRATIVA, LEGAL, AMBIENTAL Y CONTABLE PARA LA CONSTRUCCIÓN, RECONSTRUCCIÓN ADECUACIÓN DE VÍAS, ESPACIO PÚBICO Y OBRAS COMPLEMENTARIAS DEL SISTEMA VIAL DEL MUNICIPIO DE MOSQUERA CUNDINAMARCA – VIAS EN MARCHA 2013 FASE 1.</t>
  </si>
  <si>
    <t>CONSORCIO INTERMOSQUERA</t>
  </si>
  <si>
    <t>No se evidencia, con la documentación aportada, que en el contrato se hubiese ejecutado la interventoría a la actividad de pavimento asfaltico en caliente o concreto hidraulico, tal como lo establece el pliego de condiciones en su numeral 4.1.2 EXPERIENCIA Y FORMACIÓN ACADÉMICA DEL EQUIPO DE TRABAJO, subnumeral 2.</t>
  </si>
  <si>
    <t>002-2013</t>
  </si>
  <si>
    <t>INTERVENTORÍA TÉCNICA, ADMINISTRATIVA, LEGAL, AMBIENTAL Y CONTABLE PARA LA CONSTRUCCIÓN, RECONSTRUCCIÓN, ADECUACIÓN DE VÍAS, ESPACIO PÚBLICO Y OBRAS COMPLEMENTARIAS DEL SISTEMA VIAL DEL MUNICIPIO DE MOSQUERA CUNDINAMARCA – VÍAS EN MARCHA 2013 FASE 2 Y CONSTRUCCIÓN, RECONSTRUCCIÓN ADECUACIÓN DE VÍAS, ESPACIO PÚBICO Y OBRAS COMPLEMENTARIAS DEL SISTEMA VIAL DEL MUNICIPIO DE MOSQUERA CUNDINAMARCA – VIAS EN MARCHA 2013 FASE 3. (RECONSTRUCCIÓN DE PAVIMENTO FLEXIBLE, ESPACIO PUBLICO Y OBRAS COMPLEMENTARIAS DE LA CALLE 20 ENTRE CARRERAS 3 Y 2E BARRIO LA ESPERANZA, CASCO URBANO CENTRAL MUNICIPIO DE MOSQUERA CUNDINAMARCA.</t>
  </si>
  <si>
    <t>GNG INGENIERIA S.A.S.</t>
  </si>
  <si>
    <t>FONDO DE DESARROLLO LOCAL DE CIUDAD BOLÍVAR</t>
  </si>
  <si>
    <t>INTERVENTORÍA TÉCNICA, ADMINISTRATIVA, FINANCIERA, SOCIAL Y SISOMA AL CONTRATO DE OBRA PUBLICA QUE TIENE POR OBJETO LA CONSTRUCCIÓN DE LA MALLA VIAL LOCAL Y ESPACIO PUBLICO DE LAS UPZ`S 66, 68, 69 Y SECTOR RURAL DE LA LOCALIDAD 19.</t>
  </si>
  <si>
    <t>CONSORCIO INTERVENTORIA CIUDAD BOLIVAR</t>
  </si>
  <si>
    <t xml:space="preserve">SECRETARIA DE INFRAESTRUCTURA, DEPARTAMENTO DEL QUINDIO </t>
  </si>
  <si>
    <t>009 DE 2010</t>
  </si>
  <si>
    <t xml:space="preserve">INTERVENTORIA TECNICA, ADMINISTRATIVA Y FINANCIERA PARA LA OBRA PAVIMENTACION VIA LA ESPAÑOLA-BARRAGAN-GENOVA ENTRE EL PR 40+750 AL PR 45+500 COD.40QN05 (NI 28-29-51) 2DO. ORDEN MUNICIPIO DE GENOVA. </t>
  </si>
  <si>
    <t>JHON FABER CARMONA MEJIA</t>
  </si>
  <si>
    <t>SECRETARIA DE INFRAESTRUCTURA, DEPARTAMENTO DEL QUINDIO</t>
  </si>
  <si>
    <t>CH-002-2011</t>
  </si>
  <si>
    <t xml:space="preserve">CONSTRUCCIÓN DEL PUENTE CARNICEROS ALTO, VIA LA QUIEBRA MUNICIPIO DE CORDOBA K2+700, DEPARTAMENTO DEL QUINDIO (ADECUACIÓN DE VIA) </t>
  </si>
  <si>
    <t xml:space="preserve">SECRETARIA DE AGUAS E INFRAESTRUCTURA DEL DEPARTAMENTO DEL QUINDIO </t>
  </si>
  <si>
    <t>SID 001 DE 2014</t>
  </si>
  <si>
    <t xml:space="preserve">INTERVENTORIA TECNICA, ADMINSITRATIVA, FINANCIERA Y AMBIENTAL PARA LA OBRA MEJORAMIENTO, PAVIMENTACIÓN VIA CARNICEROS – LA QUIEBRA, MUNICIPIOS DE CORBODA Y PIJAO Y CONSTRUCCIÓN DE OBRAS DE DISIPACIÓN Y CONTENCIÓN EN EL SECTOR DE LA MINA, DEPARTAMENTO DEL QUINDIO  </t>
  </si>
  <si>
    <t>CONSORCIO CABA INGENIERIA CARMONA CARVAJAL SAS</t>
  </si>
  <si>
    <t>4258 DE 2013</t>
  </si>
  <si>
    <t>INTERVENTORIA DE LAS OBRAS DE MEJORAMIENTO Y MANTENIMIENTO DEL SECTOR PR32+0500 AL PR36+0000 DE LA CARRETERA PASTO-MOJARRAS, RUTA 2502. DEPARTAMENTO DE NARIÑO</t>
  </si>
  <si>
    <t>CONSORCIO JMDS 125</t>
  </si>
  <si>
    <t>4099 DE 2013</t>
  </si>
  <si>
    <t>INTERVENTORIA PARA EL MEJORAMIENTO Y MANTENIMIENTO CARRETERA CEBADAL – CONSACÁ – SANDONÁ – PASTO, RUTA 2501B. DEPARTAMENTO DE NARIÑO”.</t>
  </si>
  <si>
    <t>CONSORCIO MDS 137</t>
  </si>
  <si>
    <t>4233 DE 2013</t>
  </si>
  <si>
    <t>INTERVENTORIA PARA EL MEJORAMIENTO, GESTION SOCIAL, PREDIAL YAMBIENTAL DEL PROYECTO: EL EMPATE – LA UNION, RUTA 2501ª EN EL TRAMO DEL PR60+240 AL PR 6+090.
DEPARTAMENTO DE NARIÑO”.</t>
  </si>
  <si>
    <t>IDU- 1856-2013</t>
  </si>
  <si>
    <t>INTERVENTORIA TECNICA, ADMINISTRATIVA, FINANCIERA, LEGAL, SOCIAL,AMBIENTA Y S&amp;SO PARA LA COMPLEMENTACIÓN Y/O ACTUALIZACIÓN Y/O AJUSTES DISEÑOS Y CONSTRUCCIÓN DE ACCESOS A BARRIOS Y PAVIMENTOS LOCALES GRUPO 5- LOCALIDADES DE SUBA, USAQUEN,BOSA, CIUDAD BOLIVAR Y RAFAEL URIBE EN BOGOTÁ D.C</t>
  </si>
  <si>
    <t>CIVILTEC
INGENIEROS LTDA</t>
  </si>
  <si>
    <t>No se evidencia, con la documentación aportada, que en el contrato se hubiese ejecutado la interventoría a la actividad de pavimento asfaltico en caliente o concreto hidráulico, tal como lo establece el pliego de condiciones en su numeral 4.1.2 EXPERIENCIA Y FORMACIÓN ACADÉMICA DEL EQUIPO DE TRABAJO, subnumeral 2.</t>
  </si>
  <si>
    <t>IDU- 1832-2013</t>
  </si>
  <si>
    <t xml:space="preserve">INTERVENTORÍA TÉCNICA, ADMINISTRATIVA, LEGAL, FINANCIERA, SOCIAL,AMBIENTAL Y S&amp;SO PARA LA CONSTRUCCIÓN Y REHABILITACIÓN DE ACCESORIOS A BARRIOS Y PAVIMENTOS LOCALES GRUPO 2- LOCALIDADES DE BOSA, KENNEDY, FONTIBON Y ENGATIVA EN BOGOTÁ D.C </t>
  </si>
  <si>
    <t>IDU- 737-2017</t>
  </si>
  <si>
    <t>INTERVENTORÍA TÉCNICA, ADMINISTRATIVA, FINANCIERA, LEGAL, SOCIAL, SST Y AMBIENTE DE LAS OBRAS Y ACTIVIDADES NECESARIAS PARA LA CONSERVACIÓN DE LA MALLA VIAL ARTERIAL TRONCAL Y MALLA VIAL QUE SOPORTA LAS RUTAS DEL SISTEMA INTEGRADO DE TRANSPORTE PÚBLICO ¿ SITP, GRUPOS 1, 2 Y 3 EN LA CIUDAD DE BOGOTÁ D.C- GRUPO 1"</t>
  </si>
  <si>
    <t>MUNICIPIO DE VALENCIA</t>
  </si>
  <si>
    <t>LP-007-2018</t>
  </si>
  <si>
    <t>CONSTRUCCIÓN DE PAVIMENTO RÍGIDO Y OBRAS DE URBANISMO EN LA CARRERA 15 ENTRE CALLE 14 Y CALLE 18, BARRIOS LA CRUZ Y OSPINA PEREZ ZONA URBANA DEL MUNICIPIO DE VALENCIA, DEPARTAMENTO DE CÓRDOBA.</t>
  </si>
  <si>
    <t>DABERLIS ELIAS ARRIETA CARDENAS</t>
  </si>
  <si>
    <t>MUNICIPIO EL ROBLE</t>
  </si>
  <si>
    <t>SP-SAMC-OP-001-2018</t>
  </si>
  <si>
    <t>MEJORAMIENTO DE LA VÍA QUE COMUNICA EL CASCO URBANO CON EL CORREGIMIENTO DE LAS TABLITAS EN EL MUNICIPIO DE EL ROBLE- SUCRE.</t>
  </si>
  <si>
    <t>PROINEC SAS</t>
  </si>
  <si>
    <t>No se evidencia, con la documentación aportada, que en el contrato se hubiese ejecutado la actividad correspondiente a pavimento asfaltico en caliente o concreto hidráulico, tal como lo establece el pliego de condiciones en su numeral 4.1.2 EXPERIENCIA Y FORMACIÓN ACADÉMICA DEL EQUIPO DE TRABAJO, subnumeral 2.</t>
  </si>
  <si>
    <t>MUNICIPIO DE PUERTO LIBERTADOR</t>
  </si>
  <si>
    <t>LP-MPL-003-2018</t>
  </si>
  <si>
    <t>REHABILITACIÓN Y ADECUACIÓN DE LA VÍA VILLA NUEVA- LA RICA CON OBRA HIDRÁULICAS, MUNICIPIO DE PUERTO LIBERTADOR, DEPARTAMENTO DE CÓRDOBA.</t>
  </si>
  <si>
    <t>CONSORCIO VILLA NUEVA- LA RICA 2018</t>
  </si>
  <si>
    <t>METROVIVIENDA</t>
  </si>
  <si>
    <t>CST66-2004</t>
  </si>
  <si>
    <t>INTERVENTORIA DE LA CONSTRUCCIÓN DE LAS OBRAS DE URBANISMO SECUNDARIO DE LA CUARTA ETAPA DE LA CIUDADELA EL PORVENIR DE LAS AMÉRICAS, UBICADA EN LA LOCALIDAD DE BOSA.</t>
  </si>
  <si>
    <t>Consorcio DIS LTDA –
EDL LTDA..</t>
  </si>
  <si>
    <t>No se evidencia, con la documentación aportada, que en el contrato se hubiese ejecutado la interventoría a carreteras, ni la actividad correspondiente a pavimento asfaltico en caliente o concreto hidráulico, tal como lo establece el pliego de condiciones en su numeral 4.1.2 EXPERIENCIA Y FORMACIÓN ACADÉMICA DEL EQUIPO DE TRABAJO, subnumeral 2.</t>
  </si>
  <si>
    <t>414-2007</t>
  </si>
  <si>
    <t>INTERVENTORIA TÉCNICA, ADMINISTRATIVA, AMBIENTAL Y FINANCIERA PARA LA CONSTRUCCIÓN DE LA DOBLE CALZADA DE LA LOMA DE LOS BALSOS, INCLUIDO EL INTERCAMBIO VIAL EN EL CRUCE CON LA AVENIDA EL POBLADO, EN LA CIUDAD DE MEDELLIN.</t>
  </si>
  <si>
    <t>Consorcio EDL LTDA –
CEI S.A.</t>
  </si>
  <si>
    <t>No se evidencia, con la documentación aportada, que en el contrato se hubiese ejecutado la interventoría a la actividad correspondiente a pavimento asfaltico en caliente o concreto hidráulico, tal como lo establece el pliego de condiciones en su numeral 4.1.2 EXPERIENCIA Y FORMACIÓN ACADÉMICA DEL EQUIPO DE TRABAJO, subnumeral 2.</t>
  </si>
  <si>
    <t>0157-2009</t>
  </si>
  <si>
    <t>INTERVENTORÍA A LOS ESTUDIOS Y DISEÑOS, GESTIÓN SOCIAL, PREDIAL Y AMBIENTAL, CONSTRUCCIÓN Y OPERACIÓN DEL PROYECTO “CRUCE DE LA CORDILLERA CENTRAL: TÚNEL DEL II CENTENARIO – TÚNEL DE LA LÍNEA Y SEGUNDA CALZADA CALARCÁ – CAJAMARCA”.</t>
  </si>
  <si>
    <t>CONSORCIO DIS S.A. –
EDL LTDA.</t>
  </si>
  <si>
    <t>ALCALDIA DE CHÍA</t>
  </si>
  <si>
    <t>2018-CT-457</t>
  </si>
  <si>
    <t>INTERVENTORIA TECNICA, ADMINISTRATIVA, FINANCIERA Y AMBIENTAL PARA MANTENIMIENTO Y ADECUACIÓN DE VIAS URBANAS EN EL MUNICIPIO DE CHIA.</t>
  </si>
  <si>
    <t>CONSORCIO DESARROLLO URBANO</t>
  </si>
  <si>
    <t>MUNICIPIO DE TENJO</t>
  </si>
  <si>
    <t>CM-CA-INT-225-2015</t>
  </si>
  <si>
    <t>INTERVENTORÍA TÉCNICA PARA EL MEJORAMIENTO DE LA VÍA FUNZA SECTOR DEL K0+000 (CRUCE LA PUNTA) AL K0+500 (VICÓN) DE LA VEREDA LA PUNTA, MUNICIPIO DE TENJO</t>
  </si>
  <si>
    <t>C.S.I. CONSTRUCCIÓNES, SERVICIOS E INGENIERIA E.U.</t>
  </si>
  <si>
    <t>INTERVENTORÍA TÉCNICA, ADMINISTRATIVA Y FINANCIERA PARA LA CONSTRUCCIÒN Y APERTURA DE LA CALLE 15 ENTRE CARRERA 8 Y 9 EN EL MUNICIPIO DE CHÌA, A TODO COSTO</t>
  </si>
  <si>
    <t>CONSORCIO SAN GABRIEL 014</t>
  </si>
  <si>
    <t>ALCALDIA MUNICIPAL DE SAN ANTERO</t>
  </si>
  <si>
    <t>URRA S.A E.S.P</t>
  </si>
  <si>
    <t>240-1999</t>
  </si>
  <si>
    <t>INTERVENTORIA TECNICA ADMINISTRATIVA CONTABLE Y AMBIENTAL PARA LA REHABILITACION DE LA VIA KM 15 TIERRALTA</t>
  </si>
  <si>
    <t>MIGUEL ALEJANDRO JIMENEZ DIAZ</t>
  </si>
  <si>
    <t>2872-2007</t>
  </si>
  <si>
    <t>INTERVENTORIA TECNICA ADMINISTRATIVA FINANCIERA Y AMBIENTAL PARA EL MEJORAMIENTO DE LA VIA SALAZAR - ARBOLEDAS, SECTOR K5 + 540 KM 16+000, MUNICIPIO DE SALAZAR Y ARBOLEDAS, DEPARTAMENTO DE SANTANDER</t>
  </si>
  <si>
    <t>CONSORCIO JIMENEZ - POSADA</t>
  </si>
  <si>
    <t>1247 DE 2013</t>
  </si>
  <si>
    <t>INTERVENTORIA PARA EL MEJORAMIENTO Y MANTENIMIENTO DE LA CARRETERA ALTAMIRA FLORENCIA RUTA 20 TRAMO 2003 DEPARTAMENTO DEL HUILA</t>
  </si>
  <si>
    <t>CAG INGENIERIA SAS</t>
  </si>
  <si>
    <t>GOBERNACION DEL TOLIMA</t>
  </si>
  <si>
    <t>1247 DE 2015</t>
  </si>
  <si>
    <t>CONTRATAR LA INTERVENTORIA TECNICA ADMINISTRATIVA FIANACIERA LEGAL Y AMBIENTAL DEL PROYECTO DE REHABILIGACION Y MANTENIMIENTO DE LA VIA IBAGUE JUNTAS TOMANDO COMO KILOMETRO 0 + 000 LA CASA DE JORGE ISAAC DEL MUNICIPIO DE IBAGUE DEPARTAMENTO DEL TOLIMA</t>
  </si>
  <si>
    <t>CONSORCIO JUNTAS 2015</t>
  </si>
  <si>
    <t>ICCU</t>
  </si>
  <si>
    <t>449 DE 2018</t>
  </si>
  <si>
    <t>INTERVENTORIA TECNICA ADMINISTRATIVA FINANCIERA Y LEGAL PARA LA REHABILITACION Y MANTENIMIENTO DE LA VIA GUASCA - SUEVA GACHELA - UBALA DEL MUNICIPIO DE CUNDINAMARCA</t>
  </si>
  <si>
    <t>CONSORCIO CEF CUNDINAMARCA</t>
  </si>
  <si>
    <t>MINISTERIO DE OBRAS PUBLICAS Y TRANSPORTE DE OCAÑA</t>
  </si>
  <si>
    <t>N/A</t>
  </si>
  <si>
    <t>PAVIMENTACION DEL SECTOR TOTUMAL - LA MATA DE LA CARRETERA BUCARAMANGA SANTA MARTA</t>
  </si>
  <si>
    <t>HUMBERTO VIAFARA POLANCO</t>
  </si>
  <si>
    <t>METRO CALI</t>
  </si>
  <si>
    <t>MC-IT-02-05</t>
  </si>
  <si>
    <t>INTERVENTORIA TECNICA ADMINISTRATIVA LEGAL Y FINANCIERA PARA LA CONSTRUCCION DEL CORREDOR TRONCAL SUR Y OBRAS COMPLEMENTARIAS DEL SISTEMA DE TRANSPORTE MASIVO</t>
  </si>
  <si>
    <t>CONSORCIO METRO CALI TRONCAL SUR 003</t>
  </si>
  <si>
    <t>MUNICIPIO DE BELLO</t>
  </si>
  <si>
    <t>682-2007</t>
  </si>
  <si>
    <t>INTERVENTORIA TECNICA ADMINISTRATIVA FINANCIERA PARA LAS OBRAS DE REMODELACION URBANISTICA DE VIAS, CONSTRUCCION ALAMEDA LA GRACIA Y DISEÑOS INTERCAMBIO VIAL SOLLA</t>
  </si>
  <si>
    <t>UNION TEMPORAL PLANEAR</t>
  </si>
  <si>
    <t>GOBERNACION DEL HUILA</t>
  </si>
  <si>
    <t>029/95</t>
  </si>
  <si>
    <t>INTERVENTORIA TECNICA ADMINISTRATIVA, PARA LAS OBRAS CIVILES, QUE SE REALIZARON PARA LA CONSTRUCCION DE LA CARRETERA GARZON- AGRADO-PITAL, EN UNA LONGITUD DE 27,5 KM SEGÚN CONTRATO No. 029/95 Y SUS ADICIONALES.</t>
  </si>
  <si>
    <t>SOCIEDAD SOTA TECNICA LTDA</t>
  </si>
  <si>
    <t>ALCALDIA DE NEIVA</t>
  </si>
  <si>
    <t>027/02</t>
  </si>
  <si>
    <t>INTERVENTORIA DE LA CONSTRUCCION DE LA CARRERA 2 EN EL TRAMO COMPRENDIDO ENTRE LA CALLE 2 SUR Y LA CARRETERA QUE CONDUCE AL SUR DEL PAIS FRENTE A SURABASTOS</t>
  </si>
  <si>
    <t>0234/10</t>
  </si>
  <si>
    <t>INTERVENTORIA TECNICA, ADMINISTRATIVA, FINANCIERA Y PARA LA CONSTRUCCION DE 4,6 KILOMETROS DE VIA EN PAVIMENTO FLEXIBLE DE LA VIA GUASIMOS - SANTA MARIA DEL K20+000 AL K24 + 600 DEL MUNICIPIO DE SANTA MARIA, EN EL DEPARTAMENTO DEL HUILA</t>
  </si>
  <si>
    <t>INVIAS - INCO</t>
  </si>
  <si>
    <t>0697/01</t>
  </si>
  <si>
    <t>INTERVENTORIA TECNICA OPERATIVA Y FINANCIERA EN LA ETAPA DE LA CONSTRUCCION DEL CONTRATO DE LA CONCESIÓN No, 005/99 MALLA VIAL DEL CAUCA Y CAUCA</t>
  </si>
  <si>
    <t>HIDROTEC LTDA</t>
  </si>
  <si>
    <t>INCO</t>
  </si>
  <si>
    <t>SEA-C-MVVCC-089-2004</t>
  </si>
  <si>
    <t>INTERVENTORIA TECNICA FINANCIERA Y OPERATIVA EN LA ETAPA DE CONSTRUCCION DEL CONTRATO DE CONCESION No. 005 DE 1999 MALLA VIAL DEL VALLE DEL CAUCA Y CAUCA</t>
  </si>
  <si>
    <t>CONSORCIO INTERVALLE</t>
  </si>
  <si>
    <t>SIN NRO</t>
  </si>
  <si>
    <t>INTERVENTORIA DE LAS OBRAS DE CONSTRUCCION Y PAVIMENTACION DEL SECTOR EL ESTADIO PR 0 +000 - PUENTE SOBRE EL RIO QUINDIO  PR 4 + 130,57 DE LA VARIANTE CALARCA ARMENIA PARA EL INVIAS</t>
  </si>
  <si>
    <t>C&amp;H LTDA</t>
  </si>
  <si>
    <t>ALCALDIA DE MEDELLÍN</t>
  </si>
  <si>
    <t>SIN</t>
  </si>
  <si>
    <t>CONSTRUCCION DE LAS OBRAS DE MEJORAMIENTO DE LAS VIAS PIEDRA GORDA - MAZO - EL TAMBO EN EL CORREGIMIENTO DE SANTA ELENA</t>
  </si>
  <si>
    <t>CONSORCIO VIAL SANTA ELENA</t>
  </si>
  <si>
    <t>No se evidencia, con la documentación aportada, que en el contrato se hubiese ejecutado la actividad correspondiente a pavimento asfaltico en caliente o concreto hidraulico, tal como lo establece el pliego de condiciones en su numeral 4.1.2 EXPERIENCIA Y FORMACIÓN ACADÉMICA DEL EQUIPO DE TRABAJO, subnumeral 2.</t>
  </si>
  <si>
    <t>DEPARTAMENTO DE ANTIOQUIA</t>
  </si>
  <si>
    <t>4600008772 DE 2018</t>
  </si>
  <si>
    <t>MEJORAMIENTO DE VIAS SECUNDARIAS EN LA SUBREGION ORIENTE DE ANTIOQUIA CON RECURSOS PROVENIENTES DE LA ENAJENACION DE ISAGEN LA VIA SAN VICENTE - CONCEPCION DEL MUNICIPIO DE SAN VICENTE</t>
  </si>
  <si>
    <t>CONSORCIO VIAL SAN VICENTE</t>
  </si>
  <si>
    <t>El Proponente aclara a la entidad que el contrato fue ejecutado con el Departamente de Antioquia, por tanto se realiza la revisión del archivo de gestión.</t>
  </si>
  <si>
    <t>CONSTRUCCION DE VIAS URBANAS EN EL MUNICIPIO DE ENVIGADO</t>
  </si>
  <si>
    <t>CONSORCIO LAS ANTILLAS RPC</t>
  </si>
  <si>
    <t>PRESUPUESTO OFICIAL EN PESOS</t>
  </si>
  <si>
    <t>PRESUPUESTO OFICIAL EN SMMLV</t>
  </si>
  <si>
    <t xml:space="preserve">TRM DEL DIA </t>
  </si>
  <si>
    <t>21 de julio de 2020</t>
  </si>
  <si>
    <t>Cifras decimales de la TRM</t>
  </si>
  <si>
    <t xml:space="preserve">Valor del % a aplicar al FMO </t>
  </si>
  <si>
    <t>FACTURACIÓN MENSUAL OFICIAL - FMO (SMMLV)</t>
  </si>
  <si>
    <t>FMO AFECTADA POR EL % DE LA TRM (SMMLV)</t>
  </si>
  <si>
    <t>Valor promedio de Facturación Mensual del proponente con Mayor Puntaje</t>
  </si>
  <si>
    <t>Desviación de la propuesta con Mayor puntaje</t>
  </si>
  <si>
    <t>Desviación de la propuesta con Menor Puntaje</t>
  </si>
  <si>
    <t>N°</t>
  </si>
  <si>
    <t>Proponente</t>
  </si>
  <si>
    <t>EXPERIENCIA HABILITANTE (HABIL/NO HABIL)</t>
  </si>
  <si>
    <t>REQUISITOS HABILITANTES (HABIL/NO HABIL)</t>
  </si>
  <si>
    <t>VALOR PROMEDIO DE LA FACTURACIÓN MENSUAL DEL PROPONENTE
PFMPi</t>
  </si>
  <si>
    <t>Diferencia entre FMO afectado por el % TRM y el PFMPi</t>
  </si>
  <si>
    <t>Puntaje por Experiencia del proponente</t>
  </si>
  <si>
    <t>Puntaje por Experiencia y formación académica del equipo de trabajo</t>
  </si>
  <si>
    <t>Puntaje acumulado por experiencia del proponente y el equipo de trabajo</t>
  </si>
  <si>
    <t>Puntaje por Estímulo a la Industria Nacional (Diligenciar)</t>
  </si>
  <si>
    <t>Puntaje para Proponentes con trabajadores con discapacidad</t>
  </si>
  <si>
    <t>PUNTAJE TOTAL</t>
  </si>
  <si>
    <t>PUNTAJE REAL</t>
  </si>
  <si>
    <t>PUNTAJE JERARQUIA</t>
  </si>
  <si>
    <t>JERARQUIA</t>
  </si>
  <si>
    <t>Experiencia total del profesional en años</t>
  </si>
  <si>
    <t>EL PROFESIONAL OFRECIDO POR EL PROPONENTE CUMPLE CON LOS REQUISITOS MÍNIMOS ESTABLECIDOS EN EL NUMERAL 4.1.2. (no se evalúa simultaneidad de procesos)</t>
  </si>
  <si>
    <t>Fecha de cierre es menor respecto a procesos simultáneos (para evaluar en que proceso se tiene en cuenta el profesional)</t>
  </si>
  <si>
    <t>Profesional válido por procesos de selección simultáneos?</t>
  </si>
  <si>
    <t>TÍTULO DE POSGRADO EN LAS ÁREAS RELACIONADAS</t>
  </si>
  <si>
    <t>CONCURSO DE MÉRITOS No. 10827</t>
  </si>
  <si>
    <t>OBJETO: INTERVENTORÍA TÉCNICA, ADMINISTRATIVA, AMBIENTAL, FINANCIERA Y LEGAL PARA LA CONSERVACIÓN, MANTENIMIENTO Y REHABILITACIÓN DE LAS VÍAS A CARGO DEL DEPARTAMENTO DE ANTIOQUIA EN LAS SUBREGION ORIENTE</t>
  </si>
  <si>
    <t>CONSORCIO HUPERNIKAO VIAL 827</t>
  </si>
  <si>
    <t>JET INGENIERIA SAS 75% - CTO INGENIERIA SAS 25%</t>
  </si>
  <si>
    <t>CONSORCIO INTERANTIOQUIA</t>
  </si>
  <si>
    <t>CPS INFRAESTRUCTURAS COLOMBIA SAS 50% - INGENIERIA DF SAS 50%</t>
  </si>
  <si>
    <t>CONSORCIO JE ORIENTE</t>
  </si>
  <si>
    <t>ELSA MARIA RUEDA LANDINEZ INGENIERIA SAS 50% - AEROVIAS INGENIERIA SAS 50%</t>
  </si>
  <si>
    <t>NA</t>
  </si>
  <si>
    <t>CONSORCIO INTERDESARROLLO 010</t>
  </si>
  <si>
    <t>JORGE ALVARO SANCHEZ BLANCO 50% - ARM CONSULTING LTDA 50%</t>
  </si>
  <si>
    <t>CONSORCIO CABO ESPERANZA</t>
  </si>
  <si>
    <t>GRUPO POSSO SAS 50% - COMPAÑIA DE PROYECTOS TECNICOS CPT SA 50%</t>
  </si>
  <si>
    <t>CONSORCIO PI ANTIOQUIA</t>
  </si>
  <si>
    <t>PROYECTOS E INTERVENTORÍAS LIMITADA 49% - INGENIERÍA DE ESTUDIOS Y ASESORIAS S.A.S. INESAS 51%</t>
  </si>
  <si>
    <t>CONSORCIO V&amp;P 10827</t>
  </si>
  <si>
    <t>VIASTOP SAS 50% - PEB CONSULTORES SAS 50%</t>
  </si>
  <si>
    <t>CONSORCIO INTERVIAL ANTIOQUIA</t>
  </si>
  <si>
    <t>IAR PROYECTOS SAS 50% - BATEMAN INGENIERIA SAS 50%</t>
  </si>
  <si>
    <t>CONSORCIO ECOSUB ORIENTE</t>
  </si>
  <si>
    <t>ESTRUCTURADOR COLOMBIA SAS 50% - ECG INGENIERIA SAS 50%</t>
  </si>
  <si>
    <t>CONSORCIO VSO</t>
  </si>
  <si>
    <t>INGENOBRAS CONSTRUCCION Y CONSULTORIA SAS - INGENOBRAS SAS 50% - INEICA LTDA 50%</t>
  </si>
  <si>
    <t>CONSORCIO JAR-ORIENTE</t>
  </si>
  <si>
    <t>JPS INGENIERÍA SA 50% - JOSÉ ALBERTO ROJAS PRIETO 50%</t>
  </si>
  <si>
    <t>CONSORCIO MANTENIMIENTO VIAS SUBREGIÓN ORIENTE-10827</t>
  </si>
  <si>
    <t>CAMILO ANDRÉS ÁNGEL SALDARRIAGA 50% - CONSTRUCCIONES E INVERSIONES ASOCIATIVAS SAS 50%</t>
  </si>
  <si>
    <t>CONSORCIO SEDIC-SC ORIENTE 10827</t>
  </si>
  <si>
    <t>SEDIC SA 50% - SEDIC CONSULTING SAS 50%</t>
  </si>
  <si>
    <t>CONSORCIO CARRETERAS</t>
  </si>
  <si>
    <t>VALLEJO H INGENIEROS CONSULTORES CONSTRUCTORES SAS 50% - COMPAÑÍA CONSULTORA COLOMBIANA TRIPLE C SAS 50%</t>
  </si>
  <si>
    <t>CONSORCIO GPP-10827-2020</t>
  </si>
  <si>
    <t>PEDRAZA JIMENEZ ANTONIO JOSE 25% - GALINDO ALVARADO GILBERTO 50% - PASTRANA SIERRA JOSE FRANCISCO 25%</t>
  </si>
  <si>
    <t>CONSORCIO INTERVIAS-ORIENTE</t>
  </si>
  <si>
    <t>GNG INGENIERÍA SAS 50% - INGENIERIA DE PROYECTOS SAS 50%</t>
  </si>
  <si>
    <t>CONSORCIO ANTIOQUIA DGQ 10827</t>
  </si>
  <si>
    <t>DPC INGENIEROS SAS 50% - INFRAESTRUCTURAS E INGENIERIA GLOBAL SAS 25% - GRUPO QUIMBAYA INGENIEROS SAS 25%</t>
  </si>
  <si>
    <t>CONSORCIO INTER VIAL 10827</t>
  </si>
  <si>
    <t>ARCA ARQUITECTURA E INGENIERIA SA 75% - INGENNYA SAS 25%</t>
  </si>
  <si>
    <t>CONSORCIO E&amp;D ORIENTE</t>
  </si>
  <si>
    <t>Enrique Dávila Lozano – EDL SAS 50% - Diseños Interventorías y Servicios – DIS SAS 50%</t>
  </si>
  <si>
    <t>YOHAN FAHIR BERMUDEZ PARRA 75% - ORGANIZACIÓN LUIS FERNADO ROMERO SANDOVAL INGENIEROS SAS 25%</t>
  </si>
  <si>
    <t>CONSORCIO INTERVIAS ORIENTE</t>
  </si>
  <si>
    <t>ALFREDO JOSE LEPESQUEUR MARTINEZ 50% - CONSTRUDET Y COMPAÑÍA LTDA 50%</t>
  </si>
  <si>
    <t>CONSORCIO CCE ORIENTE</t>
  </si>
  <si>
    <t>COINZA ING SAS 50% - CITEC LTDA 25% - ESTUTEC SAS 25%</t>
  </si>
  <si>
    <t>CONSORCIO INGP</t>
  </si>
  <si>
    <t>NOGAALL SAS 25% - INGECON SAS 50% - GPM PROYECTOS DE INGENIERIA SAS 25%</t>
  </si>
  <si>
    <t>CONSORCIO ORIENTE 2020</t>
  </si>
  <si>
    <t>RUTH ELENA TABARES ZULETA 50% - INTERSA SA 50%</t>
  </si>
  <si>
    <t/>
  </si>
  <si>
    <t>EDUARDO AREVALO NEIRA</t>
  </si>
  <si>
    <t>DIEGO FERNANDO FONSECA CHAVES</t>
  </si>
  <si>
    <t>VICTOR DANIEL CASTRO SALAZAR</t>
  </si>
  <si>
    <t>JUAN CARLOS HERNANDEZ SANDOVAL</t>
  </si>
  <si>
    <t>MIGUEL ALBERTO SANCHEZ JIMENEZ</t>
  </si>
  <si>
    <t>LAURA MARIA QUINTERO GAVIRIA</t>
  </si>
  <si>
    <t>JUAN CARLOS MUÑOZ MUÑOZ</t>
  </si>
  <si>
    <t>HUGO ALFREDO POSSO PRADO</t>
  </si>
  <si>
    <t>HAROLD ALEXIS URREA URREA</t>
  </si>
  <si>
    <t>CLAUDIA MARISOL BORDA SANDOVAL</t>
  </si>
  <si>
    <t>WILLIAM VALENCIA CAMPOS</t>
  </si>
  <si>
    <t>JOSE FANOR PANTOJA BASTIDAS</t>
  </si>
  <si>
    <t>JUAN CARLOS ORDOÑEZ GRIJALBA</t>
  </si>
  <si>
    <t>ALBERTO PALLARES GUTIERREZ</t>
  </si>
  <si>
    <t>LAZARO EMILIO SALAZAR ECHEVERRIA</t>
  </si>
  <si>
    <t>CESAR AUGUSTO PALACIOS WILCHES</t>
  </si>
  <si>
    <t>GAUDELIA CRISTINA JARAMILLO LOPEZ</t>
  </si>
  <si>
    <t>JUAN GUILLERMO VASQUEZ PALACIO</t>
  </si>
  <si>
    <t>ALBERTO BRITO RONCANCIO</t>
  </si>
  <si>
    <t>JORGE ALIRIO SILVA LOPEZ</t>
  </si>
  <si>
    <t>JORGE GOMEZ FALLA</t>
  </si>
  <si>
    <t>EMERSON GABRIEL URAZAN GIL</t>
  </si>
  <si>
    <t>JUAN CARLOS SANCHEZ GAFARO</t>
  </si>
  <si>
    <t>ANDRES FABIAN VILLALBA BARRIOS</t>
  </si>
  <si>
    <t>DAIRO SALAMANCA OLARTE</t>
  </si>
  <si>
    <t>LUIS CARLOS GALVIS VELASCO</t>
  </si>
  <si>
    <t>GERSON POLOCHE MOSQUERA</t>
  </si>
  <si>
    <t>JAVIER BARRERO MOSSOS</t>
  </si>
  <si>
    <t>FABIAN RICARDO BOLAÑOS JIMENEZ</t>
  </si>
  <si>
    <t>MAURICIO ROSAS VALENCIA</t>
  </si>
  <si>
    <t>HÁBIL</t>
  </si>
  <si>
    <t>RECHAZADO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</si>
</sst>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64" formatCode="_(&quot;$&quot;\ * #,##0.00_);_(&quot;$&quot;\ * \(#,##0.00\);_(&quot;$&quot;\ * &quot;-&quot;??_);_(@_)"/>
    <numFmt numFmtId="165" formatCode="_(&quot;$&quot;\ * #,##0_);_(&quot;$&quot;\ * \(#,##0\);_(&quot;$&quot;\ * &quot;-&quot;??_);_(@_)"/>
    <numFmt numFmtId="166" formatCode="0.000"/>
    <numFmt numFmtId="167" formatCode="_-* #,##0_-;\-* #,##0_-;_-* &quot;-&quot;??_-;_-@_-"/>
    <numFmt numFmtId="168" formatCode="&quot;$&quot;\ #,##0;[Red]&quot;$&quot;\ \-#,##0"/>
    <numFmt numFmtId="169" formatCode="_(* #,##0.00_);_(* \(#,##0.00\);_(* &quot;-&quot;??_);_(@_)"/>
    <numFmt numFmtId="170" formatCode="&quot;$&quot;\ #,##0.000;[Red]&quot;$&quot;\ \-#,##0.000"/>
    <numFmt numFmtId="171" formatCode="_(* #,##0.000_);_(* \(#,##0.000\);_(* &quot;-&quot;??_);_(@_)"/>
    <numFmt numFmtId="172" formatCode="0.0"/>
    <numFmt numFmtId="173" formatCode="_(* #,##0.000_);_(* \(#,##0.000\);_(* &quot;-&quot;???_);_(@_)"/>
    <numFmt numFmtId="174" formatCode="_-* #,##0.000_-;\-* #,##0.000_-;_-* &quot;-&quot;???_-;_-@_-"/>
    <numFmt numFmtId="175" formatCode="_(* #,##0_);_(* \(#,##0\);_(* &quot;-&quot;??_);_(@_)"/>
    <numFmt numFmtId="176" formatCode="_(* #,##0.0000000_);_(* \(#,##0.0000000\);_(* &quot;-&quot;??_);_(@_)"/>
    <numFmt numFmtId="177" formatCode="#,##0.000"/>
    <numFmt numFmtId="178" formatCode="[$€]#,##0"/>
  </numFmts>
  <fonts count="45" x14ac:knownFonts="1">
    <font>
      <sz val="10"/>
      <name val="Arial"/>
    </font>
    <font>
      <sz val="11"/>
      <color theme="1"/>
      <name val="Calibri"/>
      <family val="2"/>
      <scheme val="minor"/>
    </font>
    <font>
      <sz val="10"/>
      <name val="Arial"/>
      <family val="2"/>
    </font>
    <font>
      <sz val="8"/>
      <name val="Arial"/>
      <family val="2"/>
    </font>
    <font>
      <u/>
      <sz val="10"/>
      <color theme="10"/>
      <name val="Arial"/>
      <family val="2"/>
    </font>
    <font>
      <b/>
      <sz val="14"/>
      <name val="Arial"/>
      <family val="2"/>
    </font>
    <font>
      <b/>
      <sz val="12"/>
      <name val="Arial"/>
      <family val="2"/>
    </font>
    <font>
      <b/>
      <sz val="10"/>
      <name val="Arial"/>
      <family val="2"/>
    </font>
    <font>
      <b/>
      <sz val="11"/>
      <name val="Arial"/>
      <family val="2"/>
    </font>
    <font>
      <sz val="11"/>
      <name val="Arial"/>
      <family val="2"/>
    </font>
    <font>
      <b/>
      <sz val="9"/>
      <name val="Arial"/>
      <family val="2"/>
    </font>
    <font>
      <b/>
      <sz val="8"/>
      <color rgb="FFFF0000"/>
      <name val="Arial"/>
      <family val="2"/>
    </font>
    <font>
      <b/>
      <sz val="7.5"/>
      <name val="Arial"/>
      <family val="2"/>
    </font>
    <font>
      <sz val="10"/>
      <color theme="1"/>
      <name val="Arial"/>
      <family val="2"/>
    </font>
    <font>
      <b/>
      <sz val="10"/>
      <color theme="1"/>
      <name val="Arial"/>
      <family val="2"/>
    </font>
    <font>
      <sz val="8"/>
      <color theme="0"/>
      <name val="Arial"/>
      <family val="2"/>
    </font>
    <font>
      <b/>
      <sz val="10"/>
      <color rgb="FFFF0000"/>
      <name val="Arial"/>
      <family val="2"/>
    </font>
    <font>
      <b/>
      <sz val="8"/>
      <name val="Arial"/>
      <family val="2"/>
    </font>
    <font>
      <sz val="8"/>
      <color rgb="FFFF0000"/>
      <name val="Arial"/>
      <family val="2"/>
    </font>
    <font>
      <sz val="20"/>
      <name val="Arial"/>
      <family val="2"/>
    </font>
    <font>
      <b/>
      <sz val="20"/>
      <name val="Arial"/>
      <family val="2"/>
    </font>
    <font>
      <b/>
      <vertAlign val="subscript"/>
      <sz val="11"/>
      <name val="Arial"/>
      <family val="2"/>
    </font>
    <font>
      <sz val="10"/>
      <color rgb="FFFF0000"/>
      <name val="Arial"/>
      <family val="2"/>
    </font>
    <font>
      <b/>
      <sz val="11"/>
      <color rgb="FFFF0000"/>
      <name val="Arial"/>
      <family val="2"/>
    </font>
    <font>
      <sz val="10"/>
      <color rgb="FF000000"/>
      <name val="Arial"/>
      <family val="2"/>
    </font>
    <font>
      <sz val="10"/>
      <color theme="3"/>
      <name val="Arial"/>
      <family val="2"/>
    </font>
    <font>
      <u/>
      <sz val="10"/>
      <name val="Arial"/>
      <family val="2"/>
    </font>
    <font>
      <sz val="12"/>
      <name val="Arial"/>
      <family val="2"/>
    </font>
    <font>
      <sz val="18"/>
      <name val="Arial"/>
      <family val="2"/>
    </font>
    <font>
      <u/>
      <sz val="8"/>
      <name val="Arial"/>
      <family val="2"/>
    </font>
    <font>
      <sz val="8"/>
      <color theme="3"/>
      <name val="Arial"/>
      <family val="2"/>
    </font>
    <font>
      <b/>
      <sz val="9"/>
      <color indexed="81"/>
      <name val="Tahoma"/>
      <family val="2"/>
    </font>
    <font>
      <sz val="12"/>
      <color theme="1"/>
      <name val="Arial"/>
      <family val="2"/>
    </font>
    <font>
      <b/>
      <sz val="12"/>
      <color indexed="8"/>
      <name val="Arial"/>
      <family val="2"/>
    </font>
    <font>
      <sz val="11"/>
      <color theme="0" tint="-0.34998626667073579"/>
      <name val="Arial"/>
      <family val="2"/>
    </font>
    <font>
      <sz val="12"/>
      <color indexed="8"/>
      <name val="Arial"/>
      <family val="2"/>
    </font>
    <font>
      <sz val="11"/>
      <color indexed="8"/>
      <name val="Arial"/>
      <family val="2"/>
    </font>
    <font>
      <b/>
      <sz val="11"/>
      <color indexed="8"/>
      <name val="Arial"/>
      <family val="2"/>
    </font>
    <font>
      <sz val="10"/>
      <color indexed="8"/>
      <name val="Arial"/>
      <family val="2"/>
    </font>
    <font>
      <sz val="9"/>
      <color indexed="8"/>
      <name val="Arial"/>
      <family val="2"/>
    </font>
    <font>
      <sz val="11"/>
      <color theme="0"/>
      <name val="Arial"/>
      <family val="2"/>
    </font>
    <font>
      <b/>
      <sz val="10"/>
      <color indexed="8"/>
      <name val="Arial"/>
      <family val="2"/>
    </font>
    <font>
      <b/>
      <sz val="9"/>
      <color indexed="8"/>
      <name val="Arial"/>
      <family val="2"/>
    </font>
    <font>
      <sz val="8"/>
      <color theme="0" tint="-0.34998626667073579"/>
      <name val="Arial"/>
      <family val="2"/>
    </font>
    <font>
      <sz val="10"/>
      <color theme="0" tint="-0.34998626667073579"/>
      <name val="Arial"/>
      <family val="2"/>
    </font>
  </fonts>
  <fills count="12">
    <fill>
      <patternFill patternType="none"/>
    </fill>
    <fill>
      <patternFill patternType="gray125"/>
    </fill>
    <fill>
      <patternFill patternType="solid">
        <fgColor rgb="FFFF9900"/>
        <bgColor indexed="64"/>
      </patternFill>
    </fill>
    <fill>
      <patternFill patternType="solid">
        <fgColor rgb="FF00FF00"/>
        <bgColor indexed="64"/>
      </patternFill>
    </fill>
    <fill>
      <patternFill patternType="solid">
        <fgColor theme="9" tint="0.79998168889431442"/>
        <bgColor indexed="64"/>
      </patternFill>
    </fill>
    <fill>
      <patternFill patternType="solid">
        <fgColor rgb="FFFFCC81"/>
        <bgColor indexed="64"/>
      </patternFill>
    </fill>
    <fill>
      <patternFill patternType="solid">
        <fgColor theme="9" tint="0.59999389629810485"/>
        <bgColor indexed="64"/>
      </patternFill>
    </fill>
    <fill>
      <patternFill patternType="solid">
        <fgColor rgb="FFFFFF99"/>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rgb="FFFFFF00"/>
        <bgColor indexed="64"/>
      </patternFill>
    </fill>
  </fills>
  <borders count="8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hair">
        <color indexed="64"/>
      </left>
      <right style="hair">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hair">
        <color indexed="64"/>
      </left>
      <right style="hair">
        <color indexed="64"/>
      </right>
      <top style="medium">
        <color indexed="64"/>
      </top>
      <bottom/>
      <diagonal/>
    </border>
    <border>
      <left style="hair">
        <color indexed="64"/>
      </left>
      <right style="hair">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thin">
        <color indexed="64"/>
      </right>
      <top/>
      <bottom style="thin">
        <color indexed="64"/>
      </bottom>
      <diagonal/>
    </border>
    <border>
      <left style="thin">
        <color indexed="64"/>
      </left>
      <right/>
      <top style="medium">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s>
  <cellStyleXfs count="16">
    <xf numFmtId="0" fontId="0" fillId="0" borderId="0"/>
    <xf numFmtId="16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0" fontId="4" fillId="0" borderId="0" applyNumberFormat="0" applyFill="0" applyBorder="0" applyAlignment="0" applyProtection="0">
      <alignment vertical="top"/>
      <protection locked="0"/>
    </xf>
    <xf numFmtId="0" fontId="2" fillId="0" borderId="0"/>
    <xf numFmtId="0" fontId="2" fillId="0" borderId="0"/>
    <xf numFmtId="167" fontId="2" fillId="0" borderId="0" applyFont="0" applyFill="0" applyBorder="0" applyAlignment="0" applyProtection="0"/>
    <xf numFmtId="9" fontId="2" fillId="0" borderId="0" applyFont="0" applyFill="0" applyBorder="0" applyAlignment="0" applyProtection="0"/>
    <xf numFmtId="169" fontId="2" fillId="0" borderId="0" applyFont="0" applyFill="0" applyBorder="0" applyAlignment="0" applyProtection="0"/>
    <xf numFmtId="9" fontId="2" fillId="0" borderId="0" applyFont="0" applyFill="0" applyBorder="0" applyAlignment="0" applyProtection="0"/>
    <xf numFmtId="0" fontId="2" fillId="0" borderId="0"/>
    <xf numFmtId="9" fontId="1" fillId="0" borderId="0" applyFont="0" applyFill="0" applyBorder="0" applyAlignment="0" applyProtection="0"/>
    <xf numFmtId="0" fontId="32" fillId="0" borderId="0"/>
    <xf numFmtId="169" fontId="35" fillId="0" borderId="0" applyFont="0" applyFill="0" applyBorder="0" applyAlignment="0" applyProtection="0"/>
    <xf numFmtId="178" fontId="2" fillId="0" borderId="0"/>
  </cellStyleXfs>
  <cellXfs count="507">
    <xf numFmtId="0" fontId="0" fillId="0" borderId="0" xfId="0"/>
    <xf numFmtId="0" fontId="3" fillId="0" borderId="0" xfId="5" applyFont="1" applyAlignment="1">
      <alignment vertical="center"/>
    </xf>
    <xf numFmtId="165" fontId="7" fillId="2" borderId="7" xfId="2" applyNumberFormat="1" applyFont="1" applyFill="1" applyBorder="1" applyAlignment="1">
      <alignment horizontal="center" vertical="center"/>
    </xf>
    <xf numFmtId="0" fontId="2" fillId="2" borderId="8" xfId="5" applyFill="1" applyBorder="1" applyAlignment="1">
      <alignment horizontal="center" vertical="center" wrapText="1"/>
    </xf>
    <xf numFmtId="0" fontId="3" fillId="0" borderId="9" xfId="5" applyFont="1" applyBorder="1" applyAlignment="1">
      <alignment vertical="center"/>
    </xf>
    <xf numFmtId="4" fontId="2" fillId="3" borderId="10" xfId="6" applyNumberFormat="1" applyFill="1" applyBorder="1" applyAlignment="1">
      <alignment horizontal="right" vertical="center" wrapText="1"/>
    </xf>
    <xf numFmtId="166" fontId="7" fillId="4" borderId="11" xfId="5" applyNumberFormat="1" applyFont="1" applyFill="1" applyBorder="1" applyAlignment="1">
      <alignment vertical="center"/>
    </xf>
    <xf numFmtId="0" fontId="3" fillId="0" borderId="12" xfId="5" applyFont="1" applyBorder="1" applyAlignment="1">
      <alignment vertical="center"/>
    </xf>
    <xf numFmtId="4" fontId="2" fillId="3" borderId="13" xfId="6" applyNumberFormat="1" applyFill="1" applyBorder="1" applyAlignment="1">
      <alignment horizontal="right" vertical="center" wrapText="1"/>
    </xf>
    <xf numFmtId="2" fontId="7" fillId="4" borderId="14" xfId="7" applyNumberFormat="1" applyFont="1" applyFill="1" applyBorder="1" applyAlignment="1">
      <alignment vertical="center"/>
    </xf>
    <xf numFmtId="0" fontId="2" fillId="0" borderId="13" xfId="5" applyBorder="1" applyAlignment="1">
      <alignment horizontal="center" vertical="center"/>
    </xf>
    <xf numFmtId="168" fontId="7" fillId="4" borderId="13" xfId="5" applyNumberFormat="1" applyFont="1" applyFill="1" applyBorder="1" applyAlignment="1">
      <alignment vertical="center"/>
    </xf>
    <xf numFmtId="166" fontId="7" fillId="4" borderId="14" xfId="5" applyNumberFormat="1" applyFont="1" applyFill="1" applyBorder="1" applyAlignment="1">
      <alignment vertical="center"/>
    </xf>
    <xf numFmtId="0" fontId="3" fillId="0" borderId="16" xfId="5" applyFont="1" applyBorder="1" applyAlignment="1">
      <alignment vertical="center"/>
    </xf>
    <xf numFmtId="4" fontId="2" fillId="3" borderId="17" xfId="6" applyNumberFormat="1" applyFill="1" applyBorder="1" applyAlignment="1">
      <alignment horizontal="center" vertical="center" wrapText="1"/>
    </xf>
    <xf numFmtId="4" fontId="2" fillId="3" borderId="18" xfId="6" applyNumberFormat="1" applyFill="1" applyBorder="1" applyAlignment="1">
      <alignment horizontal="right" vertical="center" wrapText="1"/>
    </xf>
    <xf numFmtId="0" fontId="10" fillId="5" borderId="19" xfId="6" applyFont="1" applyFill="1" applyBorder="1" applyAlignment="1">
      <alignment horizontal="center" vertical="center" wrapText="1"/>
    </xf>
    <xf numFmtId="0" fontId="3" fillId="0" borderId="20" xfId="5" applyFont="1" applyBorder="1" applyAlignment="1">
      <alignment vertical="center"/>
    </xf>
    <xf numFmtId="1" fontId="2" fillId="0" borderId="21" xfId="3" applyNumberFormat="1" applyFont="1" applyBorder="1" applyAlignment="1">
      <alignment horizontal="center" vertical="center"/>
    </xf>
    <xf numFmtId="0" fontId="3" fillId="0" borderId="22" xfId="5" applyFont="1" applyBorder="1" applyAlignment="1">
      <alignment vertical="center"/>
    </xf>
    <xf numFmtId="0" fontId="3" fillId="0" borderId="0" xfId="5" applyFont="1" applyAlignment="1">
      <alignment horizontal="center" vertical="center"/>
    </xf>
    <xf numFmtId="2" fontId="3" fillId="0" borderId="0" xfId="1" applyNumberFormat="1" applyFont="1" applyBorder="1" applyAlignment="1">
      <alignment horizontal="center" vertical="center"/>
    </xf>
    <xf numFmtId="0" fontId="11" fillId="0" borderId="0" xfId="5" applyFont="1" applyAlignment="1">
      <alignment vertical="center"/>
    </xf>
    <xf numFmtId="1" fontId="8" fillId="2" borderId="23" xfId="5" applyNumberFormat="1" applyFont="1" applyFill="1" applyBorder="1" applyAlignment="1">
      <alignment horizontal="center" vertical="center"/>
    </xf>
    <xf numFmtId="0" fontId="10" fillId="6" borderId="20" xfId="5" applyFont="1" applyFill="1" applyBorder="1" applyAlignment="1">
      <alignment vertical="center" wrapText="1"/>
    </xf>
    <xf numFmtId="1" fontId="8" fillId="2" borderId="25" xfId="5" applyNumberFormat="1" applyFont="1" applyFill="1" applyBorder="1" applyAlignment="1">
      <alignment horizontal="center" vertical="center" wrapText="1"/>
    </xf>
    <xf numFmtId="0" fontId="12" fillId="4" borderId="34" xfId="5" applyFont="1" applyFill="1" applyBorder="1" applyAlignment="1">
      <alignment horizontal="center" vertical="center" wrapText="1"/>
    </xf>
    <xf numFmtId="0" fontId="2" fillId="0" borderId="0" xfId="5" applyAlignment="1">
      <alignment vertical="center"/>
    </xf>
    <xf numFmtId="0" fontId="2" fillId="0" borderId="9" xfId="5" applyBorder="1" applyAlignment="1">
      <alignment horizontal="center" vertical="center"/>
    </xf>
    <xf numFmtId="49" fontId="2" fillId="3" borderId="28" xfId="6" applyNumberFormat="1" applyFill="1" applyBorder="1" applyAlignment="1">
      <alignment horizontal="center" vertical="center" wrapText="1"/>
    </xf>
    <xf numFmtId="3" fontId="2" fillId="3" borderId="10" xfId="6" applyNumberFormat="1" applyFill="1" applyBorder="1" applyAlignment="1">
      <alignment horizontal="center" vertical="center" wrapText="1"/>
    </xf>
    <xf numFmtId="49" fontId="2" fillId="3" borderId="10" xfId="8" applyNumberFormat="1" applyFont="1" applyFill="1" applyBorder="1" applyAlignment="1">
      <alignment horizontal="center" vertical="center" wrapText="1"/>
    </xf>
    <xf numFmtId="4" fontId="2" fillId="3" borderId="10" xfId="6" applyNumberFormat="1" applyFill="1" applyBorder="1" applyAlignment="1">
      <alignment horizontal="center" vertical="center" wrapText="1"/>
    </xf>
    <xf numFmtId="9" fontId="2" fillId="3" borderId="10" xfId="3" applyFont="1" applyFill="1" applyBorder="1" applyAlignment="1">
      <alignment horizontal="center" vertical="center" wrapText="1"/>
    </xf>
    <xf numFmtId="169" fontId="2" fillId="0" borderId="10" xfId="1" applyFont="1" applyFill="1" applyBorder="1" applyAlignment="1">
      <alignment horizontal="center" vertical="center"/>
    </xf>
    <xf numFmtId="49" fontId="13" fillId="3" borderId="10" xfId="8" applyNumberFormat="1" applyFont="1" applyFill="1" applyBorder="1" applyAlignment="1">
      <alignment horizontal="center" vertical="center" wrapText="1"/>
    </xf>
    <xf numFmtId="2" fontId="2" fillId="7" borderId="11" xfId="1" applyNumberFormat="1" applyFont="1" applyFill="1" applyBorder="1" applyAlignment="1">
      <alignment horizontal="justify" vertical="center" wrapText="1"/>
    </xf>
    <xf numFmtId="0" fontId="2" fillId="0" borderId="36" xfId="6" applyBorder="1" applyAlignment="1">
      <alignment horizontal="center" vertical="center" wrapText="1"/>
    </xf>
    <xf numFmtId="0" fontId="2" fillId="0" borderId="12" xfId="5" applyBorder="1" applyAlignment="1">
      <alignment horizontal="center" vertical="center"/>
    </xf>
    <xf numFmtId="49" fontId="2" fillId="3" borderId="13" xfId="6" applyNumberFormat="1" applyFill="1" applyBorder="1" applyAlignment="1">
      <alignment horizontal="center" vertical="center" wrapText="1"/>
    </xf>
    <xf numFmtId="3" fontId="2" fillId="3" borderId="13" xfId="6" applyNumberFormat="1" applyFill="1" applyBorder="1" applyAlignment="1">
      <alignment horizontal="center" vertical="center" wrapText="1"/>
    </xf>
    <xf numFmtId="49" fontId="2" fillId="3" borderId="13" xfId="8" applyNumberFormat="1" applyFont="1" applyFill="1" applyBorder="1" applyAlignment="1">
      <alignment horizontal="center" vertical="center" wrapText="1"/>
    </xf>
    <xf numFmtId="4" fontId="2" fillId="3" borderId="13" xfId="6" applyNumberFormat="1" applyFill="1" applyBorder="1" applyAlignment="1">
      <alignment horizontal="center" vertical="center" wrapText="1"/>
    </xf>
    <xf numFmtId="9" fontId="2" fillId="3" borderId="13" xfId="3" applyFont="1" applyFill="1" applyBorder="1" applyAlignment="1">
      <alignment horizontal="center" vertical="center" wrapText="1"/>
    </xf>
    <xf numFmtId="169" fontId="2" fillId="0" borderId="13" xfId="1" applyFont="1" applyFill="1" applyBorder="1" applyAlignment="1">
      <alignment horizontal="center" vertical="center"/>
    </xf>
    <xf numFmtId="2" fontId="2" fillId="7" borderId="14" xfId="1" applyNumberFormat="1" applyFont="1" applyFill="1" applyBorder="1" applyAlignment="1">
      <alignment horizontal="justify" vertical="center" wrapText="1"/>
    </xf>
    <xf numFmtId="0" fontId="2" fillId="3" borderId="13" xfId="6" applyFill="1" applyBorder="1" applyAlignment="1">
      <alignment horizontal="center" vertical="center" wrapText="1"/>
    </xf>
    <xf numFmtId="0" fontId="2" fillId="0" borderId="16" xfId="5" applyBorder="1" applyAlignment="1">
      <alignment horizontal="center" vertical="center"/>
    </xf>
    <xf numFmtId="49" fontId="2" fillId="3" borderId="17" xfId="6" applyNumberFormat="1" applyFill="1" applyBorder="1" applyAlignment="1">
      <alignment horizontal="center" vertical="center" wrapText="1"/>
    </xf>
    <xf numFmtId="0" fontId="2" fillId="3" borderId="17" xfId="6" applyFill="1" applyBorder="1" applyAlignment="1">
      <alignment horizontal="center" vertical="center" wrapText="1"/>
    </xf>
    <xf numFmtId="3" fontId="2" fillId="3" borderId="17" xfId="6" applyNumberFormat="1" applyFill="1" applyBorder="1" applyAlignment="1">
      <alignment horizontal="center" vertical="center" wrapText="1"/>
    </xf>
    <xf numFmtId="49" fontId="2" fillId="3" borderId="17" xfId="8" applyNumberFormat="1" applyFont="1" applyFill="1" applyBorder="1" applyAlignment="1">
      <alignment horizontal="center" vertical="center" wrapText="1"/>
    </xf>
    <xf numFmtId="9" fontId="2" fillId="3" borderId="17" xfId="3" applyFont="1" applyFill="1" applyBorder="1" applyAlignment="1">
      <alignment horizontal="center" vertical="center" wrapText="1"/>
    </xf>
    <xf numFmtId="169" fontId="2" fillId="0" borderId="17" xfId="1" applyFont="1" applyFill="1" applyBorder="1" applyAlignment="1">
      <alignment horizontal="center" vertical="center"/>
    </xf>
    <xf numFmtId="2" fontId="2" fillId="7" borderId="18" xfId="1" applyNumberFormat="1" applyFont="1" applyFill="1" applyBorder="1" applyAlignment="1">
      <alignment horizontal="justify" vertical="center" wrapText="1"/>
    </xf>
    <xf numFmtId="0" fontId="2" fillId="0" borderId="38" xfId="6" applyBorder="1" applyAlignment="1">
      <alignment horizontal="center" vertical="center" wrapText="1"/>
    </xf>
    <xf numFmtId="1" fontId="3" fillId="0" borderId="0" xfId="5" applyNumberFormat="1" applyFont="1" applyAlignment="1">
      <alignment vertical="center"/>
    </xf>
    <xf numFmtId="0" fontId="15" fillId="0" borderId="0" xfId="5" applyFont="1" applyAlignment="1">
      <alignment horizontal="right" vertical="center"/>
    </xf>
    <xf numFmtId="9" fontId="7" fillId="0" borderId="42" xfId="8" applyFont="1" applyFill="1" applyBorder="1" applyAlignment="1">
      <alignment horizontal="center" vertical="center" wrapText="1"/>
    </xf>
    <xf numFmtId="168" fontId="16" fillId="0" borderId="0" xfId="5" applyNumberFormat="1" applyFont="1" applyAlignment="1">
      <alignment horizontal="center" vertical="center"/>
    </xf>
    <xf numFmtId="166" fontId="7" fillId="0" borderId="0" xfId="9" applyNumberFormat="1" applyFont="1" applyFill="1" applyBorder="1" applyAlignment="1">
      <alignment horizontal="center" vertical="center"/>
    </xf>
    <xf numFmtId="0" fontId="9" fillId="0" borderId="0" xfId="5" applyFont="1" applyAlignment="1">
      <alignment vertical="center"/>
    </xf>
    <xf numFmtId="49" fontId="2" fillId="3" borderId="43" xfId="6" applyNumberFormat="1" applyFill="1" applyBorder="1" applyAlignment="1">
      <alignment horizontal="center" vertical="center" wrapText="1"/>
    </xf>
    <xf numFmtId="0" fontId="2" fillId="3" borderId="43" xfId="6" applyFill="1" applyBorder="1" applyAlignment="1">
      <alignment horizontal="center" vertical="center" wrapText="1"/>
    </xf>
    <xf numFmtId="3" fontId="2" fillId="3" borderId="43" xfId="6" applyNumberFormat="1" applyFill="1" applyBorder="1" applyAlignment="1">
      <alignment horizontal="center" vertical="center" wrapText="1"/>
    </xf>
    <xf numFmtId="49" fontId="2" fillId="3" borderId="43" xfId="8" applyNumberFormat="1" applyFont="1" applyFill="1" applyBorder="1" applyAlignment="1">
      <alignment horizontal="center" vertical="center" wrapText="1"/>
    </xf>
    <xf numFmtId="4" fontId="2" fillId="3" borderId="43" xfId="6" applyNumberFormat="1" applyFill="1" applyBorder="1" applyAlignment="1">
      <alignment horizontal="center" vertical="center" wrapText="1"/>
    </xf>
    <xf numFmtId="9" fontId="2" fillId="3" borderId="43" xfId="3" applyFont="1" applyFill="1" applyBorder="1" applyAlignment="1">
      <alignment horizontal="center" vertical="center" wrapText="1"/>
    </xf>
    <xf numFmtId="49" fontId="13" fillId="3" borderId="43" xfId="8" applyNumberFormat="1" applyFont="1" applyFill="1" applyBorder="1" applyAlignment="1">
      <alignment horizontal="center" vertical="center" wrapText="1"/>
    </xf>
    <xf numFmtId="49" fontId="2" fillId="3" borderId="44" xfId="6" applyNumberFormat="1" applyFill="1" applyBorder="1" applyAlignment="1">
      <alignment horizontal="center" vertical="center" wrapText="1"/>
    </xf>
    <xf numFmtId="0" fontId="2" fillId="3" borderId="44" xfId="6" applyFill="1" applyBorder="1" applyAlignment="1">
      <alignment horizontal="center" vertical="center" wrapText="1"/>
    </xf>
    <xf numFmtId="3" fontId="2" fillId="3" borderId="44" xfId="6" applyNumberFormat="1" applyFill="1" applyBorder="1" applyAlignment="1">
      <alignment horizontal="center" vertical="center" wrapText="1"/>
    </xf>
    <xf numFmtId="49" fontId="2" fillId="3" borderId="44" xfId="8" applyNumberFormat="1" applyFont="1" applyFill="1" applyBorder="1" applyAlignment="1">
      <alignment horizontal="center" vertical="center" wrapText="1"/>
    </xf>
    <xf numFmtId="4" fontId="2" fillId="3" borderId="44" xfId="6" applyNumberFormat="1" applyFill="1" applyBorder="1" applyAlignment="1">
      <alignment horizontal="center" vertical="center" wrapText="1"/>
    </xf>
    <xf numFmtId="9" fontId="2" fillId="3" borderId="44" xfId="3" applyFont="1" applyFill="1" applyBorder="1" applyAlignment="1">
      <alignment horizontal="center" vertical="center" wrapText="1"/>
    </xf>
    <xf numFmtId="169" fontId="2" fillId="0" borderId="37" xfId="1" applyFont="1" applyFill="1" applyBorder="1" applyAlignment="1">
      <alignment horizontal="center" vertical="center"/>
    </xf>
    <xf numFmtId="49" fontId="2" fillId="3" borderId="45" xfId="6" applyNumberFormat="1" applyFill="1" applyBorder="1" applyAlignment="1">
      <alignment horizontal="center" vertical="center" wrapText="1"/>
    </xf>
    <xf numFmtId="0" fontId="2" fillId="3" borderId="45" xfId="6" applyFill="1" applyBorder="1" applyAlignment="1">
      <alignment horizontal="center" vertical="center" wrapText="1"/>
    </xf>
    <xf numFmtId="3" fontId="2" fillId="3" borderId="45" xfId="6" applyNumberFormat="1" applyFill="1" applyBorder="1" applyAlignment="1">
      <alignment horizontal="center" vertical="center" wrapText="1"/>
    </xf>
    <xf numFmtId="49" fontId="2" fillId="3" borderId="45" xfId="8" applyNumberFormat="1" applyFont="1" applyFill="1" applyBorder="1" applyAlignment="1">
      <alignment horizontal="center" vertical="center" wrapText="1"/>
    </xf>
    <xf numFmtId="4" fontId="2" fillId="3" borderId="45" xfId="6" applyNumberFormat="1" applyFill="1" applyBorder="1" applyAlignment="1">
      <alignment horizontal="center" vertical="center" wrapText="1"/>
    </xf>
    <xf numFmtId="9" fontId="2" fillId="3" borderId="45" xfId="3" applyFont="1" applyFill="1" applyBorder="1" applyAlignment="1">
      <alignment horizontal="center" vertical="center" wrapText="1"/>
    </xf>
    <xf numFmtId="169" fontId="2" fillId="0" borderId="40" xfId="1" applyFont="1" applyFill="1" applyBorder="1" applyAlignment="1">
      <alignment horizontal="center" vertical="center"/>
    </xf>
    <xf numFmtId="9" fontId="7" fillId="0" borderId="47" xfId="8" applyFont="1" applyFill="1" applyBorder="1" applyAlignment="1">
      <alignment horizontal="center" vertical="center" wrapText="1"/>
    </xf>
    <xf numFmtId="2" fontId="17" fillId="0" borderId="0" xfId="5" applyNumberFormat="1" applyFont="1" applyAlignment="1">
      <alignment horizontal="center" vertical="center"/>
    </xf>
    <xf numFmtId="49" fontId="2" fillId="3" borderId="37" xfId="6" applyNumberFormat="1" applyFill="1" applyBorder="1" applyAlignment="1">
      <alignment horizontal="center" vertical="center" wrapText="1"/>
    </xf>
    <xf numFmtId="49" fontId="2" fillId="3" borderId="10" xfId="6" applyNumberFormat="1" applyFill="1" applyBorder="1" applyAlignment="1">
      <alignment horizontal="center" vertical="center" wrapText="1"/>
    </xf>
    <xf numFmtId="0" fontId="2" fillId="3" borderId="10" xfId="6" applyFill="1" applyBorder="1" applyAlignment="1">
      <alignment horizontal="center" vertical="center" wrapText="1"/>
    </xf>
    <xf numFmtId="9" fontId="2" fillId="3" borderId="10" xfId="10" applyFont="1" applyFill="1" applyBorder="1" applyAlignment="1">
      <alignment horizontal="center" vertical="center" wrapText="1"/>
    </xf>
    <xf numFmtId="2" fontId="2" fillId="7" borderId="10" xfId="1" applyNumberFormat="1" applyFont="1" applyFill="1" applyBorder="1" applyAlignment="1">
      <alignment horizontal="justify" vertical="center" wrapText="1"/>
    </xf>
    <xf numFmtId="0" fontId="2" fillId="0" borderId="10" xfId="5" applyBorder="1" applyAlignment="1">
      <alignment vertical="center"/>
    </xf>
    <xf numFmtId="2" fontId="2" fillId="7" borderId="13" xfId="1" applyNumberFormat="1" applyFont="1" applyFill="1" applyBorder="1" applyAlignment="1">
      <alignment horizontal="justify" vertical="center" wrapText="1"/>
    </xf>
    <xf numFmtId="0" fontId="2" fillId="0" borderId="13" xfId="5" applyBorder="1" applyAlignment="1">
      <alignment vertical="center"/>
    </xf>
    <xf numFmtId="2" fontId="2" fillId="7" borderId="17" xfId="1" applyNumberFormat="1" applyFont="1" applyFill="1" applyBorder="1" applyAlignment="1">
      <alignment horizontal="justify" vertical="center" wrapText="1"/>
    </xf>
    <xf numFmtId="0" fontId="2" fillId="0" borderId="17" xfId="5" applyBorder="1" applyAlignment="1">
      <alignment vertical="center"/>
    </xf>
    <xf numFmtId="0" fontId="2" fillId="0" borderId="9" xfId="5" applyBorder="1" applyAlignment="1">
      <alignment vertical="center"/>
    </xf>
    <xf numFmtId="0" fontId="2" fillId="0" borderId="10" xfId="5" applyBorder="1" applyAlignment="1">
      <alignment horizontal="center" vertical="center"/>
    </xf>
    <xf numFmtId="0" fontId="2" fillId="0" borderId="12" xfId="5" applyBorder="1" applyAlignment="1">
      <alignment vertical="center"/>
    </xf>
    <xf numFmtId="0" fontId="2" fillId="0" borderId="16" xfId="5" applyBorder="1" applyAlignment="1">
      <alignment vertical="center"/>
    </xf>
    <xf numFmtId="0" fontId="2" fillId="0" borderId="17" xfId="5" applyBorder="1" applyAlignment="1">
      <alignment horizontal="center" vertical="center"/>
    </xf>
    <xf numFmtId="10" fontId="2" fillId="3" borderId="10" xfId="3" applyNumberFormat="1" applyFont="1" applyFill="1" applyBorder="1" applyAlignment="1">
      <alignment horizontal="center" vertical="center" wrapText="1"/>
    </xf>
    <xf numFmtId="0" fontId="2" fillId="0" borderId="48" xfId="5" applyBorder="1" applyAlignment="1">
      <alignment horizontal="center" vertical="center"/>
    </xf>
    <xf numFmtId="49" fontId="2" fillId="3" borderId="49" xfId="6" applyNumberFormat="1" applyFill="1" applyBorder="1" applyAlignment="1">
      <alignment horizontal="center" vertical="center" wrapText="1"/>
    </xf>
    <xf numFmtId="0" fontId="2" fillId="3" borderId="49" xfId="6" applyFill="1" applyBorder="1" applyAlignment="1">
      <alignment horizontal="center" vertical="center" wrapText="1"/>
    </xf>
    <xf numFmtId="3" fontId="2" fillId="3" borderId="49" xfId="6" applyNumberFormat="1" applyFill="1" applyBorder="1" applyAlignment="1">
      <alignment horizontal="center" vertical="center" wrapText="1"/>
    </xf>
    <xf numFmtId="49" fontId="2" fillId="3" borderId="49" xfId="8" applyNumberFormat="1" applyFont="1" applyFill="1" applyBorder="1" applyAlignment="1">
      <alignment horizontal="center" vertical="center" wrapText="1"/>
    </xf>
    <xf numFmtId="4" fontId="2" fillId="3" borderId="49" xfId="6" applyNumberFormat="1" applyFill="1" applyBorder="1" applyAlignment="1">
      <alignment horizontal="center" vertical="center" wrapText="1"/>
    </xf>
    <xf numFmtId="9" fontId="2" fillId="3" borderId="49" xfId="3" applyFont="1" applyFill="1" applyBorder="1" applyAlignment="1">
      <alignment horizontal="center" vertical="center" wrapText="1"/>
    </xf>
    <xf numFmtId="169" fontId="2" fillId="0" borderId="49" xfId="1" applyFont="1" applyFill="1" applyBorder="1" applyAlignment="1">
      <alignment horizontal="center" vertical="center"/>
    </xf>
    <xf numFmtId="2" fontId="2" fillId="7" borderId="50" xfId="1" applyNumberFormat="1" applyFont="1" applyFill="1" applyBorder="1" applyAlignment="1">
      <alignment horizontal="justify" vertical="center" wrapText="1"/>
    </xf>
    <xf numFmtId="0" fontId="2" fillId="0" borderId="51" xfId="5" applyBorder="1" applyAlignment="1">
      <alignment horizontal="center" vertical="center"/>
    </xf>
    <xf numFmtId="49" fontId="2" fillId="3" borderId="52" xfId="6" applyNumberFormat="1" applyFill="1" applyBorder="1" applyAlignment="1">
      <alignment horizontal="center" vertical="center" wrapText="1"/>
    </xf>
    <xf numFmtId="0" fontId="2" fillId="3" borderId="52" xfId="6" applyFill="1" applyBorder="1" applyAlignment="1">
      <alignment horizontal="center" vertical="center" wrapText="1"/>
    </xf>
    <xf numFmtId="3" fontId="2" fillId="3" borderId="52" xfId="6" applyNumberFormat="1" applyFill="1" applyBorder="1" applyAlignment="1">
      <alignment horizontal="center" vertical="center" wrapText="1"/>
    </xf>
    <xf numFmtId="49" fontId="2" fillId="3" borderId="52" xfId="8" applyNumberFormat="1" applyFont="1" applyFill="1" applyBorder="1" applyAlignment="1">
      <alignment horizontal="center" vertical="center" wrapText="1"/>
    </xf>
    <xf numFmtId="4" fontId="2" fillId="3" borderId="52" xfId="6" applyNumberFormat="1" applyFill="1" applyBorder="1" applyAlignment="1">
      <alignment horizontal="center" vertical="center" wrapText="1"/>
    </xf>
    <xf numFmtId="9" fontId="2" fillId="3" borderId="52" xfId="3" applyFont="1" applyFill="1" applyBorder="1" applyAlignment="1">
      <alignment horizontal="center" vertical="center" wrapText="1"/>
    </xf>
    <xf numFmtId="169" fontId="2" fillId="0" borderId="52" xfId="1" applyFont="1" applyFill="1" applyBorder="1" applyAlignment="1">
      <alignment horizontal="center" vertical="center"/>
    </xf>
    <xf numFmtId="2" fontId="2" fillId="7" borderId="53" xfId="1" applyNumberFormat="1" applyFont="1" applyFill="1" applyBorder="1" applyAlignment="1">
      <alignment horizontal="justify" vertical="center" wrapText="1"/>
    </xf>
    <xf numFmtId="0" fontId="2" fillId="0" borderId="54" xfId="5" applyBorder="1" applyAlignment="1">
      <alignment horizontal="center" vertical="center"/>
    </xf>
    <xf numFmtId="49" fontId="2" fillId="3" borderId="55" xfId="6" applyNumberFormat="1" applyFill="1" applyBorder="1" applyAlignment="1">
      <alignment horizontal="center" vertical="center" wrapText="1"/>
    </xf>
    <xf numFmtId="0" fontId="2" fillId="3" borderId="55" xfId="6" applyFill="1" applyBorder="1" applyAlignment="1">
      <alignment horizontal="center" vertical="center" wrapText="1"/>
    </xf>
    <xf numFmtId="3" fontId="2" fillId="3" borderId="55" xfId="6" applyNumberFormat="1" applyFill="1" applyBorder="1" applyAlignment="1">
      <alignment horizontal="center" vertical="center" wrapText="1"/>
    </xf>
    <xf numFmtId="49" fontId="2" fillId="3" borderId="55" xfId="8" applyNumberFormat="1" applyFont="1" applyFill="1" applyBorder="1" applyAlignment="1">
      <alignment horizontal="center" vertical="center" wrapText="1"/>
    </xf>
    <xf numFmtId="4" fontId="2" fillId="3" borderId="55" xfId="6" applyNumberFormat="1" applyFill="1" applyBorder="1" applyAlignment="1">
      <alignment horizontal="center" vertical="center" wrapText="1"/>
    </xf>
    <xf numFmtId="9" fontId="2" fillId="3" borderId="55" xfId="3" applyFont="1" applyFill="1" applyBorder="1" applyAlignment="1">
      <alignment horizontal="center" vertical="center" wrapText="1"/>
    </xf>
    <xf numFmtId="169" fontId="2" fillId="0" borderId="55" xfId="1" applyFont="1" applyFill="1" applyBorder="1" applyAlignment="1">
      <alignment horizontal="center" vertical="center"/>
    </xf>
    <xf numFmtId="2" fontId="2" fillId="7" borderId="56" xfId="1" applyNumberFormat="1" applyFont="1" applyFill="1" applyBorder="1" applyAlignment="1">
      <alignment horizontal="justify" vertical="center" wrapText="1"/>
    </xf>
    <xf numFmtId="2" fontId="3" fillId="0" borderId="0" xfId="1" applyNumberFormat="1" applyFont="1" applyAlignment="1">
      <alignment horizontal="center" vertical="center"/>
    </xf>
    <xf numFmtId="49" fontId="13" fillId="3" borderId="49" xfId="8" applyNumberFormat="1" applyFont="1" applyFill="1" applyBorder="1" applyAlignment="1">
      <alignment horizontal="center" vertical="center" wrapText="1"/>
    </xf>
    <xf numFmtId="2" fontId="3" fillId="7" borderId="49" xfId="1" applyNumberFormat="1" applyFont="1" applyFill="1" applyBorder="1" applyAlignment="1">
      <alignment horizontal="justify" vertical="center" wrapText="1"/>
    </xf>
    <xf numFmtId="0" fontId="2" fillId="0" borderId="49" xfId="5" applyBorder="1" applyAlignment="1">
      <alignment vertical="center"/>
    </xf>
    <xf numFmtId="0" fontId="2" fillId="0" borderId="50" xfId="6" applyBorder="1" applyAlignment="1">
      <alignment horizontal="center" vertical="center" wrapText="1"/>
    </xf>
    <xf numFmtId="2" fontId="2" fillId="7" borderId="52" xfId="1" applyNumberFormat="1" applyFont="1" applyFill="1" applyBorder="1" applyAlignment="1">
      <alignment horizontal="justify" vertical="center" wrapText="1"/>
    </xf>
    <xf numFmtId="0" fontId="2" fillId="0" borderId="52" xfId="5" applyBorder="1" applyAlignment="1">
      <alignment vertical="center"/>
    </xf>
    <xf numFmtId="0" fontId="2" fillId="0" borderId="53" xfId="6" applyBorder="1" applyAlignment="1">
      <alignment horizontal="center" vertical="center" wrapText="1"/>
    </xf>
    <xf numFmtId="2" fontId="2" fillId="7" borderId="55" xfId="1" applyNumberFormat="1" applyFont="1" applyFill="1" applyBorder="1" applyAlignment="1">
      <alignment horizontal="justify" vertical="center" wrapText="1"/>
    </xf>
    <xf numFmtId="0" fontId="2" fillId="0" borderId="55" xfId="5" applyBorder="1" applyAlignment="1">
      <alignment vertical="center"/>
    </xf>
    <xf numFmtId="0" fontId="2" fillId="0" borderId="56" xfId="6" applyBorder="1" applyAlignment="1">
      <alignment horizontal="center" vertical="center" wrapText="1"/>
    </xf>
    <xf numFmtId="0" fontId="2" fillId="0" borderId="48" xfId="5" applyBorder="1" applyAlignment="1">
      <alignment vertical="center"/>
    </xf>
    <xf numFmtId="0" fontId="2" fillId="0" borderId="49" xfId="5" applyBorder="1" applyAlignment="1">
      <alignment horizontal="center" vertical="center"/>
    </xf>
    <xf numFmtId="0" fontId="2" fillId="0" borderId="51" xfId="5" applyBorder="1" applyAlignment="1">
      <alignment vertical="center"/>
    </xf>
    <xf numFmtId="0" fontId="2" fillId="0" borderId="52" xfId="5" applyBorder="1" applyAlignment="1">
      <alignment horizontal="center" vertical="center"/>
    </xf>
    <xf numFmtId="0" fontId="2" fillId="0" borderId="54" xfId="5" applyBorder="1" applyAlignment="1">
      <alignment vertical="center"/>
    </xf>
    <xf numFmtId="0" fontId="2" fillId="0" borderId="55" xfId="5" applyBorder="1" applyAlignment="1">
      <alignment horizontal="center" vertical="center"/>
    </xf>
    <xf numFmtId="2" fontId="2" fillId="7" borderId="49" xfId="1" applyNumberFormat="1" applyFont="1" applyFill="1" applyBorder="1" applyAlignment="1">
      <alignment horizontal="justify" vertical="center" wrapText="1"/>
    </xf>
    <xf numFmtId="0" fontId="2" fillId="0" borderId="50" xfId="5" applyBorder="1" applyAlignment="1">
      <alignment vertical="center"/>
    </xf>
    <xf numFmtId="0" fontId="2" fillId="0" borderId="57" xfId="6" applyBorder="1" applyAlignment="1">
      <alignment horizontal="center" vertical="center" wrapText="1"/>
    </xf>
    <xf numFmtId="0" fontId="2" fillId="0" borderId="53" xfId="5" applyBorder="1" applyAlignment="1">
      <alignment vertical="center"/>
    </xf>
    <xf numFmtId="0" fontId="2" fillId="0" borderId="56" xfId="5" applyBorder="1" applyAlignment="1">
      <alignment vertical="center"/>
    </xf>
    <xf numFmtId="0" fontId="2" fillId="0" borderId="58" xfId="6" applyBorder="1" applyAlignment="1">
      <alignment horizontal="center" vertical="center" wrapText="1"/>
    </xf>
    <xf numFmtId="9" fontId="7" fillId="0" borderId="35" xfId="8" applyFont="1" applyFill="1" applyBorder="1" applyAlignment="1">
      <alignment horizontal="center" vertical="center" wrapText="1"/>
    </xf>
    <xf numFmtId="0" fontId="9" fillId="0" borderId="0" xfId="5" applyFont="1" applyAlignment="1">
      <alignment vertical="center" wrapText="1"/>
    </xf>
    <xf numFmtId="0" fontId="9" fillId="0" borderId="0" xfId="5" applyFont="1" applyAlignment="1">
      <alignment horizontal="center" vertical="center" wrapText="1"/>
    </xf>
    <xf numFmtId="0" fontId="9" fillId="0" borderId="0" xfId="0" applyFont="1" applyAlignment="1">
      <alignment vertical="top" wrapText="1"/>
    </xf>
    <xf numFmtId="0" fontId="9" fillId="0" borderId="0" xfId="0" applyFont="1" applyAlignment="1">
      <alignment horizontal="center" vertical="center" wrapText="1"/>
    </xf>
    <xf numFmtId="9" fontId="2" fillId="0" borderId="12" xfId="3" applyFont="1" applyFill="1" applyBorder="1" applyAlignment="1">
      <alignment horizontal="center" vertical="center"/>
    </xf>
    <xf numFmtId="170" fontId="7" fillId="4" borderId="13" xfId="5" applyNumberFormat="1" applyFont="1" applyFill="1" applyBorder="1" applyAlignment="1">
      <alignment vertical="center"/>
    </xf>
    <xf numFmtId="0" fontId="3" fillId="0" borderId="59" xfId="5" applyFont="1" applyBorder="1" applyAlignment="1">
      <alignment vertical="center"/>
    </xf>
    <xf numFmtId="3" fontId="19" fillId="3" borderId="21" xfId="6" applyNumberFormat="1" applyFont="1" applyFill="1" applyBorder="1" applyAlignment="1">
      <alignment horizontal="center" vertical="center" wrapText="1"/>
    </xf>
    <xf numFmtId="0" fontId="9" fillId="0" borderId="0" xfId="5" applyFont="1"/>
    <xf numFmtId="0" fontId="7" fillId="6" borderId="60" xfId="5" applyFont="1" applyFill="1" applyBorder="1" applyAlignment="1">
      <alignment horizontal="center" vertical="center" wrapText="1"/>
    </xf>
    <xf numFmtId="166" fontId="7" fillId="6" borderId="21" xfId="1" applyNumberFormat="1" applyFont="1" applyFill="1" applyBorder="1" applyAlignment="1">
      <alignment horizontal="center" vertical="center" wrapText="1"/>
    </xf>
    <xf numFmtId="166" fontId="7" fillId="2" borderId="61" xfId="1" applyNumberFormat="1" applyFont="1" applyFill="1" applyBorder="1" applyAlignment="1">
      <alignment horizontal="center" vertical="center" wrapText="1"/>
    </xf>
    <xf numFmtId="0" fontId="19" fillId="0" borderId="0" xfId="5" applyFont="1" applyAlignment="1">
      <alignment vertical="center"/>
    </xf>
    <xf numFmtId="0" fontId="12" fillId="4" borderId="17" xfId="5" applyFont="1" applyFill="1" applyBorder="1" applyAlignment="1">
      <alignment horizontal="center" vertical="center" wrapText="1"/>
    </xf>
    <xf numFmtId="0" fontId="17" fillId="4" borderId="17" xfId="5" applyFont="1" applyFill="1" applyBorder="1" applyAlignment="1">
      <alignment horizontal="center" vertical="center" wrapText="1"/>
    </xf>
    <xf numFmtId="0" fontId="17" fillId="4" borderId="17" xfId="5" applyFont="1" applyFill="1" applyBorder="1" applyAlignment="1">
      <alignment horizontal="center" vertical="top" wrapText="1"/>
    </xf>
    <xf numFmtId="15" fontId="2" fillId="3" borderId="43" xfId="6" applyNumberFormat="1" applyFill="1" applyBorder="1" applyAlignment="1">
      <alignment horizontal="center" vertical="center" wrapText="1"/>
    </xf>
    <xf numFmtId="166" fontId="2" fillId="0" borderId="10" xfId="5" applyNumberFormat="1" applyBorder="1" applyAlignment="1">
      <alignment vertical="center"/>
    </xf>
    <xf numFmtId="171" fontId="7" fillId="0" borderId="10" xfId="5" applyNumberFormat="1" applyFont="1" applyBorder="1" applyAlignment="1">
      <alignment horizontal="center" vertical="center" wrapText="1"/>
    </xf>
    <xf numFmtId="171" fontId="2" fillId="0" borderId="10" xfId="5" applyNumberFormat="1" applyBorder="1" applyAlignment="1">
      <alignment vertical="center"/>
    </xf>
    <xf numFmtId="171" fontId="2" fillId="0" borderId="10" xfId="9" applyNumberFormat="1" applyFont="1" applyFill="1" applyBorder="1" applyAlignment="1">
      <alignment vertical="center"/>
    </xf>
    <xf numFmtId="0" fontId="2" fillId="3" borderId="35" xfId="5" applyFill="1" applyBorder="1" applyAlignment="1">
      <alignment horizontal="center" vertical="center" wrapText="1"/>
    </xf>
    <xf numFmtId="172" fontId="2" fillId="0" borderId="0" xfId="5" applyNumberFormat="1" applyAlignment="1">
      <alignment vertical="center"/>
    </xf>
    <xf numFmtId="15" fontId="2" fillId="3" borderId="44" xfId="6" applyNumberFormat="1" applyFill="1" applyBorder="1" applyAlignment="1">
      <alignment horizontal="center" vertical="center" wrapText="1"/>
    </xf>
    <xf numFmtId="166" fontId="2" fillId="0" borderId="37" xfId="5" applyNumberFormat="1" applyBorder="1" applyAlignment="1">
      <alignment vertical="center"/>
    </xf>
    <xf numFmtId="171" fontId="7" fillId="0" borderId="37" xfId="5" applyNumberFormat="1" applyFont="1" applyBorder="1" applyAlignment="1">
      <alignment horizontal="center" vertical="center" wrapText="1"/>
    </xf>
    <xf numFmtId="171" fontId="2" fillId="0" borderId="37" xfId="5" applyNumberFormat="1" applyBorder="1" applyAlignment="1">
      <alignment vertical="center"/>
    </xf>
    <xf numFmtId="171" fontId="2" fillId="0" borderId="37" xfId="9" applyNumberFormat="1" applyFont="1" applyFill="1" applyBorder="1" applyAlignment="1">
      <alignment vertical="center"/>
    </xf>
    <xf numFmtId="0" fontId="2" fillId="3" borderId="35" xfId="11" applyFill="1" applyBorder="1" applyAlignment="1">
      <alignment horizontal="center" vertical="center" wrapText="1"/>
    </xf>
    <xf numFmtId="0" fontId="2" fillId="3" borderId="36" xfId="11" applyFill="1" applyBorder="1" applyAlignment="1">
      <alignment horizontal="center" vertical="center" wrapText="1"/>
    </xf>
    <xf numFmtId="15" fontId="2" fillId="3" borderId="45" xfId="6" applyNumberFormat="1" applyFill="1" applyBorder="1" applyAlignment="1">
      <alignment horizontal="center" vertical="center" wrapText="1"/>
    </xf>
    <xf numFmtId="166" fontId="2" fillId="0" borderId="40" xfId="5" applyNumberFormat="1" applyBorder="1" applyAlignment="1">
      <alignment vertical="center"/>
    </xf>
    <xf numFmtId="171" fontId="7" fillId="0" borderId="40" xfId="5" applyNumberFormat="1" applyFont="1" applyBorder="1" applyAlignment="1">
      <alignment horizontal="center" vertical="center" wrapText="1"/>
    </xf>
    <xf numFmtId="171" fontId="2" fillId="0" borderId="40" xfId="5" applyNumberFormat="1" applyBorder="1" applyAlignment="1">
      <alignment vertical="center"/>
    </xf>
    <xf numFmtId="171" fontId="2" fillId="0" borderId="40" xfId="9" applyNumberFormat="1" applyFont="1" applyFill="1" applyBorder="1" applyAlignment="1">
      <alignment vertical="center"/>
    </xf>
    <xf numFmtId="0" fontId="2" fillId="3" borderId="38" xfId="11" applyFill="1" applyBorder="1" applyAlignment="1">
      <alignment horizontal="center" vertical="center" wrapText="1"/>
    </xf>
    <xf numFmtId="0" fontId="2" fillId="3" borderId="42" xfId="5" applyFill="1" applyBorder="1" applyAlignment="1">
      <alignment horizontal="center" vertical="center" wrapText="1"/>
    </xf>
    <xf numFmtId="166" fontId="7" fillId="0" borderId="35" xfId="9" applyNumberFormat="1" applyFont="1" applyFill="1" applyBorder="1" applyAlignment="1">
      <alignment horizontal="center" vertical="center"/>
    </xf>
    <xf numFmtId="166" fontId="23" fillId="4" borderId="71" xfId="5" applyNumberFormat="1" applyFont="1" applyFill="1" applyBorder="1" applyAlignment="1">
      <alignment vertical="center" wrapText="1"/>
    </xf>
    <xf numFmtId="9" fontId="7" fillId="0" borderId="36" xfId="8" applyFont="1" applyFill="1" applyBorder="1" applyAlignment="1">
      <alignment horizontal="center" vertical="center" wrapText="1"/>
    </xf>
    <xf numFmtId="2" fontId="7" fillId="0" borderId="0" xfId="5" applyNumberFormat="1" applyFont="1" applyAlignment="1">
      <alignment horizontal="center" vertical="center" wrapText="1"/>
    </xf>
    <xf numFmtId="1" fontId="7" fillId="0" borderId="0" xfId="5" applyNumberFormat="1" applyFont="1" applyAlignment="1">
      <alignment horizontal="center" vertical="center" wrapText="1"/>
    </xf>
    <xf numFmtId="2" fontId="16" fillId="0" borderId="0" xfId="5" applyNumberFormat="1" applyFont="1" applyAlignment="1">
      <alignment vertical="center" wrapText="1"/>
    </xf>
    <xf numFmtId="173" fontId="7" fillId="0" borderId="38" xfId="9" applyNumberFormat="1" applyFont="1" applyFill="1" applyBorder="1" applyAlignment="1">
      <alignment horizontal="center" vertical="center"/>
    </xf>
    <xf numFmtId="1" fontId="7" fillId="0" borderId="0" xfId="9" applyNumberFormat="1" applyFont="1" applyFill="1" applyBorder="1" applyAlignment="1">
      <alignment horizontal="left" vertical="center"/>
    </xf>
    <xf numFmtId="0" fontId="15" fillId="0" borderId="0" xfId="5" applyFont="1" applyAlignment="1">
      <alignment horizontal="right" vertical="center" wrapText="1"/>
    </xf>
    <xf numFmtId="9" fontId="7" fillId="0" borderId="38" xfId="8" applyFont="1" applyFill="1" applyBorder="1" applyAlignment="1">
      <alignment horizontal="center" vertical="center" wrapText="1"/>
    </xf>
    <xf numFmtId="1" fontId="7" fillId="0" borderId="0" xfId="5" applyNumberFormat="1" applyFont="1" applyAlignment="1">
      <alignment horizontal="center" vertical="center"/>
    </xf>
    <xf numFmtId="2" fontId="7" fillId="0" borderId="0" xfId="5" applyNumberFormat="1" applyFont="1" applyAlignment="1">
      <alignment horizontal="center" vertical="center"/>
    </xf>
    <xf numFmtId="166" fontId="7" fillId="0" borderId="47" xfId="9" applyNumberFormat="1" applyFont="1" applyFill="1" applyBorder="1" applyAlignment="1">
      <alignment horizontal="center" vertical="center"/>
    </xf>
    <xf numFmtId="2" fontId="2" fillId="0" borderId="0" xfId="1" applyNumberFormat="1" applyFont="1" applyAlignment="1">
      <alignment horizontal="center" vertical="center"/>
    </xf>
    <xf numFmtId="0" fontId="17" fillId="4" borderId="34" xfId="5" applyFont="1" applyFill="1" applyBorder="1" applyAlignment="1">
      <alignment horizontal="center" vertical="center" wrapText="1"/>
    </xf>
    <xf numFmtId="15" fontId="2" fillId="3" borderId="10" xfId="6" applyNumberFormat="1" applyFill="1" applyBorder="1" applyAlignment="1">
      <alignment horizontal="center" vertical="center" wrapText="1"/>
    </xf>
    <xf numFmtId="0" fontId="2" fillId="0" borderId="0" xfId="5" applyAlignment="1">
      <alignment vertical="center" wrapText="1"/>
    </xf>
    <xf numFmtId="15" fontId="2" fillId="3" borderId="13" xfId="6" applyNumberFormat="1" applyFill="1" applyBorder="1" applyAlignment="1">
      <alignment horizontal="center" vertical="center" wrapText="1"/>
    </xf>
    <xf numFmtId="166" fontId="2" fillId="0" borderId="13" xfId="5" applyNumberFormat="1" applyBorder="1" applyAlignment="1">
      <alignment vertical="center"/>
    </xf>
    <xf numFmtId="171" fontId="2" fillId="0" borderId="13" xfId="9" applyNumberFormat="1" applyFont="1" applyFill="1" applyBorder="1" applyAlignment="1">
      <alignment vertical="center"/>
    </xf>
    <xf numFmtId="2" fontId="24" fillId="7" borderId="14" xfId="1" applyNumberFormat="1" applyFont="1" applyFill="1" applyBorder="1" applyAlignment="1">
      <alignment horizontal="justify" vertical="center" wrapText="1"/>
    </xf>
    <xf numFmtId="0" fontId="13" fillId="0" borderId="0" xfId="5" applyFont="1" applyAlignment="1">
      <alignment vertical="center" wrapText="1"/>
    </xf>
    <xf numFmtId="15" fontId="2" fillId="3" borderId="17" xfId="6" applyNumberFormat="1" applyFill="1" applyBorder="1" applyAlignment="1">
      <alignment horizontal="center" vertical="center" wrapText="1"/>
    </xf>
    <xf numFmtId="166" fontId="2" fillId="0" borderId="17" xfId="5" applyNumberFormat="1" applyBorder="1" applyAlignment="1">
      <alignment vertical="center"/>
    </xf>
    <xf numFmtId="171" fontId="2" fillId="0" borderId="17" xfId="9" applyNumberFormat="1" applyFont="1" applyFill="1" applyBorder="1" applyAlignment="1">
      <alignment vertical="center"/>
    </xf>
    <xf numFmtId="1" fontId="7" fillId="0" borderId="0" xfId="9" applyNumberFormat="1" applyFont="1" applyFill="1" applyBorder="1" applyAlignment="1">
      <alignment horizontal="center" vertical="center" wrapText="1"/>
    </xf>
    <xf numFmtId="2" fontId="25" fillId="7" borderId="14" xfId="1" applyNumberFormat="1" applyFont="1" applyFill="1" applyBorder="1" applyAlignment="1">
      <alignment horizontal="justify" vertical="center" wrapText="1"/>
    </xf>
    <xf numFmtId="168" fontId="16" fillId="0" borderId="0" xfId="5" applyNumberFormat="1" applyFont="1" applyAlignment="1">
      <alignment horizontal="left" vertical="center"/>
    </xf>
    <xf numFmtId="9" fontId="7" fillId="0" borderId="61" xfId="8" applyFont="1" applyFill="1" applyBorder="1" applyAlignment="1">
      <alignment horizontal="center" vertical="center" wrapText="1"/>
    </xf>
    <xf numFmtId="171" fontId="7" fillId="0" borderId="13" xfId="5" applyNumberFormat="1" applyFont="1" applyBorder="1" applyAlignment="1">
      <alignment horizontal="center" vertical="center" wrapText="1"/>
    </xf>
    <xf numFmtId="0" fontId="3" fillId="0" borderId="2" xfId="5" applyFont="1" applyBorder="1" applyAlignment="1">
      <alignment vertical="center"/>
    </xf>
    <xf numFmtId="171" fontId="3" fillId="0" borderId="0" xfId="5" applyNumberFormat="1" applyFont="1" applyAlignment="1">
      <alignment vertical="center"/>
    </xf>
    <xf numFmtId="2" fontId="24" fillId="7" borderId="14" xfId="1" applyNumberFormat="1" applyFont="1" applyFill="1" applyBorder="1" applyAlignment="1">
      <alignment vertical="center" wrapText="1"/>
    </xf>
    <xf numFmtId="2" fontId="25" fillId="7" borderId="11" xfId="1" applyNumberFormat="1" applyFont="1" applyFill="1" applyBorder="1" applyAlignment="1">
      <alignment horizontal="justify" vertical="center" wrapText="1"/>
    </xf>
    <xf numFmtId="174" fontId="3" fillId="0" borderId="0" xfId="5" applyNumberFormat="1" applyFont="1" applyAlignment="1">
      <alignment vertical="center"/>
    </xf>
    <xf numFmtId="14" fontId="28" fillId="0" borderId="25" xfId="4" applyNumberFormat="1" applyFont="1" applyFill="1" applyBorder="1" applyAlignment="1" applyProtection="1">
      <alignment horizontal="right" vertical="center" wrapText="1"/>
    </xf>
    <xf numFmtId="0" fontId="8" fillId="6" borderId="10" xfId="5" applyFont="1" applyFill="1" applyBorder="1" applyAlignment="1">
      <alignment horizontal="center" vertical="center" wrapText="1"/>
    </xf>
    <xf numFmtId="14" fontId="8" fillId="6" borderId="10" xfId="5" applyNumberFormat="1" applyFont="1" applyFill="1" applyBorder="1" applyAlignment="1">
      <alignment horizontal="center" vertical="center" wrapText="1"/>
    </xf>
    <xf numFmtId="0" fontId="9" fillId="6" borderId="17" xfId="5" applyFont="1" applyFill="1" applyBorder="1" applyAlignment="1">
      <alignment horizontal="center" vertical="center" wrapText="1"/>
    </xf>
    <xf numFmtId="14" fontId="9" fillId="6" borderId="17" xfId="5" applyNumberFormat="1" applyFont="1" applyFill="1" applyBorder="1" applyAlignment="1">
      <alignment horizontal="center" vertical="center" wrapText="1"/>
    </xf>
    <xf numFmtId="0" fontId="10" fillId="4" borderId="34" xfId="5" applyFont="1" applyFill="1" applyBorder="1" applyAlignment="1">
      <alignment horizontal="center" vertical="center" wrapText="1"/>
    </xf>
    <xf numFmtId="49" fontId="2" fillId="3" borderId="34" xfId="6" applyNumberFormat="1" applyFill="1" applyBorder="1" applyAlignment="1">
      <alignment horizontal="center" vertical="center" wrapText="1"/>
    </xf>
    <xf numFmtId="0" fontId="2" fillId="3" borderId="34" xfId="6" applyFill="1" applyBorder="1" applyAlignment="1">
      <alignment horizontal="center" vertical="center" wrapText="1"/>
    </xf>
    <xf numFmtId="49" fontId="2" fillId="3" borderId="34" xfId="8" applyNumberFormat="1" applyFont="1" applyFill="1" applyBorder="1" applyAlignment="1">
      <alignment horizontal="center" vertical="center" wrapText="1"/>
    </xf>
    <xf numFmtId="9" fontId="2" fillId="3" borderId="34" xfId="3" applyFont="1" applyFill="1" applyBorder="1" applyAlignment="1">
      <alignment horizontal="center" vertical="center" wrapText="1"/>
    </xf>
    <xf numFmtId="0" fontId="2" fillId="0" borderId="0" xfId="5" applyAlignment="1">
      <alignment horizontal="center" vertical="center"/>
    </xf>
    <xf numFmtId="9" fontId="7" fillId="0" borderId="13" xfId="8" applyFont="1" applyFill="1" applyBorder="1" applyAlignment="1">
      <alignment horizontal="center" vertical="center" wrapText="1"/>
    </xf>
    <xf numFmtId="0" fontId="7" fillId="0" borderId="13" xfId="8" applyNumberFormat="1" applyFont="1" applyFill="1" applyBorder="1" applyAlignment="1">
      <alignment horizontal="center" vertical="center" wrapText="1"/>
    </xf>
    <xf numFmtId="9" fontId="7" fillId="0" borderId="17" xfId="8" applyFont="1" applyFill="1" applyBorder="1" applyAlignment="1">
      <alignment horizontal="center" vertical="center" wrapText="1"/>
    </xf>
    <xf numFmtId="9" fontId="7" fillId="0" borderId="25" xfId="8" applyFont="1" applyFill="1" applyBorder="1" applyAlignment="1">
      <alignment horizontal="center" vertical="center" wrapText="1"/>
    </xf>
    <xf numFmtId="9" fontId="2" fillId="3" borderId="13" xfId="10" applyFont="1" applyFill="1" applyBorder="1" applyAlignment="1">
      <alignment horizontal="center" vertical="center" wrapText="1"/>
    </xf>
    <xf numFmtId="9" fontId="2" fillId="3" borderId="37" xfId="10" applyFont="1" applyFill="1" applyBorder="1" applyAlignment="1">
      <alignment horizontal="center" vertical="center" wrapText="1"/>
    </xf>
    <xf numFmtId="0" fontId="2" fillId="0" borderId="81" xfId="5" applyBorder="1" applyAlignment="1">
      <alignment horizontal="center" vertical="center"/>
    </xf>
    <xf numFmtId="49" fontId="2" fillId="3" borderId="82" xfId="6" applyNumberFormat="1" applyFill="1" applyBorder="1" applyAlignment="1">
      <alignment horizontal="center" vertical="center" wrapText="1"/>
    </xf>
    <xf numFmtId="0" fontId="2" fillId="3" borderId="82" xfId="6" applyFill="1" applyBorder="1" applyAlignment="1">
      <alignment horizontal="center" vertical="center" wrapText="1"/>
    </xf>
    <xf numFmtId="49" fontId="2" fillId="3" borderId="82" xfId="8" applyNumberFormat="1" applyFont="1" applyFill="1" applyBorder="1" applyAlignment="1">
      <alignment horizontal="center" vertical="center" wrapText="1"/>
    </xf>
    <xf numFmtId="9" fontId="2" fillId="3" borderId="82" xfId="3" applyFont="1" applyFill="1" applyBorder="1" applyAlignment="1">
      <alignment horizontal="center" vertical="center" wrapText="1"/>
    </xf>
    <xf numFmtId="0" fontId="2" fillId="0" borderId="84" xfId="5" applyBorder="1" applyAlignment="1">
      <alignment horizontal="center" vertical="center"/>
    </xf>
    <xf numFmtId="0" fontId="2" fillId="0" borderId="86" xfId="5" applyBorder="1" applyAlignment="1">
      <alignment horizontal="center" vertical="center"/>
    </xf>
    <xf numFmtId="49" fontId="2" fillId="3" borderId="87" xfId="6" applyNumberFormat="1" applyFill="1" applyBorder="1" applyAlignment="1">
      <alignment horizontal="center" vertical="center" wrapText="1"/>
    </xf>
    <xf numFmtId="0" fontId="2" fillId="3" borderId="87" xfId="6" applyFill="1" applyBorder="1" applyAlignment="1">
      <alignment horizontal="center" vertical="center" wrapText="1"/>
    </xf>
    <xf numFmtId="49" fontId="2" fillId="3" borderId="87" xfId="8" applyNumberFormat="1" applyFont="1" applyFill="1" applyBorder="1" applyAlignment="1">
      <alignment horizontal="center" vertical="center" wrapText="1"/>
    </xf>
    <xf numFmtId="9" fontId="2" fillId="3" borderId="87" xfId="3" applyFont="1" applyFill="1" applyBorder="1" applyAlignment="1">
      <alignment horizontal="center" vertical="center" wrapText="1"/>
    </xf>
    <xf numFmtId="0" fontId="22" fillId="0" borderId="0" xfId="5" applyFont="1" applyAlignment="1">
      <alignment vertical="center" wrapText="1"/>
    </xf>
    <xf numFmtId="17" fontId="2" fillId="3" borderId="10" xfId="6" applyNumberFormat="1" applyFill="1" applyBorder="1" applyAlignment="1">
      <alignment horizontal="center" vertical="center" wrapText="1"/>
    </xf>
    <xf numFmtId="9" fontId="7" fillId="3" borderId="13" xfId="3" applyFont="1" applyFill="1" applyBorder="1" applyAlignment="1">
      <alignment horizontal="center" vertical="center" wrapText="1"/>
    </xf>
    <xf numFmtId="9" fontId="2" fillId="3" borderId="10" xfId="12" applyFont="1" applyFill="1" applyBorder="1" applyAlignment="1">
      <alignment horizontal="center" vertical="center" wrapText="1"/>
    </xf>
    <xf numFmtId="9" fontId="2" fillId="3" borderId="37" xfId="3" applyFont="1" applyFill="1" applyBorder="1" applyAlignment="1">
      <alignment horizontal="center" vertical="center" wrapText="1"/>
    </xf>
    <xf numFmtId="9" fontId="2" fillId="3" borderId="13" xfId="12" applyFont="1" applyFill="1" applyBorder="1" applyAlignment="1">
      <alignment horizontal="center" vertical="center" wrapText="1"/>
    </xf>
    <xf numFmtId="0" fontId="13" fillId="3" borderId="10" xfId="6" applyFont="1" applyFill="1" applyBorder="1" applyAlignment="1">
      <alignment horizontal="center" vertical="center" wrapText="1"/>
    </xf>
    <xf numFmtId="0" fontId="34" fillId="0" borderId="0" xfId="13" applyFont="1"/>
    <xf numFmtId="175" fontId="34" fillId="0" borderId="0" xfId="14" applyNumberFormat="1" applyFont="1" applyFill="1" applyAlignment="1">
      <alignment horizontal="center"/>
    </xf>
    <xf numFmtId="0" fontId="34" fillId="0" borderId="0" xfId="13" applyFont="1" applyAlignment="1">
      <alignment horizontal="center"/>
    </xf>
    <xf numFmtId="0" fontId="36" fillId="0" borderId="0" xfId="13" applyFont="1"/>
    <xf numFmtId="0" fontId="36" fillId="0" borderId="27" xfId="13" applyFont="1" applyBorder="1"/>
    <xf numFmtId="0" fontId="36" fillId="0" borderId="31" xfId="13" applyFont="1" applyBorder="1" applyAlignment="1">
      <alignment vertical="center" wrapText="1"/>
    </xf>
    <xf numFmtId="165" fontId="37" fillId="0" borderId="11" xfId="2" applyNumberFormat="1" applyFont="1" applyFill="1" applyBorder="1" applyAlignment="1">
      <alignment vertical="center"/>
    </xf>
    <xf numFmtId="165" fontId="37" fillId="0" borderId="0" xfId="2" applyNumberFormat="1" applyFont="1" applyFill="1" applyBorder="1" applyAlignment="1">
      <alignment vertical="center"/>
    </xf>
    <xf numFmtId="176" fontId="36" fillId="0" borderId="0" xfId="14" applyNumberFormat="1" applyFont="1" applyFill="1" applyBorder="1"/>
    <xf numFmtId="0" fontId="36" fillId="0" borderId="33" xfId="13" applyFont="1" applyBorder="1"/>
    <xf numFmtId="0" fontId="36" fillId="0" borderId="70" xfId="13" applyFont="1" applyBorder="1" applyAlignment="1">
      <alignment vertical="center" wrapText="1"/>
    </xf>
    <xf numFmtId="177" fontId="37" fillId="0" borderId="14" xfId="13" applyNumberFormat="1" applyFont="1" applyBorder="1" applyAlignment="1">
      <alignment vertical="center"/>
    </xf>
    <xf numFmtId="177" fontId="37" fillId="0" borderId="0" xfId="13" applyNumberFormat="1" applyFont="1" applyAlignment="1">
      <alignment vertical="center"/>
    </xf>
    <xf numFmtId="4" fontId="37" fillId="9" borderId="14" xfId="13" applyNumberFormat="1" applyFont="1" applyFill="1" applyBorder="1" applyAlignment="1">
      <alignment vertical="center"/>
    </xf>
    <xf numFmtId="177" fontId="23" fillId="0" borderId="0" xfId="13" applyNumberFormat="1" applyFont="1" applyAlignment="1">
      <alignment vertical="center"/>
    </xf>
    <xf numFmtId="169" fontId="8" fillId="0" borderId="14" xfId="1" applyFont="1" applyFill="1" applyBorder="1" applyAlignment="1">
      <alignment vertical="center"/>
    </xf>
    <xf numFmtId="169" fontId="8" fillId="0" borderId="0" xfId="1" applyFont="1" applyFill="1" applyBorder="1" applyAlignment="1">
      <alignment vertical="center"/>
    </xf>
    <xf numFmtId="0" fontId="38" fillId="0" borderId="70" xfId="13" applyFont="1" applyBorder="1" applyAlignment="1">
      <alignment vertical="center" wrapText="1"/>
    </xf>
    <xf numFmtId="9" fontId="8" fillId="0" borderId="14" xfId="8" applyFont="1" applyFill="1" applyBorder="1" applyAlignment="1">
      <alignment vertical="center"/>
    </xf>
    <xf numFmtId="9" fontId="8" fillId="0" borderId="0" xfId="8" applyFont="1" applyFill="1" applyBorder="1" applyAlignment="1">
      <alignment vertical="center"/>
    </xf>
    <xf numFmtId="177" fontId="8" fillId="0" borderId="14" xfId="13" applyNumberFormat="1" applyFont="1" applyBorder="1" applyAlignment="1">
      <alignment vertical="center"/>
    </xf>
    <xf numFmtId="177" fontId="8" fillId="0" borderId="0" xfId="13" applyNumberFormat="1" applyFont="1" applyAlignment="1">
      <alignment vertical="center"/>
    </xf>
    <xf numFmtId="177" fontId="8" fillId="10" borderId="14" xfId="13" applyNumberFormat="1" applyFont="1" applyFill="1" applyBorder="1" applyAlignment="1">
      <alignment vertical="center"/>
    </xf>
    <xf numFmtId="0" fontId="36" fillId="0" borderId="70" xfId="13" applyFont="1" applyBorder="1" applyAlignment="1">
      <alignment horizontal="left" vertical="center" wrapText="1"/>
    </xf>
    <xf numFmtId="0" fontId="39" fillId="0" borderId="14" xfId="13" applyFont="1" applyBorder="1" applyAlignment="1">
      <alignment horizontal="right" vertical="center" wrapText="1"/>
    </xf>
    <xf numFmtId="0" fontId="39" fillId="0" borderId="0" xfId="13" applyFont="1" applyAlignment="1">
      <alignment horizontal="right" vertical="center" wrapText="1"/>
    </xf>
    <xf numFmtId="166" fontId="40" fillId="0" borderId="33" xfId="13" applyNumberFormat="1" applyFont="1" applyBorder="1"/>
    <xf numFmtId="177" fontId="37" fillId="0" borderId="70" xfId="13" applyNumberFormat="1" applyFont="1" applyBorder="1" applyAlignment="1">
      <alignment horizontal="center" vertical="center" wrapText="1"/>
    </xf>
    <xf numFmtId="177" fontId="37" fillId="10" borderId="14" xfId="13" applyNumberFormat="1" applyFont="1" applyFill="1" applyBorder="1" applyAlignment="1">
      <alignment horizontal="right" vertical="center"/>
    </xf>
    <xf numFmtId="0" fontId="36" fillId="0" borderId="39" xfId="13" applyFont="1" applyBorder="1"/>
    <xf numFmtId="0" fontId="36" fillId="0" borderId="74" xfId="13" applyFont="1" applyBorder="1" applyAlignment="1">
      <alignment vertical="center" wrapText="1"/>
    </xf>
    <xf numFmtId="177" fontId="37" fillId="11" borderId="18" xfId="13" applyNumberFormat="1" applyFont="1" applyFill="1" applyBorder="1" applyAlignment="1">
      <alignment vertical="center"/>
    </xf>
    <xf numFmtId="0" fontId="36" fillId="0" borderId="0" xfId="13" applyFont="1" applyAlignment="1">
      <alignment vertical="center"/>
    </xf>
    <xf numFmtId="169" fontId="37" fillId="0" borderId="0" xfId="14" applyFont="1" applyFill="1" applyBorder="1" applyAlignment="1">
      <alignment vertical="center"/>
    </xf>
    <xf numFmtId="0" fontId="36" fillId="0" borderId="0" xfId="13" applyFont="1" applyAlignment="1">
      <alignment vertical="center" wrapText="1"/>
    </xf>
    <xf numFmtId="0" fontId="33" fillId="10" borderId="19" xfId="13" applyFont="1" applyFill="1" applyBorder="1" applyAlignment="1">
      <alignment horizontal="center" vertical="center"/>
    </xf>
    <xf numFmtId="0" fontId="33" fillId="10" borderId="24" xfId="13" applyFont="1" applyFill="1" applyBorder="1" applyAlignment="1">
      <alignment horizontal="center" vertical="center" wrapText="1"/>
    </xf>
    <xf numFmtId="0" fontId="41" fillId="10" borderId="24" xfId="13" applyFont="1" applyFill="1" applyBorder="1" applyAlignment="1">
      <alignment horizontal="center" vertical="center" wrapText="1"/>
    </xf>
    <xf numFmtId="0" fontId="42" fillId="10" borderId="24" xfId="13" applyFont="1" applyFill="1" applyBorder="1" applyAlignment="1">
      <alignment horizontal="center" vertical="center" wrapText="1"/>
    </xf>
    <xf numFmtId="0" fontId="37" fillId="10" borderId="24" xfId="13" applyFont="1" applyFill="1" applyBorder="1" applyAlignment="1">
      <alignment horizontal="center" vertical="center" wrapText="1"/>
    </xf>
    <xf numFmtId="0" fontId="37" fillId="10" borderId="59" xfId="13" applyFont="1" applyFill="1" applyBorder="1" applyAlignment="1">
      <alignment horizontal="center" vertical="center" wrapText="1"/>
    </xf>
    <xf numFmtId="0" fontId="37" fillId="10" borderId="25" xfId="13" applyFont="1" applyFill="1" applyBorder="1" applyAlignment="1">
      <alignment horizontal="center" vertical="center" wrapText="1"/>
    </xf>
    <xf numFmtId="0" fontId="34" fillId="0" borderId="0" xfId="13" applyFont="1" applyAlignment="1">
      <alignment horizontal="center" vertical="center" wrapText="1"/>
    </xf>
    <xf numFmtId="0" fontId="43" fillId="0" borderId="0" xfId="13" applyFont="1" applyAlignment="1">
      <alignment horizontal="center" vertical="center" wrapText="1"/>
    </xf>
    <xf numFmtId="1" fontId="37" fillId="0" borderId="64" xfId="13" applyNumberFormat="1" applyFont="1" applyBorder="1" applyAlignment="1">
      <alignment horizontal="center" vertical="center"/>
    </xf>
    <xf numFmtId="1" fontId="37" fillId="0" borderId="64" xfId="13" applyNumberFormat="1" applyFont="1" applyBorder="1" applyAlignment="1">
      <alignment horizontal="left" vertical="center"/>
    </xf>
    <xf numFmtId="171" fontId="33" fillId="0" borderId="37" xfId="13" applyNumberFormat="1" applyFont="1" applyBorder="1" applyAlignment="1">
      <alignment horizontal="center" vertical="center"/>
    </xf>
    <xf numFmtId="166" fontId="36" fillId="0" borderId="37" xfId="13" applyNumberFormat="1" applyFont="1" applyBorder="1" applyAlignment="1">
      <alignment horizontal="center" vertical="center" wrapText="1"/>
    </xf>
    <xf numFmtId="177" fontId="36" fillId="0" borderId="37" xfId="13" applyNumberFormat="1" applyFont="1" applyBorder="1" applyAlignment="1">
      <alignment horizontal="center" vertical="center"/>
    </xf>
    <xf numFmtId="177" fontId="36" fillId="0" borderId="65" xfId="13" applyNumberFormat="1" applyFont="1" applyBorder="1" applyAlignment="1">
      <alignment horizontal="center" vertical="center"/>
    </xf>
    <xf numFmtId="177" fontId="36" fillId="0" borderId="80" xfId="13" applyNumberFormat="1" applyFont="1" applyBorder="1" applyAlignment="1">
      <alignment horizontal="center" vertical="center"/>
    </xf>
    <xf numFmtId="2" fontId="44" fillId="0" borderId="0" xfId="15" applyNumberFormat="1" applyFont="1" applyAlignment="1">
      <alignment horizontal="center" vertical="center" wrapText="1"/>
    </xf>
    <xf numFmtId="166" fontId="34" fillId="0" borderId="0" xfId="13" applyNumberFormat="1" applyFont="1" applyAlignment="1">
      <alignment horizontal="center" vertical="center"/>
    </xf>
    <xf numFmtId="0" fontId="34" fillId="0" borderId="0" xfId="13" applyFont="1" applyAlignment="1">
      <alignment horizontal="center" vertical="center"/>
    </xf>
    <xf numFmtId="1" fontId="34" fillId="0" borderId="0" xfId="13" applyNumberFormat="1" applyFont="1" applyAlignment="1">
      <alignment horizontal="center" vertical="center"/>
    </xf>
    <xf numFmtId="0" fontId="44" fillId="0" borderId="0" xfId="0" applyFont="1" applyAlignment="1">
      <alignment horizontal="center" vertical="center"/>
    </xf>
    <xf numFmtId="0" fontId="36" fillId="0" borderId="0" xfId="13" applyFont="1" applyAlignment="1">
      <alignment horizontal="right" vertical="center"/>
    </xf>
    <xf numFmtId="1" fontId="37" fillId="0" borderId="12" xfId="13" applyNumberFormat="1" applyFont="1" applyBorder="1" applyAlignment="1">
      <alignment horizontal="center" vertical="center"/>
    </xf>
    <xf numFmtId="0" fontId="34" fillId="0" borderId="0" xfId="13" applyFont="1" applyAlignment="1">
      <alignment vertical="center"/>
    </xf>
    <xf numFmtId="0" fontId="12" fillId="4" borderId="28" xfId="5" applyFont="1" applyFill="1" applyBorder="1" applyAlignment="1">
      <alignment horizontal="center" vertical="center" wrapText="1"/>
    </xf>
    <xf numFmtId="0" fontId="12" fillId="4" borderId="7" xfId="5" applyFont="1" applyFill="1" applyBorder="1" applyAlignment="1">
      <alignment horizontal="center" vertical="center" wrapText="1"/>
    </xf>
    <xf numFmtId="0" fontId="2" fillId="4" borderId="4" xfId="5" applyFill="1" applyBorder="1" applyAlignment="1">
      <alignment horizontal="center" vertical="center" wrapText="1"/>
    </xf>
    <xf numFmtId="0" fontId="2" fillId="4" borderId="5" xfId="5" applyFill="1" applyBorder="1" applyAlignment="1">
      <alignment horizontal="center" vertical="center" wrapText="1"/>
    </xf>
    <xf numFmtId="0" fontId="2" fillId="4" borderId="6" xfId="5" applyFill="1" applyBorder="1" applyAlignment="1">
      <alignment horizontal="center" vertical="center" wrapText="1"/>
    </xf>
    <xf numFmtId="166" fontId="7" fillId="6" borderId="3" xfId="1" applyNumberFormat="1" applyFont="1" applyFill="1" applyBorder="1" applyAlignment="1">
      <alignment horizontal="center" vertical="center" wrapText="1"/>
    </xf>
    <xf numFmtId="166" fontId="7" fillId="6" borderId="15" xfId="1" applyNumberFormat="1" applyFont="1" applyFill="1" applyBorder="1" applyAlignment="1">
      <alignment horizontal="center" vertical="center" wrapText="1"/>
    </xf>
    <xf numFmtId="0" fontId="10" fillId="2" borderId="26" xfId="6" applyFont="1" applyFill="1" applyBorder="1" applyAlignment="1">
      <alignment horizontal="center" vertical="center" wrapText="1"/>
    </xf>
    <xf numFmtId="0" fontId="10" fillId="2" borderId="32" xfId="6" applyFont="1" applyFill="1" applyBorder="1" applyAlignment="1">
      <alignment horizontal="center" vertical="center" wrapText="1"/>
    </xf>
    <xf numFmtId="0" fontId="10" fillId="2" borderId="35" xfId="6" applyFont="1" applyFill="1" applyBorder="1" applyAlignment="1">
      <alignment horizontal="center" vertical="center" wrapText="1"/>
    </xf>
    <xf numFmtId="166" fontId="7" fillId="2" borderId="26" xfId="1" applyNumberFormat="1" applyFont="1" applyFill="1" applyBorder="1" applyAlignment="1">
      <alignment horizontal="center" vertical="center" wrapText="1"/>
    </xf>
    <xf numFmtId="166" fontId="7" fillId="2" borderId="32" xfId="1" applyNumberFormat="1" applyFont="1" applyFill="1" applyBorder="1" applyAlignment="1">
      <alignment horizontal="center" vertical="center" wrapText="1"/>
    </xf>
    <xf numFmtId="166" fontId="7" fillId="2" borderId="35" xfId="1" applyNumberFormat="1" applyFont="1" applyFill="1" applyBorder="1" applyAlignment="1">
      <alignment horizontal="center" vertical="center" wrapText="1"/>
    </xf>
    <xf numFmtId="0" fontId="12" fillId="4" borderId="27" xfId="5" applyFont="1" applyFill="1" applyBorder="1" applyAlignment="1">
      <alignment horizontal="center" vertical="center" textRotation="90" wrapText="1"/>
    </xf>
    <xf numFmtId="0" fontId="12" fillId="4" borderId="33" xfId="5" applyFont="1" applyFill="1" applyBorder="1" applyAlignment="1">
      <alignment horizontal="center" vertical="center" textRotation="90" wrapText="1"/>
    </xf>
    <xf numFmtId="0" fontId="12" fillId="4" borderId="29" xfId="5" applyFont="1" applyFill="1" applyBorder="1" applyAlignment="1">
      <alignment horizontal="center" vertical="center" wrapText="1"/>
    </xf>
    <xf numFmtId="0" fontId="12" fillId="4" borderId="30" xfId="5" applyFont="1" applyFill="1" applyBorder="1" applyAlignment="1">
      <alignment horizontal="center" vertical="center" wrapText="1"/>
    </xf>
    <xf numFmtId="0" fontId="12" fillId="4" borderId="31" xfId="5" applyFont="1" applyFill="1" applyBorder="1" applyAlignment="1">
      <alignment horizontal="center" vertical="center" wrapText="1"/>
    </xf>
    <xf numFmtId="0" fontId="8" fillId="2" borderId="19" xfId="5" applyFont="1" applyFill="1" applyBorder="1" applyAlignment="1">
      <alignment horizontal="left" vertical="center" wrapText="1"/>
    </xf>
    <xf numFmtId="0" fontId="8" fillId="2" borderId="24" xfId="5" applyFont="1" applyFill="1" applyBorder="1" applyAlignment="1">
      <alignment horizontal="left" vertical="center" wrapText="1"/>
    </xf>
    <xf numFmtId="0" fontId="8" fillId="2" borderId="25" xfId="5" applyFont="1" applyFill="1" applyBorder="1" applyAlignment="1">
      <alignment horizontal="left" vertical="center" wrapText="1"/>
    </xf>
    <xf numFmtId="0" fontId="8" fillId="6" borderId="20" xfId="5" applyFont="1" applyFill="1" applyBorder="1" applyAlignment="1">
      <alignment horizontal="left" vertical="center" wrapText="1"/>
    </xf>
    <xf numFmtId="0" fontId="2" fillId="4" borderId="39" xfId="5" applyFill="1" applyBorder="1" applyAlignment="1">
      <alignment horizontal="center" vertical="center" wrapText="1"/>
    </xf>
    <xf numFmtId="0" fontId="2" fillId="4" borderId="40" xfId="5" applyFill="1" applyBorder="1" applyAlignment="1">
      <alignment horizontal="center" vertical="center" wrapText="1"/>
    </xf>
    <xf numFmtId="0" fontId="2" fillId="4" borderId="41" xfId="5" applyFill="1" applyBorder="1" applyAlignment="1">
      <alignment horizontal="center" vertical="center" wrapText="1"/>
    </xf>
    <xf numFmtId="49" fontId="2" fillId="3" borderId="28" xfId="6" applyNumberFormat="1" applyFill="1" applyBorder="1" applyAlignment="1">
      <alignment horizontal="center" vertical="center" wrapText="1"/>
    </xf>
    <xf numFmtId="49" fontId="2" fillId="3" borderId="37" xfId="6" applyNumberFormat="1" applyFill="1" applyBorder="1" applyAlignment="1">
      <alignment horizontal="center" vertical="center" wrapText="1"/>
    </xf>
    <xf numFmtId="0" fontId="2" fillId="3" borderId="28" xfId="6" applyFill="1" applyBorder="1" applyAlignment="1">
      <alignment horizontal="center" vertical="center" wrapText="1"/>
    </xf>
    <xf numFmtId="0" fontId="2" fillId="3" borderId="37" xfId="6" applyFill="1" applyBorder="1" applyAlignment="1">
      <alignment horizontal="center" vertical="center" wrapText="1"/>
    </xf>
    <xf numFmtId="166" fontId="7" fillId="6" borderId="6" xfId="1" applyNumberFormat="1" applyFont="1" applyFill="1" applyBorder="1" applyAlignment="1">
      <alignment horizontal="center" vertical="center" wrapText="1"/>
    </xf>
    <xf numFmtId="0" fontId="12" fillId="4" borderId="40" xfId="5" applyFont="1" applyFill="1" applyBorder="1" applyAlignment="1">
      <alignment horizontal="center" vertical="center" wrapText="1"/>
    </xf>
    <xf numFmtId="0" fontId="2" fillId="4" borderId="16" xfId="5" applyFill="1" applyBorder="1" applyAlignment="1">
      <alignment horizontal="center" vertical="center" wrapText="1"/>
    </xf>
    <xf numFmtId="0" fontId="2" fillId="4" borderId="17" xfId="5" applyFill="1" applyBorder="1" applyAlignment="1">
      <alignment horizontal="center" vertical="center" wrapText="1"/>
    </xf>
    <xf numFmtId="0" fontId="2" fillId="4" borderId="46" xfId="5" applyFill="1" applyBorder="1" applyAlignment="1">
      <alignment horizontal="center" vertical="center" wrapText="1"/>
    </xf>
    <xf numFmtId="0" fontId="8" fillId="0" borderId="17" xfId="5" applyFont="1" applyBorder="1" applyAlignment="1">
      <alignment horizontal="center" vertical="center"/>
    </xf>
    <xf numFmtId="0" fontId="4" fillId="0" borderId="1" xfId="4" applyBorder="1" applyAlignment="1" applyProtection="1">
      <alignment horizontal="center" vertical="center"/>
    </xf>
    <xf numFmtId="0" fontId="4" fillId="0" borderId="2" xfId="4" applyBorder="1" applyAlignment="1" applyProtection="1">
      <alignment horizontal="center" vertical="center"/>
    </xf>
    <xf numFmtId="0" fontId="4" fillId="0" borderId="4" xfId="4" applyBorder="1" applyAlignment="1" applyProtection="1">
      <alignment horizontal="center" vertical="center"/>
    </xf>
    <xf numFmtId="0" fontId="4" fillId="0" borderId="5" xfId="4" applyBorder="1" applyAlignment="1" applyProtection="1">
      <alignment horizontal="center" vertical="center"/>
    </xf>
    <xf numFmtId="0" fontId="5" fillId="0" borderId="1" xfId="0" applyFont="1" applyBorder="1" applyAlignment="1">
      <alignment horizontal="center" wrapText="1"/>
    </xf>
    <xf numFmtId="0" fontId="5" fillId="0" borderId="2" xfId="0" applyFont="1" applyBorder="1" applyAlignment="1">
      <alignment horizontal="center" wrapText="1"/>
    </xf>
    <xf numFmtId="0" fontId="5" fillId="0" borderId="3" xfId="0" applyFont="1" applyBorder="1" applyAlignment="1">
      <alignment horizont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165" fontId="7" fillId="2" borderId="1" xfId="2" applyNumberFormat="1" applyFont="1" applyFill="1" applyBorder="1" applyAlignment="1">
      <alignment horizontal="center" vertical="center"/>
    </xf>
    <xf numFmtId="165" fontId="7" fillId="2" borderId="2" xfId="2" applyNumberFormat="1" applyFont="1" applyFill="1" applyBorder="1" applyAlignment="1">
      <alignment horizontal="center" vertical="center"/>
    </xf>
    <xf numFmtId="165" fontId="7" fillId="2" borderId="0" xfId="2" applyNumberFormat="1" applyFont="1" applyFill="1" applyBorder="1" applyAlignment="1">
      <alignment horizontal="center" vertical="center"/>
    </xf>
    <xf numFmtId="0" fontId="8" fillId="2" borderId="4"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6" xfId="5" applyFont="1" applyFill="1" applyBorder="1" applyAlignment="1">
      <alignment horizontal="center" vertical="center" wrapText="1"/>
    </xf>
    <xf numFmtId="0" fontId="2" fillId="0" borderId="10" xfId="5" applyBorder="1" applyAlignment="1">
      <alignment horizontal="left" vertical="center"/>
    </xf>
    <xf numFmtId="0" fontId="9" fillId="0" borderId="2" xfId="5" applyFont="1" applyBorder="1" applyAlignment="1">
      <alignment horizontal="justify" vertical="center" wrapText="1"/>
    </xf>
    <xf numFmtId="0" fontId="9" fillId="0" borderId="3" xfId="5" applyFont="1" applyBorder="1" applyAlignment="1">
      <alignment horizontal="justify" vertical="center" wrapText="1"/>
    </xf>
    <xf numFmtId="0" fontId="9" fillId="0" borderId="0" xfId="5" applyFont="1" applyAlignment="1">
      <alignment horizontal="justify" vertical="center" wrapText="1"/>
    </xf>
    <xf numFmtId="0" fontId="9" fillId="0" borderId="15" xfId="5" applyFont="1" applyBorder="1" applyAlignment="1">
      <alignment horizontal="justify" vertical="center" wrapText="1"/>
    </xf>
    <xf numFmtId="0" fontId="9" fillId="0" borderId="5" xfId="5" applyFont="1" applyBorder="1" applyAlignment="1">
      <alignment horizontal="justify" vertical="center" wrapText="1"/>
    </xf>
    <xf numFmtId="0" fontId="9" fillId="0" borderId="6" xfId="5" applyFont="1" applyBorder="1" applyAlignment="1">
      <alignment horizontal="justify" vertical="center" wrapText="1"/>
    </xf>
    <xf numFmtId="0" fontId="2" fillId="0" borderId="13" xfId="5" applyBorder="1" applyAlignment="1">
      <alignment horizontal="left" vertical="center"/>
    </xf>
    <xf numFmtId="0" fontId="8" fillId="0" borderId="17" xfId="5" applyFont="1" applyBorder="1" applyAlignment="1">
      <alignment horizontal="center" vertical="center" wrapText="1"/>
    </xf>
    <xf numFmtId="0" fontId="2" fillId="4" borderId="72" xfId="5" applyFill="1" applyBorder="1" applyAlignment="1">
      <alignment horizontal="center" vertical="center" wrapText="1"/>
    </xf>
    <xf numFmtId="0" fontId="2" fillId="4" borderId="73" xfId="5" applyFill="1" applyBorder="1" applyAlignment="1">
      <alignment horizontal="center" vertical="center" wrapText="1"/>
    </xf>
    <xf numFmtId="0" fontId="2" fillId="4" borderId="74" xfId="5" applyFill="1" applyBorder="1" applyAlignment="1">
      <alignment horizontal="center" vertical="center" wrapText="1"/>
    </xf>
    <xf numFmtId="166" fontId="7" fillId="6" borderId="36" xfId="1" applyNumberFormat="1" applyFont="1" applyFill="1" applyBorder="1" applyAlignment="1">
      <alignment horizontal="center" vertical="center" wrapText="1"/>
    </xf>
    <xf numFmtId="0" fontId="2" fillId="4" borderId="64" xfId="5" applyFill="1" applyBorder="1" applyAlignment="1">
      <alignment horizontal="center" vertical="center" wrapText="1"/>
    </xf>
    <xf numFmtId="0" fontId="2" fillId="4" borderId="37" xfId="5" applyFill="1" applyBorder="1" applyAlignment="1">
      <alignment horizontal="center" vertical="center" wrapText="1"/>
    </xf>
    <xf numFmtId="0" fontId="2" fillId="4" borderId="65" xfId="5" applyFill="1" applyBorder="1" applyAlignment="1">
      <alignment horizontal="center" vertical="center" wrapText="1"/>
    </xf>
    <xf numFmtId="0" fontId="2" fillId="4" borderId="66" xfId="5" applyFill="1" applyBorder="1" applyAlignment="1">
      <alignment horizontal="center" vertical="center" wrapText="1"/>
    </xf>
    <xf numFmtId="0" fontId="2" fillId="4" borderId="67" xfId="5" applyFill="1" applyBorder="1" applyAlignment="1">
      <alignment horizontal="center" vertical="center" wrapText="1"/>
    </xf>
    <xf numFmtId="0" fontId="2" fillId="4" borderId="68" xfId="5" applyFill="1" applyBorder="1" applyAlignment="1">
      <alignment horizontal="center" vertical="center" wrapText="1"/>
    </xf>
    <xf numFmtId="0" fontId="2" fillId="4" borderId="69" xfId="5" applyFill="1" applyBorder="1" applyAlignment="1">
      <alignment horizontal="center" vertical="center" wrapText="1"/>
    </xf>
    <xf numFmtId="0" fontId="2" fillId="4" borderId="70" xfId="5" applyFill="1" applyBorder="1" applyAlignment="1">
      <alignment horizontal="center" vertical="center" wrapText="1"/>
    </xf>
    <xf numFmtId="0" fontId="17" fillId="4" borderId="29" xfId="5" applyFont="1" applyFill="1" applyBorder="1" applyAlignment="1">
      <alignment horizontal="center" vertical="center" wrapText="1"/>
    </xf>
    <xf numFmtId="0" fontId="17" fillId="4" borderId="30" xfId="5" applyFont="1" applyFill="1" applyBorder="1" applyAlignment="1">
      <alignment horizontal="center" vertical="center" wrapText="1"/>
    </xf>
    <xf numFmtId="0" fontId="17" fillId="4" borderId="31" xfId="5" applyFont="1" applyFill="1" applyBorder="1" applyAlignment="1">
      <alignment horizontal="center" vertical="center" wrapText="1"/>
    </xf>
    <xf numFmtId="2" fontId="12" fillId="4" borderId="75" xfId="1" applyNumberFormat="1" applyFont="1" applyFill="1" applyBorder="1" applyAlignment="1">
      <alignment horizontal="center" vertical="center" wrapText="1"/>
    </xf>
    <xf numFmtId="2" fontId="12" fillId="4" borderId="76" xfId="1" applyNumberFormat="1" applyFont="1" applyFill="1" applyBorder="1" applyAlignment="1">
      <alignment horizontal="center" vertical="center" wrapText="1"/>
    </xf>
    <xf numFmtId="0" fontId="12" fillId="4" borderId="39" xfId="5" applyFont="1" applyFill="1" applyBorder="1" applyAlignment="1">
      <alignment horizontal="center" vertical="center" textRotation="90" wrapText="1"/>
    </xf>
    <xf numFmtId="0" fontId="8" fillId="2" borderId="19" xfId="5" applyFont="1" applyFill="1" applyBorder="1" applyAlignment="1">
      <alignment horizontal="center" vertical="center" wrapText="1"/>
    </xf>
    <xf numFmtId="0" fontId="8" fillId="2" borderId="24" xfId="5" applyFont="1" applyFill="1" applyBorder="1" applyAlignment="1">
      <alignment horizontal="center" vertical="center" wrapText="1"/>
    </xf>
    <xf numFmtId="49" fontId="2" fillId="3" borderId="34" xfId="6" applyNumberFormat="1" applyFill="1" applyBorder="1" applyAlignment="1">
      <alignment horizontal="center" vertical="center" wrapText="1"/>
    </xf>
    <xf numFmtId="0" fontId="2" fillId="3" borderId="34" xfId="6" applyFill="1" applyBorder="1" applyAlignment="1">
      <alignment horizontal="center" vertical="center" wrapText="1"/>
    </xf>
    <xf numFmtId="2" fontId="12" fillId="4" borderId="8" xfId="1" applyNumberFormat="1" applyFont="1" applyFill="1" applyBorder="1" applyAlignment="1">
      <alignment horizontal="center" vertical="center" wrapText="1"/>
    </xf>
    <xf numFmtId="0" fontId="2" fillId="0" borderId="32" xfId="5" applyBorder="1" applyAlignment="1">
      <alignment horizontal="left" vertical="center" wrapText="1"/>
    </xf>
    <xf numFmtId="49" fontId="2" fillId="3" borderId="62" xfId="6" applyNumberFormat="1" applyFill="1" applyBorder="1" applyAlignment="1">
      <alignment horizontal="center" vertical="center" wrapText="1"/>
    </xf>
    <xf numFmtId="49" fontId="2" fillId="3" borderId="63" xfId="6" applyNumberFormat="1" applyFill="1" applyBorder="1" applyAlignment="1">
      <alignment horizontal="center" vertical="center" wrapText="1"/>
    </xf>
    <xf numFmtId="0" fontId="2" fillId="3" borderId="62" xfId="6" applyFill="1" applyBorder="1" applyAlignment="1">
      <alignment horizontal="center" vertical="center" wrapText="1"/>
    </xf>
    <xf numFmtId="0" fontId="2" fillId="3" borderId="63" xfId="6" applyFill="1" applyBorder="1" applyAlignment="1">
      <alignment horizontal="center" vertical="center" wrapText="1"/>
    </xf>
    <xf numFmtId="0" fontId="12" fillId="4" borderId="10" xfId="5" applyFont="1" applyFill="1" applyBorder="1" applyAlignment="1">
      <alignment horizontal="center" vertical="center" wrapText="1"/>
    </xf>
    <xf numFmtId="0" fontId="12" fillId="4" borderId="17" xfId="5" applyFont="1" applyFill="1" applyBorder="1" applyAlignment="1">
      <alignment horizontal="center" vertical="center" wrapText="1"/>
    </xf>
    <xf numFmtId="0" fontId="17" fillId="4" borderId="10" xfId="5" applyFont="1" applyFill="1" applyBorder="1" applyAlignment="1">
      <alignment horizontal="center" vertical="center" wrapText="1"/>
    </xf>
    <xf numFmtId="2" fontId="12" fillId="4" borderId="11" xfId="1" applyNumberFormat="1" applyFont="1" applyFill="1" applyBorder="1" applyAlignment="1">
      <alignment horizontal="center" vertical="center" wrapText="1"/>
    </xf>
    <xf numFmtId="2" fontId="12" fillId="4" borderId="18" xfId="1" applyNumberFormat="1" applyFont="1" applyFill="1" applyBorder="1" applyAlignment="1">
      <alignment horizontal="center" vertical="center" wrapText="1"/>
    </xf>
    <xf numFmtId="0" fontId="8" fillId="0" borderId="16" xfId="5" applyFont="1" applyBorder="1" applyAlignment="1">
      <alignment horizontal="center" vertical="center" wrapText="1"/>
    </xf>
    <xf numFmtId="0" fontId="4" fillId="0" borderId="3" xfId="4" applyBorder="1" applyAlignment="1" applyProtection="1">
      <alignment horizontal="center" vertical="center"/>
    </xf>
    <xf numFmtId="0" fontId="4" fillId="0" borderId="6" xfId="4" applyBorder="1" applyAlignment="1" applyProtection="1">
      <alignment horizontal="center" vertical="center"/>
    </xf>
    <xf numFmtId="0" fontId="2" fillId="0" borderId="9" xfId="5" applyBorder="1" applyAlignment="1">
      <alignment horizontal="left" vertical="center"/>
    </xf>
    <xf numFmtId="0" fontId="2" fillId="0" borderId="12" xfId="5" applyBorder="1" applyAlignment="1">
      <alignment horizontal="left" vertical="center"/>
    </xf>
    <xf numFmtId="15" fontId="2" fillId="3" borderId="17" xfId="6" applyNumberFormat="1" applyFill="1" applyBorder="1" applyAlignment="1">
      <alignment horizontal="center" vertical="center" wrapText="1"/>
    </xf>
    <xf numFmtId="15" fontId="2" fillId="3" borderId="18" xfId="6" applyNumberFormat="1" applyFill="1" applyBorder="1" applyAlignment="1">
      <alignment horizontal="center" vertical="center" wrapText="1"/>
    </xf>
    <xf numFmtId="0" fontId="6" fillId="0" borderId="39" xfId="5" applyFont="1" applyBorder="1" applyAlignment="1">
      <alignment horizontal="left" vertical="center" wrapText="1"/>
    </xf>
    <xf numFmtId="0" fontId="6" fillId="0" borderId="40" xfId="5" applyFont="1" applyBorder="1" applyAlignment="1">
      <alignment horizontal="left" vertical="center" wrapText="1"/>
    </xf>
    <xf numFmtId="0" fontId="2" fillId="4" borderId="12" xfId="5" applyFill="1" applyBorder="1" applyAlignment="1">
      <alignment horizontal="center" vertical="center" wrapText="1"/>
    </xf>
    <xf numFmtId="0" fontId="2" fillId="4" borderId="13" xfId="5" applyFill="1" applyBorder="1" applyAlignment="1">
      <alignment horizontal="center" vertical="center" wrapText="1"/>
    </xf>
    <xf numFmtId="15" fontId="2" fillId="3" borderId="13" xfId="6" applyNumberFormat="1" applyFill="1" applyBorder="1" applyAlignment="1">
      <alignment horizontal="center" vertical="center" wrapText="1"/>
    </xf>
    <xf numFmtId="15" fontId="2" fillId="3" borderId="14" xfId="6" applyNumberFormat="1" applyFill="1" applyBorder="1" applyAlignment="1">
      <alignment horizontal="center" vertical="center" wrapText="1"/>
    </xf>
    <xf numFmtId="15" fontId="2" fillId="3" borderId="10" xfId="6" applyNumberFormat="1" applyFill="1" applyBorder="1" applyAlignment="1">
      <alignment horizontal="center" vertical="center" wrapText="1"/>
    </xf>
    <xf numFmtId="15" fontId="2" fillId="3" borderId="11" xfId="6" applyNumberFormat="1" applyFill="1" applyBorder="1" applyAlignment="1">
      <alignment horizontal="center" vertical="center" wrapText="1"/>
    </xf>
    <xf numFmtId="15" fontId="2" fillId="3" borderId="34" xfId="6" applyNumberFormat="1" applyFill="1" applyBorder="1" applyAlignment="1">
      <alignment horizontal="center" vertical="center" wrapText="1"/>
    </xf>
    <xf numFmtId="15" fontId="2" fillId="3" borderId="79" xfId="6" applyNumberFormat="1" applyFill="1" applyBorder="1" applyAlignment="1">
      <alignment horizontal="center" vertical="center" wrapText="1"/>
    </xf>
    <xf numFmtId="0" fontId="2" fillId="4" borderId="9" xfId="5" applyFill="1" applyBorder="1" applyAlignment="1">
      <alignment horizontal="center" vertical="center" wrapText="1"/>
    </xf>
    <xf numFmtId="0" fontId="2" fillId="4" borderId="10" xfId="5" applyFill="1" applyBorder="1" applyAlignment="1">
      <alignment horizontal="center" vertical="center" wrapText="1"/>
    </xf>
    <xf numFmtId="0" fontId="10" fillId="4" borderId="33" xfId="5" applyFont="1" applyFill="1" applyBorder="1" applyAlignment="1">
      <alignment horizontal="center" vertical="center" textRotation="90" wrapText="1"/>
    </xf>
    <xf numFmtId="0" fontId="12" fillId="4" borderId="65" xfId="5" applyFont="1" applyFill="1" applyBorder="1" applyAlignment="1">
      <alignment horizontal="center" vertical="center" wrapText="1"/>
    </xf>
    <xf numFmtId="0" fontId="12" fillId="4" borderId="67" xfId="5" applyFont="1" applyFill="1" applyBorder="1" applyAlignment="1">
      <alignment horizontal="center" vertical="center" wrapText="1"/>
    </xf>
    <xf numFmtId="0" fontId="12" fillId="4" borderId="77" xfId="5" applyFont="1" applyFill="1" applyBorder="1" applyAlignment="1">
      <alignment horizontal="center" vertical="center" wrapText="1"/>
    </xf>
    <xf numFmtId="0" fontId="12" fillId="4" borderId="37" xfId="5" applyFont="1" applyFill="1" applyBorder="1" applyAlignment="1">
      <alignment horizontal="center" vertical="center" wrapText="1"/>
    </xf>
    <xf numFmtId="0" fontId="12" fillId="4" borderId="34" xfId="5" applyFont="1" applyFill="1" applyBorder="1" applyAlignment="1">
      <alignment horizontal="center" vertical="center" wrapText="1"/>
    </xf>
    <xf numFmtId="0" fontId="12" fillId="4" borderId="78" xfId="5" applyFont="1" applyFill="1" applyBorder="1" applyAlignment="1">
      <alignment horizontal="center" vertical="center" wrapText="1"/>
    </xf>
    <xf numFmtId="0" fontId="12" fillId="4" borderId="2" xfId="5" applyFont="1" applyFill="1" applyBorder="1" applyAlignment="1">
      <alignment horizontal="center" vertical="center" wrapText="1"/>
    </xf>
    <xf numFmtId="0" fontId="12" fillId="4" borderId="3" xfId="5" applyFont="1" applyFill="1" applyBorder="1" applyAlignment="1">
      <alignment horizontal="center" vertical="center" wrapText="1"/>
    </xf>
    <xf numFmtId="0" fontId="12" fillId="4" borderId="22" xfId="5" applyFont="1" applyFill="1" applyBorder="1" applyAlignment="1">
      <alignment horizontal="center" vertical="center" wrapText="1"/>
    </xf>
    <xf numFmtId="0" fontId="12" fillId="4" borderId="0" xfId="5" applyFont="1" applyFill="1" applyAlignment="1">
      <alignment horizontal="center" vertical="center" wrapText="1"/>
    </xf>
    <xf numFmtId="0" fontId="12" fillId="4" borderId="15" xfId="5" applyFont="1" applyFill="1" applyBorder="1" applyAlignment="1">
      <alignment horizontal="center" vertical="center" wrapText="1"/>
    </xf>
    <xf numFmtId="1" fontId="8" fillId="2" borderId="9" xfId="5" applyNumberFormat="1" applyFont="1" applyFill="1" applyBorder="1" applyAlignment="1">
      <alignment horizontal="center" vertical="center"/>
    </xf>
    <xf numFmtId="1" fontId="8" fillId="2" borderId="16" xfId="5" applyNumberFormat="1" applyFont="1" applyFill="1" applyBorder="1" applyAlignment="1">
      <alignment horizontal="center" vertical="center"/>
    </xf>
    <xf numFmtId="0" fontId="8" fillId="2" borderId="10" xfId="5" applyFont="1" applyFill="1" applyBorder="1" applyAlignment="1">
      <alignment horizontal="left" vertical="center" wrapText="1"/>
    </xf>
    <xf numFmtId="0" fontId="8" fillId="2" borderId="17" xfId="5" applyFont="1" applyFill="1" applyBorder="1" applyAlignment="1">
      <alignment horizontal="left" vertical="center" wrapText="1"/>
    </xf>
    <xf numFmtId="0" fontId="10" fillId="6" borderId="10" xfId="5" applyFont="1" applyFill="1" applyBorder="1" applyAlignment="1">
      <alignment horizontal="center" vertical="center" wrapText="1"/>
    </xf>
    <xf numFmtId="0" fontId="10" fillId="6" borderId="17" xfId="5" applyFont="1" applyFill="1" applyBorder="1" applyAlignment="1">
      <alignment horizontal="center" vertical="center" wrapText="1"/>
    </xf>
    <xf numFmtId="0" fontId="8" fillId="6" borderId="10" xfId="5" applyFont="1" applyFill="1" applyBorder="1" applyAlignment="1">
      <alignment horizontal="center" vertical="center" wrapText="1"/>
    </xf>
    <xf numFmtId="0" fontId="8" fillId="6" borderId="17" xfId="5" applyFont="1" applyFill="1" applyBorder="1" applyAlignment="1">
      <alignment horizontal="center" vertical="center" wrapText="1"/>
    </xf>
    <xf numFmtId="0" fontId="8" fillId="2" borderId="10" xfId="5" applyFont="1" applyFill="1" applyBorder="1" applyAlignment="1">
      <alignment horizontal="center" vertical="center" wrapText="1"/>
    </xf>
    <xf numFmtId="0" fontId="8" fillId="2" borderId="17" xfId="5" applyFont="1" applyFill="1" applyBorder="1" applyAlignment="1">
      <alignment horizontal="center" vertical="center" wrapText="1"/>
    </xf>
    <xf numFmtId="1" fontId="8" fillId="8" borderId="11" xfId="5" applyNumberFormat="1" applyFont="1" applyFill="1" applyBorder="1" applyAlignment="1">
      <alignment horizontal="center" vertical="center" wrapText="1"/>
    </xf>
    <xf numFmtId="1" fontId="8" fillId="8" borderId="18" xfId="5" applyNumberFormat="1" applyFont="1" applyFill="1" applyBorder="1" applyAlignment="1">
      <alignment horizontal="center" vertical="center" wrapText="1"/>
    </xf>
    <xf numFmtId="15" fontId="14" fillId="3" borderId="10" xfId="6" applyNumberFormat="1" applyFont="1" applyFill="1" applyBorder="1" applyAlignment="1">
      <alignment horizontal="justify" vertical="center" wrapText="1"/>
    </xf>
    <xf numFmtId="15" fontId="14" fillId="3" borderId="11" xfId="6" applyNumberFormat="1" applyFont="1" applyFill="1" applyBorder="1" applyAlignment="1">
      <alignment horizontal="justify" vertical="center" wrapText="1"/>
    </xf>
    <xf numFmtId="15" fontId="2" fillId="3" borderId="37" xfId="6" applyNumberFormat="1" applyFill="1" applyBorder="1" applyAlignment="1">
      <alignment horizontal="center" vertical="center" wrapText="1"/>
    </xf>
    <xf numFmtId="15" fontId="2" fillId="3" borderId="80" xfId="6" applyNumberFormat="1" applyFill="1" applyBorder="1" applyAlignment="1">
      <alignment horizontal="center" vertical="center" wrapText="1"/>
    </xf>
    <xf numFmtId="15" fontId="7" fillId="3" borderId="10" xfId="6" applyNumberFormat="1" applyFont="1" applyFill="1" applyBorder="1" applyAlignment="1">
      <alignment horizontal="justify" vertical="center" wrapText="1"/>
    </xf>
    <xf numFmtId="15" fontId="7" fillId="3" borderId="11" xfId="6" applyNumberFormat="1" applyFont="1" applyFill="1" applyBorder="1" applyAlignment="1">
      <alignment horizontal="justify" vertical="center" wrapText="1"/>
    </xf>
    <xf numFmtId="15" fontId="7" fillId="3" borderId="13" xfId="6" applyNumberFormat="1" applyFont="1" applyFill="1" applyBorder="1" applyAlignment="1">
      <alignment horizontal="justify" vertical="center" wrapText="1"/>
    </xf>
    <xf numFmtId="15" fontId="7" fillId="3" borderId="14" xfId="6" applyNumberFormat="1" applyFont="1" applyFill="1" applyBorder="1" applyAlignment="1">
      <alignment horizontal="justify" vertical="center" wrapText="1"/>
    </xf>
    <xf numFmtId="15" fontId="3" fillId="3" borderId="82" xfId="6" applyNumberFormat="1" applyFont="1" applyFill="1" applyBorder="1" applyAlignment="1">
      <alignment horizontal="left" vertical="center" wrapText="1"/>
    </xf>
    <xf numFmtId="15" fontId="3" fillId="3" borderId="83" xfId="6" applyNumberFormat="1" applyFont="1" applyFill="1" applyBorder="1" applyAlignment="1">
      <alignment horizontal="left" vertical="center" wrapText="1"/>
    </xf>
    <xf numFmtId="15" fontId="30" fillId="3" borderId="13" xfId="6" applyNumberFormat="1" applyFont="1" applyFill="1" applyBorder="1" applyAlignment="1">
      <alignment horizontal="left" vertical="center" wrapText="1"/>
    </xf>
    <xf numFmtId="15" fontId="30" fillId="3" borderId="85" xfId="6" applyNumberFormat="1" applyFont="1" applyFill="1" applyBorder="1" applyAlignment="1">
      <alignment horizontal="left" vertical="center" wrapText="1"/>
    </xf>
    <xf numFmtId="15" fontId="7" fillId="3" borderId="85" xfId="6" applyNumberFormat="1" applyFont="1" applyFill="1" applyBorder="1" applyAlignment="1">
      <alignment horizontal="justify" vertical="center" wrapText="1"/>
    </xf>
    <xf numFmtId="15" fontId="2" fillId="3" borderId="87" xfId="6" applyNumberFormat="1" applyFill="1" applyBorder="1" applyAlignment="1">
      <alignment horizontal="center" vertical="center" wrapText="1"/>
    </xf>
    <xf numFmtId="15" fontId="2" fillId="3" borderId="88" xfId="6" applyNumberFormat="1" applyFill="1" applyBorder="1" applyAlignment="1">
      <alignment horizontal="center" vertical="center" wrapText="1"/>
    </xf>
    <xf numFmtId="15" fontId="2" fillId="3" borderId="82" xfId="6" applyNumberFormat="1" applyFill="1" applyBorder="1" applyAlignment="1">
      <alignment horizontal="center" vertical="center" wrapText="1"/>
    </xf>
    <xf numFmtId="15" fontId="2" fillId="3" borderId="83" xfId="6" applyNumberFormat="1" applyFill="1" applyBorder="1" applyAlignment="1">
      <alignment horizontal="center" vertical="center" wrapText="1"/>
    </xf>
    <xf numFmtId="15" fontId="2" fillId="3" borderId="85" xfId="6" applyNumberFormat="1" applyFill="1" applyBorder="1" applyAlignment="1">
      <alignment horizontal="center" vertical="center" wrapText="1"/>
    </xf>
    <xf numFmtId="15" fontId="22" fillId="3" borderId="13" xfId="6" applyNumberFormat="1" applyFont="1" applyFill="1" applyBorder="1" applyAlignment="1">
      <alignment horizontal="center" vertical="center" wrapText="1"/>
    </xf>
    <xf numFmtId="15" fontId="3" fillId="3" borderId="10" xfId="6" applyNumberFormat="1" applyFont="1" applyFill="1" applyBorder="1" applyAlignment="1">
      <alignment horizontal="left" vertical="center" wrapText="1"/>
    </xf>
    <xf numFmtId="15" fontId="3" fillId="3" borderId="11" xfId="6" applyNumberFormat="1" applyFont="1" applyFill="1" applyBorder="1" applyAlignment="1">
      <alignment horizontal="left" vertical="center" wrapText="1"/>
    </xf>
    <xf numFmtId="15" fontId="3" fillId="3" borderId="13" xfId="6" applyNumberFormat="1" applyFont="1" applyFill="1" applyBorder="1" applyAlignment="1">
      <alignment horizontal="left" vertical="center" wrapText="1"/>
    </xf>
    <xf numFmtId="15" fontId="3" fillId="3" borderId="14" xfId="6" applyNumberFormat="1" applyFont="1" applyFill="1" applyBorder="1" applyAlignment="1">
      <alignment horizontal="left" vertical="center" wrapText="1"/>
    </xf>
    <xf numFmtId="1" fontId="8" fillId="2" borderId="27" xfId="5" applyNumberFormat="1" applyFont="1" applyFill="1" applyBorder="1" applyAlignment="1">
      <alignment horizontal="center" vertical="center"/>
    </xf>
    <xf numFmtId="1" fontId="8" fillId="2" borderId="39" xfId="5" applyNumberFormat="1" applyFont="1" applyFill="1" applyBorder="1" applyAlignment="1">
      <alignment horizontal="center" vertical="center"/>
    </xf>
    <xf numFmtId="15" fontId="2" fillId="3" borderId="13" xfId="6" applyNumberFormat="1" applyFill="1" applyBorder="1" applyAlignment="1">
      <alignment horizontal="left" vertical="center" wrapText="1"/>
    </xf>
    <xf numFmtId="15" fontId="2" fillId="3" borderId="14" xfId="6" applyNumberFormat="1" applyFill="1" applyBorder="1" applyAlignment="1">
      <alignment horizontal="left" vertical="center" wrapText="1"/>
    </xf>
    <xf numFmtId="0" fontId="10" fillId="4" borderId="65" xfId="5" applyFont="1" applyFill="1" applyBorder="1" applyAlignment="1">
      <alignment horizontal="center" vertical="center" wrapText="1"/>
    </xf>
    <xf numFmtId="0" fontId="10" fillId="4" borderId="67" xfId="5" applyFont="1" applyFill="1" applyBorder="1" applyAlignment="1">
      <alignment horizontal="center" vertical="center" wrapText="1"/>
    </xf>
    <xf numFmtId="0" fontId="10" fillId="4" borderId="77" xfId="5" applyFont="1" applyFill="1" applyBorder="1" applyAlignment="1">
      <alignment horizontal="center" vertical="center" wrapText="1"/>
    </xf>
    <xf numFmtId="0" fontId="10" fillId="4" borderId="37" xfId="5" applyFont="1" applyFill="1" applyBorder="1" applyAlignment="1">
      <alignment horizontal="center" vertical="center" wrapText="1"/>
    </xf>
    <xf numFmtId="0" fontId="10" fillId="4" borderId="34" xfId="5" applyFont="1" applyFill="1" applyBorder="1" applyAlignment="1">
      <alignment horizontal="center" vertical="center" wrapText="1"/>
    </xf>
    <xf numFmtId="0" fontId="10" fillId="4" borderId="78" xfId="5" applyFont="1" applyFill="1" applyBorder="1" applyAlignment="1">
      <alignment horizontal="center" vertical="center" wrapText="1"/>
    </xf>
    <xf numFmtId="0" fontId="10" fillId="4" borderId="2" xfId="5" applyFont="1" applyFill="1" applyBorder="1" applyAlignment="1">
      <alignment horizontal="center" vertical="center" wrapText="1"/>
    </xf>
    <xf numFmtId="0" fontId="10" fillId="4" borderId="3" xfId="5" applyFont="1" applyFill="1" applyBorder="1" applyAlignment="1">
      <alignment horizontal="center" vertical="center" wrapText="1"/>
    </xf>
    <xf numFmtId="0" fontId="10" fillId="4" borderId="22" xfId="5" applyFont="1" applyFill="1" applyBorder="1" applyAlignment="1">
      <alignment horizontal="center" vertical="center" wrapText="1"/>
    </xf>
    <xf numFmtId="0" fontId="10" fillId="4" borderId="0" xfId="5" applyFont="1" applyFill="1" applyAlignment="1">
      <alignment horizontal="center" vertical="center" wrapText="1"/>
    </xf>
    <xf numFmtId="0" fontId="10" fillId="4" borderId="15" xfId="5" applyFont="1" applyFill="1" applyBorder="1" applyAlignment="1">
      <alignment horizontal="center" vertical="center" wrapText="1"/>
    </xf>
    <xf numFmtId="0" fontId="27" fillId="0" borderId="19" xfId="5" applyFont="1" applyBorder="1" applyAlignment="1">
      <alignment horizontal="left" vertical="center"/>
    </xf>
    <xf numFmtId="0" fontId="27" fillId="0" borderId="24" xfId="5" applyFont="1" applyBorder="1" applyAlignment="1">
      <alignment horizontal="left" vertical="center"/>
    </xf>
    <xf numFmtId="0" fontId="9" fillId="0" borderId="23" xfId="5" applyFont="1" applyBorder="1" applyAlignment="1">
      <alignment horizontal="justify" vertical="center" wrapText="1"/>
    </xf>
    <xf numFmtId="0" fontId="9" fillId="0" borderId="20" xfId="5" applyFont="1" applyBorder="1" applyAlignment="1">
      <alignment horizontal="justify" vertical="center" wrapText="1"/>
    </xf>
    <xf numFmtId="0" fontId="9" fillId="0" borderId="21" xfId="5" applyFont="1" applyBorder="1" applyAlignment="1">
      <alignment horizontal="justify" vertical="center" wrapText="1"/>
    </xf>
    <xf numFmtId="165" fontId="7" fillId="2" borderId="1" xfId="2" applyNumberFormat="1" applyFont="1" applyFill="1" applyBorder="1" applyAlignment="1">
      <alignment horizontal="center" vertical="center" wrapText="1"/>
    </xf>
    <xf numFmtId="165" fontId="7" fillId="2" borderId="2" xfId="2" applyNumberFormat="1" applyFont="1" applyFill="1" applyBorder="1" applyAlignment="1">
      <alignment horizontal="center" vertical="center" wrapText="1"/>
    </xf>
    <xf numFmtId="0" fontId="20" fillId="0" borderId="59" xfId="4" applyFont="1" applyFill="1" applyBorder="1" applyAlignment="1" applyProtection="1">
      <alignment horizontal="center" vertical="center" wrapText="1"/>
    </xf>
    <xf numFmtId="0" fontId="20" fillId="0" borderId="21" xfId="4" applyFont="1" applyFill="1" applyBorder="1" applyAlignment="1" applyProtection="1">
      <alignment horizontal="center" vertical="center" wrapText="1"/>
    </xf>
    <xf numFmtId="0" fontId="8" fillId="2" borderId="1" xfId="5" applyFont="1" applyFill="1" applyBorder="1" applyAlignment="1">
      <alignment horizontal="center" vertical="center" wrapText="1"/>
    </xf>
    <xf numFmtId="0" fontId="9" fillId="2" borderId="2" xfId="5" applyFont="1" applyFill="1" applyBorder="1" applyAlignment="1">
      <alignment horizontal="center" vertical="center" wrapText="1"/>
    </xf>
    <xf numFmtId="0" fontId="4" fillId="0" borderId="26" xfId="4" applyFill="1" applyBorder="1" applyAlignment="1" applyProtection="1">
      <alignment horizontal="center" vertical="center" wrapText="1"/>
    </xf>
    <xf numFmtId="0" fontId="4" fillId="0" borderId="42" xfId="4" applyFill="1" applyBorder="1" applyAlignment="1" applyProtection="1">
      <alignment horizontal="center" vertical="center" wrapText="1"/>
    </xf>
    <xf numFmtId="0" fontId="33" fillId="0" borderId="0" xfId="13" applyFont="1" applyAlignment="1">
      <alignment horizontal="center" vertical="center" wrapText="1"/>
    </xf>
    <xf numFmtId="0" fontId="37" fillId="0" borderId="0" xfId="13" applyFont="1" applyAlignment="1">
      <alignment horizontal="center" vertical="center" wrapText="1"/>
    </xf>
  </cellXfs>
  <cellStyles count="16">
    <cellStyle name="Hipervínculo" xfId="4" builtinId="8"/>
    <cellStyle name="Millares" xfId="1" builtinId="3"/>
    <cellStyle name="Millares 11" xfId="9" xr:uid="{64E3B47C-2364-4C1D-842A-310B07E535A5}"/>
    <cellStyle name="Millares 6 6" xfId="14" xr:uid="{49585F88-56F4-48DD-B150-8576F5EE2EA9}"/>
    <cellStyle name="Millares_REVISION TECNICA CP-007 2 2" xfId="7" xr:uid="{77AC49B5-AE4D-4578-B46B-A48B76C93A1A}"/>
    <cellStyle name="Moneda" xfId="2" builtinId="4"/>
    <cellStyle name="Normal" xfId="0" builtinId="0"/>
    <cellStyle name="Normal 10 10" xfId="5" xr:uid="{F17EB4A6-CF2F-4F6C-B767-7EFE0B6AC125}"/>
    <cellStyle name="Normal 10 2 2 2" xfId="11" xr:uid="{929E6319-274D-4DF7-88CF-32D9D34C2C12}"/>
    <cellStyle name="Normal 10 2 3" xfId="15" xr:uid="{0C112121-926E-4700-AEDE-CB6EC1428AE4}"/>
    <cellStyle name="Normal 12 5" xfId="13" xr:uid="{23C68D0E-9DD8-4161-BB4A-50E8B0414ADE}"/>
    <cellStyle name="Normal 2 10 2" xfId="6" xr:uid="{405E3352-CF26-47B9-ACC9-C54A75932DC7}"/>
    <cellStyle name="Porcentaje" xfId="3" builtinId="5"/>
    <cellStyle name="Porcentaje 2 2" xfId="10" xr:uid="{7EF2BA80-1789-48E9-9017-4EDD82805A01}"/>
    <cellStyle name="Porcentaje 2 4 2" xfId="12" xr:uid="{9016939B-E8E8-4DCA-8590-DF6E75B202D7}"/>
    <cellStyle name="Porcentual 2 2" xfId="8" xr:uid="{F0089735-3E05-400A-9DE6-ECEF0F9A8264}"/>
  </cellStyles>
  <dxfs count="6543">
    <dxf>
      <fill>
        <patternFill>
          <bgColor theme="5" tint="0.59996337778862885"/>
        </patternFill>
      </fill>
    </dxf>
    <dxf>
      <fill>
        <patternFill>
          <bgColor theme="8" tint="0.59996337778862885"/>
        </patternFill>
      </fill>
    </dxf>
    <dxf>
      <fill>
        <patternFill>
          <bgColor rgb="FFFFFF99"/>
        </patternFill>
      </fill>
    </dxf>
    <dxf>
      <fill>
        <patternFill>
          <bgColor theme="9" tint="0.39994506668294322"/>
        </patternFill>
      </fill>
    </dxf>
    <dxf>
      <fill>
        <patternFill>
          <bgColor theme="5" tint="0.59996337778862885"/>
        </patternFill>
      </fill>
    </dxf>
    <dxf>
      <fill>
        <patternFill>
          <bgColor theme="8" tint="0.59996337778862885"/>
        </patternFill>
      </fill>
    </dxf>
    <dxf>
      <fill>
        <patternFill>
          <bgColor rgb="FFFFFF99"/>
        </patternFill>
      </fill>
    </dxf>
    <dxf>
      <fill>
        <patternFill>
          <bgColor theme="9" tint="0.39994506668294322"/>
        </patternFill>
      </fill>
    </dxf>
    <dxf>
      <fill>
        <patternFill>
          <bgColor theme="5" tint="0.59996337778862885"/>
        </patternFill>
      </fill>
    </dxf>
    <dxf>
      <font>
        <color theme="5" tint="-0.24994659260841701"/>
      </font>
      <fill>
        <patternFill>
          <bgColor theme="5" tint="0.59996337778862885"/>
        </patternFill>
      </fill>
    </dxf>
    <dxf>
      <font>
        <color rgb="FF9C0006"/>
      </font>
      <fill>
        <patternFill>
          <bgColor theme="5" tint="0.59996337778862885"/>
        </patternFill>
      </fill>
    </dxf>
    <dxf>
      <font>
        <color rgb="FF9C0006"/>
      </font>
      <fill>
        <patternFill>
          <bgColor theme="5" tint="0.59996337778862885"/>
        </patternFill>
      </fill>
    </dxf>
    <dxf>
      <fill>
        <patternFill>
          <bgColor theme="5" tint="0.59996337778862885"/>
        </patternFill>
      </fill>
    </dxf>
    <dxf>
      <fill>
        <patternFill>
          <bgColor rgb="FF00FF00"/>
        </patternFill>
      </fill>
    </dxf>
    <dxf>
      <font>
        <color rgb="FF9C0006"/>
      </font>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ont>
        <color rgb="FF9C0006"/>
      </font>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rgb="FF00FF00"/>
        </patternFill>
      </fill>
    </dxf>
    <dxf>
      <fill>
        <patternFill>
          <bgColor rgb="FF92D050"/>
        </patternFill>
      </fill>
    </dxf>
    <dxf>
      <font>
        <color rgb="FF9C0006"/>
      </font>
      <fill>
        <patternFill>
          <bgColor theme="5" tint="0.59996337778862885"/>
        </patternFill>
      </fill>
    </dxf>
    <dxf>
      <fill>
        <patternFill>
          <bgColor theme="5" tint="0.59996337778862885"/>
        </patternFill>
      </fill>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FF0000"/>
      </font>
    </dxf>
    <dxf>
      <font>
        <b/>
        <i val="0"/>
      </font>
      <fill>
        <patternFill>
          <bgColor theme="0"/>
        </patternFill>
      </fill>
    </dxf>
    <dxf>
      <font>
        <color rgb="FFFF0000"/>
      </font>
    </dxf>
    <dxf>
      <font>
        <b/>
        <i val="0"/>
      </font>
      <fill>
        <patternFill>
          <bgColor theme="0"/>
        </patternFill>
      </fill>
    </dxf>
    <dxf>
      <font>
        <color rgb="FFFF0000"/>
      </font>
    </dxf>
    <dxf>
      <font>
        <b/>
        <i val="0"/>
      </font>
      <fill>
        <patternFill>
          <bgColor theme="0"/>
        </patternFill>
      </fill>
    </dxf>
    <dxf>
      <font>
        <color rgb="FFFF0000"/>
      </font>
    </dxf>
    <dxf>
      <font>
        <b/>
        <i val="0"/>
      </font>
      <fill>
        <patternFill>
          <bgColor theme="0"/>
        </patternFill>
      </fill>
    </dxf>
    <dxf>
      <font>
        <color rgb="FFFF0000"/>
      </font>
    </dxf>
    <dxf>
      <font>
        <b/>
        <i val="0"/>
      </font>
      <fill>
        <patternFill>
          <bgColor theme="0"/>
        </patternFill>
      </fill>
    </dxf>
    <dxf>
      <font>
        <color rgb="FFFF0000"/>
      </font>
    </dxf>
    <dxf>
      <font>
        <b/>
        <i val="0"/>
      </font>
      <fill>
        <patternFill>
          <bgColor theme="0"/>
        </patternFill>
      </fill>
    </dxf>
    <dxf>
      <font>
        <color rgb="FFFF0000"/>
      </font>
    </dxf>
    <dxf>
      <font>
        <b/>
        <i val="0"/>
      </font>
      <fill>
        <patternFill>
          <bgColor theme="0"/>
        </patternFill>
      </fill>
    </dxf>
    <dxf>
      <font>
        <color rgb="FFFF0000"/>
      </font>
    </dxf>
    <dxf>
      <font>
        <b/>
        <i val="0"/>
      </font>
      <fill>
        <patternFill>
          <bgColor theme="0"/>
        </patternFill>
      </fill>
    </dxf>
    <dxf>
      <font>
        <color rgb="FFFF0000"/>
      </font>
    </dxf>
    <dxf>
      <font>
        <b/>
        <i val="0"/>
      </font>
      <fill>
        <patternFill>
          <bgColor theme="0"/>
        </patternFill>
      </fill>
    </dxf>
    <dxf>
      <font>
        <color rgb="FFFF0000"/>
      </font>
    </dxf>
    <dxf>
      <font>
        <b/>
        <i val="0"/>
      </font>
      <fill>
        <patternFill>
          <bgColor theme="0"/>
        </patternFill>
      </fill>
    </dxf>
    <dxf>
      <font>
        <color rgb="FFFF0000"/>
      </font>
    </dxf>
    <dxf>
      <font>
        <b/>
        <i val="0"/>
      </font>
      <fill>
        <patternFill>
          <bgColor theme="0"/>
        </patternFill>
      </fill>
    </dxf>
    <dxf>
      <font>
        <color rgb="FFFF0000"/>
      </font>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FF000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color rgb="FFFF0000"/>
      </font>
    </dxf>
    <dxf>
      <font>
        <b/>
        <i val="0"/>
        <color theme="0"/>
      </font>
      <fill>
        <patternFill>
          <bgColor rgb="FFFF0000"/>
        </patternFill>
      </fill>
    </dxf>
    <dxf>
      <fill>
        <patternFill>
          <bgColor rgb="FF00FF00"/>
        </patternFill>
      </fill>
    </dxf>
    <dxf>
      <font>
        <b/>
        <i val="0"/>
        <color rgb="FFFF0000"/>
      </font>
    </dxf>
    <dxf>
      <font>
        <color rgb="FFFF0000"/>
      </font>
    </dxf>
    <dxf>
      <font>
        <b/>
        <i val="0"/>
        <color theme="0"/>
      </font>
      <fill>
        <patternFill>
          <bgColor rgb="FFFF0000"/>
        </patternFill>
      </fill>
    </dxf>
    <dxf>
      <fill>
        <patternFill>
          <bgColor rgb="FF00FF00"/>
        </patternFill>
      </fill>
    </dxf>
    <dxf>
      <font>
        <b/>
        <i val="0"/>
        <color rgb="FFFF0000"/>
      </font>
    </dxf>
    <dxf>
      <font>
        <b/>
        <i val="0"/>
      </font>
      <fill>
        <patternFill>
          <bgColor theme="0"/>
        </patternFill>
      </fill>
    </dxf>
    <dxf>
      <font>
        <b/>
        <i val="0"/>
      </font>
      <fill>
        <patternFill>
          <bgColor theme="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patternType="none">
          <bgColor auto="1"/>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color rgb="FFFF0000"/>
      </font>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color rgb="FFFF0000"/>
      </font>
    </dxf>
    <dxf>
      <font>
        <color rgb="FFFF0000"/>
      </font>
    </dxf>
    <dxf>
      <font>
        <color rgb="FFFF0000"/>
      </font>
    </dxf>
    <dxf>
      <font>
        <b/>
        <i val="0"/>
        <color theme="0"/>
      </font>
      <fill>
        <patternFill>
          <bgColor rgb="FFFF0000"/>
        </patternFill>
      </fill>
    </dxf>
    <dxf>
      <font>
        <b/>
        <i val="0"/>
        <color rgb="FFFF0000"/>
      </font>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rgb="FFFF0000"/>
        </patternFill>
      </fill>
    </dxf>
    <dxf>
      <font>
        <color rgb="FFFF0000"/>
      </font>
    </dxf>
    <dxf>
      <font>
        <color rgb="FFFF0000"/>
      </font>
    </dxf>
    <dxf>
      <font>
        <color rgb="FFFF0000"/>
      </font>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rgb="FFFF0000"/>
        </patternFill>
      </fill>
    </dxf>
    <dxf>
      <font>
        <color rgb="FFFF0000"/>
      </font>
    </dxf>
    <dxf>
      <font>
        <color rgb="FFFF0000"/>
      </font>
    </dxf>
    <dxf>
      <font>
        <color rgb="FFFF0000"/>
      </font>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color rgb="FFFF0000"/>
      </font>
    </dxf>
    <dxf>
      <font>
        <color rgb="FFFF0000"/>
      </font>
    </dxf>
    <dxf>
      <font>
        <color rgb="FFFF0000"/>
      </font>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color rgb="FFFF0000"/>
      </font>
    </dxf>
    <dxf>
      <font>
        <color rgb="FFFF0000"/>
      </font>
    </dxf>
    <dxf>
      <font>
        <color rgb="FFFF000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color rgb="FFFF0000"/>
      </font>
    </dxf>
    <dxf>
      <font>
        <color rgb="FFFF0000"/>
      </font>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color rgb="FFFF0000"/>
      </font>
    </dxf>
    <dxf>
      <font>
        <color rgb="FFFF0000"/>
      </font>
    </dxf>
    <dxf>
      <font>
        <color rgb="FFFF0000"/>
      </font>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color rgb="FFFF0000"/>
      </font>
    </dxf>
    <dxf>
      <font>
        <color rgb="FFFF0000"/>
      </font>
    </dxf>
    <dxf>
      <font>
        <color rgb="FFFF0000"/>
      </font>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color rgb="FFFF0000"/>
      </font>
    </dxf>
    <dxf>
      <font>
        <color rgb="FFFF0000"/>
      </font>
    </dxf>
    <dxf>
      <font>
        <color rgb="FFFF0000"/>
      </font>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color rgb="FFFF0000"/>
      </font>
    </dxf>
    <dxf>
      <font>
        <color rgb="FFFF0000"/>
      </font>
    </dxf>
    <dxf>
      <font>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rgb="FFFF0000"/>
        </patternFill>
      </fill>
    </dxf>
    <dxf>
      <font>
        <color rgb="FFFF0000"/>
      </font>
    </dxf>
    <dxf>
      <font>
        <color rgb="FFFF0000"/>
      </font>
    </dxf>
    <dxf>
      <font>
        <color rgb="FFFF0000"/>
      </font>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color rgb="FFFF0000"/>
      </font>
    </dxf>
    <dxf>
      <font>
        <color rgb="FFFF0000"/>
      </font>
    </dxf>
    <dxf>
      <font>
        <color rgb="FFFF0000"/>
      </font>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b/>
        <i val="0"/>
      </font>
      <fill>
        <patternFill>
          <bgColor theme="0"/>
        </patternFill>
      </fill>
    </dxf>
    <dxf>
      <font>
        <b/>
        <i val="0"/>
      </font>
      <fill>
        <patternFill>
          <bgColor theme="0"/>
        </patternFill>
      </fill>
    </dxf>
    <dxf>
      <font>
        <color rgb="FFFF0000"/>
      </font>
    </dxf>
    <dxf>
      <font>
        <color rgb="FFFF0000"/>
      </font>
    </dxf>
    <dxf>
      <font>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0000"/>
        </patternFill>
      </fill>
    </dxf>
    <dxf>
      <font>
        <color rgb="FFFF0000"/>
      </font>
    </dxf>
    <dxf>
      <font>
        <b/>
        <i val="0"/>
      </font>
      <fill>
        <patternFill>
          <bgColor theme="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FF0000"/>
      </font>
    </dxf>
    <dxf>
      <font>
        <color rgb="FFFF0000"/>
      </font>
    </dxf>
    <dxf>
      <font>
        <b/>
        <i val="0"/>
      </font>
      <fill>
        <patternFill>
          <bgColor rgb="FFFF0000"/>
        </patternFill>
      </fill>
    </dxf>
    <dxf>
      <font>
        <b/>
        <i val="0"/>
      </font>
      <fill>
        <patternFill>
          <bgColor theme="0"/>
        </patternFill>
      </fill>
    </dxf>
    <dxf>
      <fill>
        <patternFill>
          <bgColor rgb="FF00FF00"/>
        </patternFill>
      </fill>
    </dxf>
    <dxf>
      <fill>
        <patternFill>
          <bgColor rgb="FF00FF00"/>
        </patternFill>
      </fill>
    </dxf>
    <dxf>
      <fill>
        <patternFill>
          <bgColor rgb="FF00FF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color auto="1"/>
      </font>
      <fill>
        <patternFill>
          <bgColor theme="0"/>
        </patternFill>
      </fill>
    </dxf>
    <dxf>
      <font>
        <b/>
        <i val="0"/>
        <color rgb="FFFF0000"/>
      </font>
      <fill>
        <patternFill>
          <bgColor theme="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color auto="1"/>
      </font>
      <fill>
        <patternFill>
          <bgColor theme="0"/>
        </patternFill>
      </fill>
    </dxf>
    <dxf>
      <font>
        <b/>
        <i val="0"/>
        <color rgb="FFFF0000"/>
      </font>
      <fill>
        <patternFill>
          <bgColor theme="0"/>
        </patternFill>
      </fill>
    </dxf>
    <dxf>
      <font>
        <b/>
        <i val="0"/>
      </font>
      <fill>
        <patternFill>
          <bgColor theme="0"/>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font>
    </dxf>
    <dxf>
      <font>
        <b/>
        <i val="0"/>
        <color rgb="FFFF0000"/>
      </font>
    </dxf>
    <dxf>
      <font>
        <b/>
        <i val="0"/>
        <color theme="0"/>
      </font>
      <fill>
        <patternFill>
          <bgColor rgb="FFFF0000"/>
        </patternFill>
      </fill>
    </dxf>
    <dxf>
      <font>
        <b/>
        <i val="0"/>
      </font>
      <fill>
        <patternFill>
          <bgColor theme="0"/>
        </patternFill>
      </fill>
    </dxf>
    <dxf>
      <fill>
        <patternFill>
          <bgColor rgb="FF00FF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00FF00"/>
      </font>
    </dxf>
    <dxf>
      <font>
        <color rgb="FF00FF00"/>
      </font>
    </dxf>
    <dxf>
      <font>
        <color rgb="FF00FF00"/>
      </font>
    </dxf>
    <dxf>
      <fill>
        <patternFill>
          <bgColor rgb="FF00FF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auto="1"/>
      </font>
      <fill>
        <patternFill>
          <bgColor theme="0"/>
        </patternFill>
      </fill>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dxf>
    <dxf>
      <font>
        <b/>
        <i val="0"/>
        <color rgb="FFFF0000"/>
      </font>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rgb="FFFF0000"/>
      </font>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theme="0"/>
      </font>
      <fill>
        <patternFill>
          <bgColor rgb="FFFF0000"/>
        </patternFill>
      </fill>
    </dxf>
    <dxf>
      <font>
        <b/>
        <i val="0"/>
      </font>
      <fill>
        <patternFill>
          <bgColor theme="0"/>
        </patternFill>
      </fill>
    </dxf>
    <dxf>
      <font>
        <color rgb="FF00FF00"/>
      </font>
    </dxf>
    <dxf>
      <font>
        <color rgb="FF00FF00"/>
      </font>
    </dxf>
    <dxf>
      <font>
        <color rgb="FF00FF00"/>
      </font>
    </dxf>
    <dxf>
      <fill>
        <patternFill>
          <bgColor rgb="FF00FF00"/>
        </patternFill>
      </fill>
    </dxf>
    <dxf>
      <font>
        <b/>
        <i val="0"/>
        <color theme="0"/>
      </font>
      <fill>
        <patternFill>
          <bgColor rgb="FFFF000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color auto="1"/>
      </font>
      <fill>
        <patternFill>
          <bgColor theme="0"/>
        </patternFill>
      </fill>
    </dxf>
    <dxf>
      <font>
        <b/>
        <i val="0"/>
        <color rgb="FFFF0000"/>
      </font>
      <fill>
        <patternFill>
          <bgColor theme="0"/>
        </patternFill>
      </fill>
    </dxf>
    <dxf>
      <font>
        <b/>
        <i val="0"/>
      </font>
    </dxf>
    <dxf>
      <font>
        <b/>
        <i val="0"/>
        <color rgb="FFFF0000"/>
      </font>
    </dxf>
    <dxf>
      <font>
        <color auto="1"/>
      </font>
      <fill>
        <patternFill>
          <bgColor theme="0"/>
        </patternFill>
      </fill>
    </dxf>
    <dxf>
      <font>
        <b/>
        <i val="0"/>
        <color rgb="FFFF0000"/>
      </font>
      <fill>
        <patternFill>
          <bgColor theme="0"/>
        </patternFill>
      </fill>
    </dxf>
    <dxf>
      <font>
        <b/>
        <i val="0"/>
      </font>
    </dxf>
    <dxf>
      <font>
        <b/>
        <i val="0"/>
        <color rgb="FFFF0000"/>
      </font>
    </dxf>
    <dxf>
      <font>
        <color auto="1"/>
      </font>
      <fill>
        <patternFill>
          <bgColor theme="0"/>
        </patternFill>
      </fill>
    </dxf>
    <dxf>
      <font>
        <b/>
        <i val="0"/>
        <color rgb="FFFF0000"/>
      </font>
      <fill>
        <patternFill>
          <bgColor theme="0"/>
        </patternFill>
      </fill>
    </dxf>
    <dxf>
      <font>
        <b/>
        <i val="0"/>
      </font>
    </dxf>
    <dxf>
      <font>
        <b/>
        <i val="0"/>
        <color rgb="FFFF0000"/>
      </font>
    </dxf>
    <dxf>
      <font>
        <color auto="1"/>
      </font>
      <fill>
        <patternFill>
          <bgColor theme="0"/>
        </patternFill>
      </fill>
    </dxf>
    <dxf>
      <font>
        <b/>
        <i val="0"/>
        <color rgb="FFFF0000"/>
      </font>
      <fill>
        <patternFill>
          <bgColor theme="0"/>
        </patternFill>
      </fill>
    </dxf>
    <dxf>
      <font>
        <b/>
        <i val="0"/>
      </font>
    </dxf>
    <dxf>
      <font>
        <b/>
        <i val="0"/>
        <color rgb="FFFF0000"/>
      </font>
    </dxf>
    <dxf>
      <font>
        <color auto="1"/>
      </font>
      <fill>
        <patternFill>
          <bgColor theme="0"/>
        </patternFill>
      </fill>
    </dxf>
    <dxf>
      <font>
        <b/>
        <i val="0"/>
        <color rgb="FFFF0000"/>
      </font>
      <fill>
        <patternFill>
          <bgColor theme="0"/>
        </patternFill>
      </fill>
    </dxf>
    <dxf>
      <font>
        <color auto="1"/>
      </font>
      <fill>
        <patternFill>
          <bgColor theme="0"/>
        </patternFill>
      </fill>
    </dxf>
    <dxf>
      <font>
        <b/>
        <i val="0"/>
        <color rgb="FFFF0000"/>
      </font>
      <fill>
        <patternFill>
          <bgColor theme="0"/>
        </patternFill>
      </fill>
    </dxf>
    <dxf>
      <font>
        <b/>
        <i val="0"/>
      </font>
    </dxf>
    <dxf>
      <font>
        <b/>
        <i val="0"/>
        <color rgb="FFFF0000"/>
      </font>
    </dxf>
    <dxf>
      <font>
        <color auto="1"/>
      </font>
      <fill>
        <patternFill>
          <bgColor theme="0"/>
        </patternFill>
      </fill>
    </dxf>
    <dxf>
      <font>
        <b/>
        <i val="0"/>
        <color rgb="FFFF0000"/>
      </font>
      <fill>
        <patternFill>
          <bgColor theme="0"/>
        </patternFill>
      </fill>
    </dxf>
    <dxf>
      <font>
        <b/>
        <i val="0"/>
      </font>
    </dxf>
    <dxf>
      <font>
        <b/>
        <i val="0"/>
        <color rgb="FFFF0000"/>
      </font>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color auto="1"/>
      </font>
      <fill>
        <patternFill>
          <bgColor theme="0"/>
        </patternFill>
      </fill>
    </dxf>
    <dxf>
      <font>
        <b/>
        <i val="0"/>
        <color rgb="FFFF000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92D050"/>
        </patternFill>
      </fill>
    </dxf>
    <dxf>
      <font>
        <b/>
        <i val="0"/>
      </font>
      <fill>
        <patternFill>
          <bgColor rgb="FF92D050"/>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font>
      <fill>
        <patternFill>
          <bgColor theme="0"/>
        </patternFill>
      </fill>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color theme="0"/>
      </font>
      <fill>
        <patternFill>
          <bgColor rgb="FFFF0000"/>
        </patternFill>
      </fill>
    </dxf>
    <dxf>
      <font>
        <b/>
        <i val="0"/>
        <color rgb="FFFF0000"/>
      </font>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theme="0"/>
      </font>
      <fill>
        <patternFill>
          <bgColor rgb="FFFF0000"/>
        </patternFill>
      </fill>
    </dxf>
    <dxf>
      <font>
        <b/>
        <i val="0"/>
        <color rgb="FFFF0000"/>
      </font>
    </dxf>
    <dxf>
      <font>
        <b/>
        <i val="0"/>
      </font>
      <fill>
        <patternFill>
          <bgColor theme="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
      <font>
        <b/>
        <i val="0"/>
        <color auto="1"/>
      </font>
      <fill>
        <patternFill>
          <bgColor rgb="FFFF0000"/>
        </patternFill>
      </fill>
    </dxf>
    <dxf>
      <font>
        <b/>
        <i val="0"/>
      </font>
      <fill>
        <patternFill>
          <bgColor rgb="FFBFFCBA"/>
        </patternFill>
      </fill>
    </dxf>
    <dxf>
      <font>
        <b/>
        <i val="0"/>
      </font>
      <fill>
        <patternFill patternType="none">
          <bgColor auto="1"/>
        </patternFill>
      </fill>
    </dxf>
    <dxf>
      <font>
        <b/>
        <i val="0"/>
      </font>
      <fill>
        <patternFill>
          <bgColor rgb="FFFF0000"/>
        </patternFill>
      </fill>
    </dxf>
    <dxf>
      <font>
        <b/>
        <i val="0"/>
      </font>
      <fill>
        <patternFill>
          <bgColor rgb="FF92D050"/>
        </patternFill>
      </fill>
    </dxf>
    <dxf>
      <font>
        <b/>
        <i val="0"/>
      </font>
      <fill>
        <patternFill>
          <bgColor rgb="FF92D050"/>
        </patternFill>
      </fill>
    </dxf>
    <dxf>
      <font>
        <b/>
        <i val="0"/>
        <color auto="1"/>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48264</xdr:colOff>
      <xdr:row>10</xdr:row>
      <xdr:rowOff>64399</xdr:rowOff>
    </xdr:from>
    <xdr:to>
      <xdr:col>3</xdr:col>
      <xdr:colOff>400689</xdr:colOff>
      <xdr:row>10</xdr:row>
      <xdr:rowOff>144779</xdr:rowOff>
    </xdr:to>
    <xdr:sp macro="" textlink="">
      <xdr:nvSpPr>
        <xdr:cNvPr id="2" name="1 Flecha izquierda">
          <a:extLst>
            <a:ext uri="{FF2B5EF4-FFF2-40B4-BE49-F238E27FC236}">
              <a16:creationId xmlns:a16="http://schemas.microsoft.com/office/drawing/2014/main" id="{41F8254A-E470-4E59-B24A-7C908ADA624E}"/>
            </a:ext>
          </a:extLst>
        </xdr:cNvPr>
        <xdr:cNvSpPr/>
      </xdr:nvSpPr>
      <xdr:spPr>
        <a:xfrm>
          <a:off x="6658614" y="2721874"/>
          <a:ext cx="352425" cy="80380"/>
        </a:xfrm>
        <a:prstGeom prst="leftArrow">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endParaRPr lang="es-CO"/>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ANTE\Desktop\5.%20INFORME%20DE%20EVALUACION\JURIDICO%20Y%20FINANCIERO\MATRIZ%20CAPACIDAD%20FINANCIERA%20CON%2010635.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ONTRATACION/CONTRATACION%202017/FORMATOS/CONTRATACION/CONTRATACION%202017/LICITACIONES/7006-SAN%20PEDRO%20DE%20LOS%20MILAGROS-RIO%20CHICO/EVALUACION/EXPERIENCIA/EVALUACION%20EXPERIENCIA%20PAVIMENTAR-dian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gobantioquia-my.sharepoint.com/SIMULACI&#211;NEDIFICIO.ok.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CONTRATACION/CONTRATACION%202017/FORMATOS/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ciones"/>
      <sheetName val="POA"/>
      <sheetName val="Capacidad Financiera"/>
      <sheetName val="PO"/>
    </sheetNames>
    <sheetDataSet>
      <sheetData sheetId="0"/>
      <sheetData sheetId="1">
        <row r="2">
          <cell r="J2">
            <v>386441438.09999996</v>
          </cell>
          <cell r="L2">
            <v>128813812.7</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RECCIONES"/>
      <sheetName val="RESUMEN"/>
      <sheetName val="Formulario 3-AURA"/>
      <sheetName val="Formulario 6-AURA"/>
      <sheetName val="EXP ESPECIFICA PROPONENTE"/>
      <sheetName val="EVAL PRECIO TODOS"/>
      <sheetName val="CARTA INTENCION- 7"/>
      <sheetName val="DISCAPACIDAD"/>
    </sheetNames>
    <sheetDataSet>
      <sheetData sheetId="0"/>
      <sheetData sheetId="1"/>
      <sheetData sheetId="2"/>
      <sheetData sheetId="3"/>
      <sheetData sheetId="4"/>
      <sheetData sheetId="5"/>
      <sheetData sheetId="6"/>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IMULACIÓNEDIFICIO.ok"/>
      <sheetName val="Hoja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E11A0A-A0D3-4C6C-9172-AB86A20C1358}">
  <sheetPr codeName="Hoja10">
    <tabColor rgb="FF92D050"/>
  </sheetPr>
  <dimension ref="A1:U502"/>
  <sheetViews>
    <sheetView showGridLines="0" zoomScale="85" zoomScaleNormal="85" zoomScaleSheetLayoutView="80" workbookViewId="0">
      <selection activeCell="D2" sqref="D2:S2"/>
    </sheetView>
  </sheetViews>
  <sheetFormatPr baseColWidth="10" defaultColWidth="11.42578125" defaultRowHeight="11.25" x14ac:dyDescent="0.2"/>
  <cols>
    <col min="1" max="1" width="0.5703125" style="1" customWidth="1"/>
    <col min="2" max="2" width="4.85546875" style="1" bestFit="1" customWidth="1"/>
    <col min="3" max="3" width="15.140625" style="1" customWidth="1"/>
    <col min="4" max="4" width="17.28515625" style="1" customWidth="1"/>
    <col min="5" max="5" width="15" style="1" customWidth="1"/>
    <col min="6" max="6" width="51.5703125" style="1" customWidth="1"/>
    <col min="7" max="7" width="19.42578125" style="1" customWidth="1"/>
    <col min="8" max="8" width="15.140625" style="1" customWidth="1"/>
    <col min="9" max="9" width="14" style="1" customWidth="1"/>
    <col min="10" max="10" width="17" style="1" customWidth="1"/>
    <col min="11" max="11" width="11.85546875" style="20" customWidth="1"/>
    <col min="12" max="12" width="14" style="20" customWidth="1"/>
    <col min="13" max="13" width="14.85546875" style="20" customWidth="1"/>
    <col min="14" max="14" width="13.5703125" style="1" customWidth="1"/>
    <col min="15" max="15" width="55.7109375" style="128" customWidth="1"/>
    <col min="16" max="16" width="1.42578125" style="1" customWidth="1"/>
    <col min="17" max="17" width="26.5703125" style="1" customWidth="1"/>
    <col min="18" max="18" width="0.85546875" style="1" customWidth="1"/>
    <col min="19" max="19" width="30.7109375" style="1" customWidth="1"/>
    <col min="20" max="20" width="4.42578125" style="1" customWidth="1"/>
    <col min="21" max="226" width="11.42578125" style="1"/>
    <col min="227" max="227" width="5.140625" style="1" customWidth="1"/>
    <col min="228" max="228" width="23.42578125" style="1" customWidth="1"/>
    <col min="229" max="229" width="7.85546875" style="1" customWidth="1"/>
    <col min="230" max="230" width="10.140625" style="1" customWidth="1"/>
    <col min="231" max="231" width="16.28515625" style="1" customWidth="1"/>
    <col min="232" max="232" width="12.7109375" style="1" customWidth="1"/>
    <col min="233" max="233" width="18" style="1" customWidth="1"/>
    <col min="234" max="234" width="13.42578125" style="1" customWidth="1"/>
    <col min="235" max="235" width="11.7109375" style="1" customWidth="1"/>
    <col min="236" max="236" width="12.42578125" style="1" customWidth="1"/>
    <col min="237" max="237" width="4" style="1" customWidth="1"/>
    <col min="238" max="238" width="6.5703125" style="1" customWidth="1"/>
    <col min="239" max="239" width="10.85546875" style="1" customWidth="1"/>
    <col min="240" max="240" width="4.7109375" style="1" customWidth="1"/>
    <col min="241" max="241" width="5.140625" style="1" customWidth="1"/>
    <col min="242" max="243" width="11.85546875" style="1" customWidth="1"/>
    <col min="244" max="244" width="7" style="1" customWidth="1"/>
    <col min="245" max="245" width="12.7109375" style="1" bestFit="1" customWidth="1"/>
    <col min="246" max="246" width="9.5703125" style="1" customWidth="1"/>
    <col min="247" max="247" width="19.7109375" style="1" customWidth="1"/>
    <col min="248" max="248" width="13" style="1" bestFit="1" customWidth="1"/>
    <col min="249" max="482" width="11.42578125" style="1"/>
    <col min="483" max="483" width="5.140625" style="1" customWidth="1"/>
    <col min="484" max="484" width="23.42578125" style="1" customWidth="1"/>
    <col min="485" max="485" width="7.85546875" style="1" customWidth="1"/>
    <col min="486" max="486" width="10.140625" style="1" customWidth="1"/>
    <col min="487" max="487" width="16.28515625" style="1" customWidth="1"/>
    <col min="488" max="488" width="12.7109375" style="1" customWidth="1"/>
    <col min="489" max="489" width="18" style="1" customWidth="1"/>
    <col min="490" max="490" width="13.42578125" style="1" customWidth="1"/>
    <col min="491" max="491" width="11.7109375" style="1" customWidth="1"/>
    <col min="492" max="492" width="12.42578125" style="1" customWidth="1"/>
    <col min="493" max="493" width="4" style="1" customWidth="1"/>
    <col min="494" max="494" width="6.5703125" style="1" customWidth="1"/>
    <col min="495" max="495" width="10.85546875" style="1" customWidth="1"/>
    <col min="496" max="496" width="4.7109375" style="1" customWidth="1"/>
    <col min="497" max="497" width="5.140625" style="1" customWidth="1"/>
    <col min="498" max="499" width="11.85546875" style="1" customWidth="1"/>
    <col min="500" max="500" width="7" style="1" customWidth="1"/>
    <col min="501" max="501" width="12.7109375" style="1" bestFit="1" customWidth="1"/>
    <col min="502" max="502" width="9.5703125" style="1" customWidth="1"/>
    <col min="503" max="503" width="19.7109375" style="1" customWidth="1"/>
    <col min="504" max="504" width="13" style="1" bestFit="1" customWidth="1"/>
    <col min="505" max="738" width="11.42578125" style="1"/>
    <col min="739" max="739" width="5.140625" style="1" customWidth="1"/>
    <col min="740" max="740" width="23.42578125" style="1" customWidth="1"/>
    <col min="741" max="741" width="7.85546875" style="1" customWidth="1"/>
    <col min="742" max="742" width="10.140625" style="1" customWidth="1"/>
    <col min="743" max="743" width="16.28515625" style="1" customWidth="1"/>
    <col min="744" max="744" width="12.7109375" style="1" customWidth="1"/>
    <col min="745" max="745" width="18" style="1" customWidth="1"/>
    <col min="746" max="746" width="13.42578125" style="1" customWidth="1"/>
    <col min="747" max="747" width="11.7109375" style="1" customWidth="1"/>
    <col min="748" max="748" width="12.42578125" style="1" customWidth="1"/>
    <col min="749" max="749" width="4" style="1" customWidth="1"/>
    <col min="750" max="750" width="6.5703125" style="1" customWidth="1"/>
    <col min="751" max="751" width="10.85546875" style="1" customWidth="1"/>
    <col min="752" max="752" width="4.7109375" style="1" customWidth="1"/>
    <col min="753" max="753" width="5.140625" style="1" customWidth="1"/>
    <col min="754" max="755" width="11.85546875" style="1" customWidth="1"/>
    <col min="756" max="756" width="7" style="1" customWidth="1"/>
    <col min="757" max="757" width="12.7109375" style="1" bestFit="1" customWidth="1"/>
    <col min="758" max="758" width="9.5703125" style="1" customWidth="1"/>
    <col min="759" max="759" width="19.7109375" style="1" customWidth="1"/>
    <col min="760" max="760" width="13" style="1" bestFit="1" customWidth="1"/>
    <col min="761" max="994" width="11.42578125" style="1"/>
    <col min="995" max="995" width="5.140625" style="1" customWidth="1"/>
    <col min="996" max="996" width="23.42578125" style="1" customWidth="1"/>
    <col min="997" max="997" width="7.85546875" style="1" customWidth="1"/>
    <col min="998" max="998" width="10.140625" style="1" customWidth="1"/>
    <col min="999" max="999" width="16.28515625" style="1" customWidth="1"/>
    <col min="1000" max="1000" width="12.7109375" style="1" customWidth="1"/>
    <col min="1001" max="1001" width="18" style="1" customWidth="1"/>
    <col min="1002" max="1002" width="13.42578125" style="1" customWidth="1"/>
    <col min="1003" max="1003" width="11.7109375" style="1" customWidth="1"/>
    <col min="1004" max="1004" width="12.42578125" style="1" customWidth="1"/>
    <col min="1005" max="1005" width="4" style="1" customWidth="1"/>
    <col min="1006" max="1006" width="6.5703125" style="1" customWidth="1"/>
    <col min="1007" max="1007" width="10.85546875" style="1" customWidth="1"/>
    <col min="1008" max="1008" width="4.7109375" style="1" customWidth="1"/>
    <col min="1009" max="1009" width="5.140625" style="1" customWidth="1"/>
    <col min="1010" max="1011" width="11.85546875" style="1" customWidth="1"/>
    <col min="1012" max="1012" width="7" style="1" customWidth="1"/>
    <col min="1013" max="1013" width="12.7109375" style="1" bestFit="1" customWidth="1"/>
    <col min="1014" max="1014" width="9.5703125" style="1" customWidth="1"/>
    <col min="1015" max="1015" width="19.7109375" style="1" customWidth="1"/>
    <col min="1016" max="1016" width="13" style="1" bestFit="1" customWidth="1"/>
    <col min="1017" max="1250" width="11.42578125" style="1"/>
    <col min="1251" max="1251" width="5.140625" style="1" customWidth="1"/>
    <col min="1252" max="1252" width="23.42578125" style="1" customWidth="1"/>
    <col min="1253" max="1253" width="7.85546875" style="1" customWidth="1"/>
    <col min="1254" max="1254" width="10.140625" style="1" customWidth="1"/>
    <col min="1255" max="1255" width="16.28515625" style="1" customWidth="1"/>
    <col min="1256" max="1256" width="12.7109375" style="1" customWidth="1"/>
    <col min="1257" max="1257" width="18" style="1" customWidth="1"/>
    <col min="1258" max="1258" width="13.42578125" style="1" customWidth="1"/>
    <col min="1259" max="1259" width="11.7109375" style="1" customWidth="1"/>
    <col min="1260" max="1260" width="12.42578125" style="1" customWidth="1"/>
    <col min="1261" max="1261" width="4" style="1" customWidth="1"/>
    <col min="1262" max="1262" width="6.5703125" style="1" customWidth="1"/>
    <col min="1263" max="1263" width="10.85546875" style="1" customWidth="1"/>
    <col min="1264" max="1264" width="4.7109375" style="1" customWidth="1"/>
    <col min="1265" max="1265" width="5.140625" style="1" customWidth="1"/>
    <col min="1266" max="1267" width="11.85546875" style="1" customWidth="1"/>
    <col min="1268" max="1268" width="7" style="1" customWidth="1"/>
    <col min="1269" max="1269" width="12.7109375" style="1" bestFit="1" customWidth="1"/>
    <col min="1270" max="1270" width="9.5703125" style="1" customWidth="1"/>
    <col min="1271" max="1271" width="19.7109375" style="1" customWidth="1"/>
    <col min="1272" max="1272" width="13" style="1" bestFit="1" customWidth="1"/>
    <col min="1273" max="1506" width="11.42578125" style="1"/>
    <col min="1507" max="1507" width="5.140625" style="1" customWidth="1"/>
    <col min="1508" max="1508" width="23.42578125" style="1" customWidth="1"/>
    <col min="1509" max="1509" width="7.85546875" style="1" customWidth="1"/>
    <col min="1510" max="1510" width="10.140625" style="1" customWidth="1"/>
    <col min="1511" max="1511" width="16.28515625" style="1" customWidth="1"/>
    <col min="1512" max="1512" width="12.7109375" style="1" customWidth="1"/>
    <col min="1513" max="1513" width="18" style="1" customWidth="1"/>
    <col min="1514" max="1514" width="13.42578125" style="1" customWidth="1"/>
    <col min="1515" max="1515" width="11.7109375" style="1" customWidth="1"/>
    <col min="1516" max="1516" width="12.42578125" style="1" customWidth="1"/>
    <col min="1517" max="1517" width="4" style="1" customWidth="1"/>
    <col min="1518" max="1518" width="6.5703125" style="1" customWidth="1"/>
    <col min="1519" max="1519" width="10.85546875" style="1" customWidth="1"/>
    <col min="1520" max="1520" width="4.7109375" style="1" customWidth="1"/>
    <col min="1521" max="1521" width="5.140625" style="1" customWidth="1"/>
    <col min="1522" max="1523" width="11.85546875" style="1" customWidth="1"/>
    <col min="1524" max="1524" width="7" style="1" customWidth="1"/>
    <col min="1525" max="1525" width="12.7109375" style="1" bestFit="1" customWidth="1"/>
    <col min="1526" max="1526" width="9.5703125" style="1" customWidth="1"/>
    <col min="1527" max="1527" width="19.7109375" style="1" customWidth="1"/>
    <col min="1528" max="1528" width="13" style="1" bestFit="1" customWidth="1"/>
    <col min="1529" max="1762" width="11.42578125" style="1"/>
    <col min="1763" max="1763" width="5.140625" style="1" customWidth="1"/>
    <col min="1764" max="1764" width="23.42578125" style="1" customWidth="1"/>
    <col min="1765" max="1765" width="7.85546875" style="1" customWidth="1"/>
    <col min="1766" max="1766" width="10.140625" style="1" customWidth="1"/>
    <col min="1767" max="1767" width="16.28515625" style="1" customWidth="1"/>
    <col min="1768" max="1768" width="12.7109375" style="1" customWidth="1"/>
    <col min="1769" max="1769" width="18" style="1" customWidth="1"/>
    <col min="1770" max="1770" width="13.42578125" style="1" customWidth="1"/>
    <col min="1771" max="1771" width="11.7109375" style="1" customWidth="1"/>
    <col min="1772" max="1772" width="12.42578125" style="1" customWidth="1"/>
    <col min="1773" max="1773" width="4" style="1" customWidth="1"/>
    <col min="1774" max="1774" width="6.5703125" style="1" customWidth="1"/>
    <col min="1775" max="1775" width="10.85546875" style="1" customWidth="1"/>
    <col min="1776" max="1776" width="4.7109375" style="1" customWidth="1"/>
    <col min="1777" max="1777" width="5.140625" style="1" customWidth="1"/>
    <col min="1778" max="1779" width="11.85546875" style="1" customWidth="1"/>
    <col min="1780" max="1780" width="7" style="1" customWidth="1"/>
    <col min="1781" max="1781" width="12.7109375" style="1" bestFit="1" customWidth="1"/>
    <col min="1782" max="1782" width="9.5703125" style="1" customWidth="1"/>
    <col min="1783" max="1783" width="19.7109375" style="1" customWidth="1"/>
    <col min="1784" max="1784" width="13" style="1" bestFit="1" customWidth="1"/>
    <col min="1785" max="2018" width="11.42578125" style="1"/>
    <col min="2019" max="2019" width="5.140625" style="1" customWidth="1"/>
    <col min="2020" max="2020" width="23.42578125" style="1" customWidth="1"/>
    <col min="2021" max="2021" width="7.85546875" style="1" customWidth="1"/>
    <col min="2022" max="2022" width="10.140625" style="1" customWidth="1"/>
    <col min="2023" max="2023" width="16.28515625" style="1" customWidth="1"/>
    <col min="2024" max="2024" width="12.7109375" style="1" customWidth="1"/>
    <col min="2025" max="2025" width="18" style="1" customWidth="1"/>
    <col min="2026" max="2026" width="13.42578125" style="1" customWidth="1"/>
    <col min="2027" max="2027" width="11.7109375" style="1" customWidth="1"/>
    <col min="2028" max="2028" width="12.42578125" style="1" customWidth="1"/>
    <col min="2029" max="2029" width="4" style="1" customWidth="1"/>
    <col min="2030" max="2030" width="6.5703125" style="1" customWidth="1"/>
    <col min="2031" max="2031" width="10.85546875" style="1" customWidth="1"/>
    <col min="2032" max="2032" width="4.7109375" style="1" customWidth="1"/>
    <col min="2033" max="2033" width="5.140625" style="1" customWidth="1"/>
    <col min="2034" max="2035" width="11.85546875" style="1" customWidth="1"/>
    <col min="2036" max="2036" width="7" style="1" customWidth="1"/>
    <col min="2037" max="2037" width="12.7109375" style="1" bestFit="1" customWidth="1"/>
    <col min="2038" max="2038" width="9.5703125" style="1" customWidth="1"/>
    <col min="2039" max="2039" width="19.7109375" style="1" customWidth="1"/>
    <col min="2040" max="2040" width="13" style="1" bestFit="1" customWidth="1"/>
    <col min="2041" max="2274" width="11.42578125" style="1"/>
    <col min="2275" max="2275" width="5.140625" style="1" customWidth="1"/>
    <col min="2276" max="2276" width="23.42578125" style="1" customWidth="1"/>
    <col min="2277" max="2277" width="7.85546875" style="1" customWidth="1"/>
    <col min="2278" max="2278" width="10.140625" style="1" customWidth="1"/>
    <col min="2279" max="2279" width="16.28515625" style="1" customWidth="1"/>
    <col min="2280" max="2280" width="12.7109375" style="1" customWidth="1"/>
    <col min="2281" max="2281" width="18" style="1" customWidth="1"/>
    <col min="2282" max="2282" width="13.42578125" style="1" customWidth="1"/>
    <col min="2283" max="2283" width="11.7109375" style="1" customWidth="1"/>
    <col min="2284" max="2284" width="12.42578125" style="1" customWidth="1"/>
    <col min="2285" max="2285" width="4" style="1" customWidth="1"/>
    <col min="2286" max="2286" width="6.5703125" style="1" customWidth="1"/>
    <col min="2287" max="2287" width="10.85546875" style="1" customWidth="1"/>
    <col min="2288" max="2288" width="4.7109375" style="1" customWidth="1"/>
    <col min="2289" max="2289" width="5.140625" style="1" customWidth="1"/>
    <col min="2290" max="2291" width="11.85546875" style="1" customWidth="1"/>
    <col min="2292" max="2292" width="7" style="1" customWidth="1"/>
    <col min="2293" max="2293" width="12.7109375" style="1" bestFit="1" customWidth="1"/>
    <col min="2294" max="2294" width="9.5703125" style="1" customWidth="1"/>
    <col min="2295" max="2295" width="19.7109375" style="1" customWidth="1"/>
    <col min="2296" max="2296" width="13" style="1" bestFit="1" customWidth="1"/>
    <col min="2297" max="2530" width="11.42578125" style="1"/>
    <col min="2531" max="2531" width="5.140625" style="1" customWidth="1"/>
    <col min="2532" max="2532" width="23.42578125" style="1" customWidth="1"/>
    <col min="2533" max="2533" width="7.85546875" style="1" customWidth="1"/>
    <col min="2534" max="2534" width="10.140625" style="1" customWidth="1"/>
    <col min="2535" max="2535" width="16.28515625" style="1" customWidth="1"/>
    <col min="2536" max="2536" width="12.7109375" style="1" customWidth="1"/>
    <col min="2537" max="2537" width="18" style="1" customWidth="1"/>
    <col min="2538" max="2538" width="13.42578125" style="1" customWidth="1"/>
    <col min="2539" max="2539" width="11.7109375" style="1" customWidth="1"/>
    <col min="2540" max="2540" width="12.42578125" style="1" customWidth="1"/>
    <col min="2541" max="2541" width="4" style="1" customWidth="1"/>
    <col min="2542" max="2542" width="6.5703125" style="1" customWidth="1"/>
    <col min="2543" max="2543" width="10.85546875" style="1" customWidth="1"/>
    <col min="2544" max="2544" width="4.7109375" style="1" customWidth="1"/>
    <col min="2545" max="2545" width="5.140625" style="1" customWidth="1"/>
    <col min="2546" max="2547" width="11.85546875" style="1" customWidth="1"/>
    <col min="2548" max="2548" width="7" style="1" customWidth="1"/>
    <col min="2549" max="2549" width="12.7109375" style="1" bestFit="1" customWidth="1"/>
    <col min="2550" max="2550" width="9.5703125" style="1" customWidth="1"/>
    <col min="2551" max="2551" width="19.7109375" style="1" customWidth="1"/>
    <col min="2552" max="2552" width="13" style="1" bestFit="1" customWidth="1"/>
    <col min="2553" max="2786" width="11.42578125" style="1"/>
    <col min="2787" max="2787" width="5.140625" style="1" customWidth="1"/>
    <col min="2788" max="2788" width="23.42578125" style="1" customWidth="1"/>
    <col min="2789" max="2789" width="7.85546875" style="1" customWidth="1"/>
    <col min="2790" max="2790" width="10.140625" style="1" customWidth="1"/>
    <col min="2791" max="2791" width="16.28515625" style="1" customWidth="1"/>
    <col min="2792" max="2792" width="12.7109375" style="1" customWidth="1"/>
    <col min="2793" max="2793" width="18" style="1" customWidth="1"/>
    <col min="2794" max="2794" width="13.42578125" style="1" customWidth="1"/>
    <col min="2795" max="2795" width="11.7109375" style="1" customWidth="1"/>
    <col min="2796" max="2796" width="12.42578125" style="1" customWidth="1"/>
    <col min="2797" max="2797" width="4" style="1" customWidth="1"/>
    <col min="2798" max="2798" width="6.5703125" style="1" customWidth="1"/>
    <col min="2799" max="2799" width="10.85546875" style="1" customWidth="1"/>
    <col min="2800" max="2800" width="4.7109375" style="1" customWidth="1"/>
    <col min="2801" max="2801" width="5.140625" style="1" customWidth="1"/>
    <col min="2802" max="2803" width="11.85546875" style="1" customWidth="1"/>
    <col min="2804" max="2804" width="7" style="1" customWidth="1"/>
    <col min="2805" max="2805" width="12.7109375" style="1" bestFit="1" customWidth="1"/>
    <col min="2806" max="2806" width="9.5703125" style="1" customWidth="1"/>
    <col min="2807" max="2807" width="19.7109375" style="1" customWidth="1"/>
    <col min="2808" max="2808" width="13" style="1" bestFit="1" customWidth="1"/>
    <col min="2809" max="3042" width="11.42578125" style="1"/>
    <col min="3043" max="3043" width="5.140625" style="1" customWidth="1"/>
    <col min="3044" max="3044" width="23.42578125" style="1" customWidth="1"/>
    <col min="3045" max="3045" width="7.85546875" style="1" customWidth="1"/>
    <col min="3046" max="3046" width="10.140625" style="1" customWidth="1"/>
    <col min="3047" max="3047" width="16.28515625" style="1" customWidth="1"/>
    <col min="3048" max="3048" width="12.7109375" style="1" customWidth="1"/>
    <col min="3049" max="3049" width="18" style="1" customWidth="1"/>
    <col min="3050" max="3050" width="13.42578125" style="1" customWidth="1"/>
    <col min="3051" max="3051" width="11.7109375" style="1" customWidth="1"/>
    <col min="3052" max="3052" width="12.42578125" style="1" customWidth="1"/>
    <col min="3053" max="3053" width="4" style="1" customWidth="1"/>
    <col min="3054" max="3054" width="6.5703125" style="1" customWidth="1"/>
    <col min="3055" max="3055" width="10.85546875" style="1" customWidth="1"/>
    <col min="3056" max="3056" width="4.7109375" style="1" customWidth="1"/>
    <col min="3057" max="3057" width="5.140625" style="1" customWidth="1"/>
    <col min="3058" max="3059" width="11.85546875" style="1" customWidth="1"/>
    <col min="3060" max="3060" width="7" style="1" customWidth="1"/>
    <col min="3061" max="3061" width="12.7109375" style="1" bestFit="1" customWidth="1"/>
    <col min="3062" max="3062" width="9.5703125" style="1" customWidth="1"/>
    <col min="3063" max="3063" width="19.7109375" style="1" customWidth="1"/>
    <col min="3064" max="3064" width="13" style="1" bestFit="1" customWidth="1"/>
    <col min="3065" max="3298" width="11.42578125" style="1"/>
    <col min="3299" max="3299" width="5.140625" style="1" customWidth="1"/>
    <col min="3300" max="3300" width="23.42578125" style="1" customWidth="1"/>
    <col min="3301" max="3301" width="7.85546875" style="1" customWidth="1"/>
    <col min="3302" max="3302" width="10.140625" style="1" customWidth="1"/>
    <col min="3303" max="3303" width="16.28515625" style="1" customWidth="1"/>
    <col min="3304" max="3304" width="12.7109375" style="1" customWidth="1"/>
    <col min="3305" max="3305" width="18" style="1" customWidth="1"/>
    <col min="3306" max="3306" width="13.42578125" style="1" customWidth="1"/>
    <col min="3307" max="3307" width="11.7109375" style="1" customWidth="1"/>
    <col min="3308" max="3308" width="12.42578125" style="1" customWidth="1"/>
    <col min="3309" max="3309" width="4" style="1" customWidth="1"/>
    <col min="3310" max="3310" width="6.5703125" style="1" customWidth="1"/>
    <col min="3311" max="3311" width="10.85546875" style="1" customWidth="1"/>
    <col min="3312" max="3312" width="4.7109375" style="1" customWidth="1"/>
    <col min="3313" max="3313" width="5.140625" style="1" customWidth="1"/>
    <col min="3314" max="3315" width="11.85546875" style="1" customWidth="1"/>
    <col min="3316" max="3316" width="7" style="1" customWidth="1"/>
    <col min="3317" max="3317" width="12.7109375" style="1" bestFit="1" customWidth="1"/>
    <col min="3318" max="3318" width="9.5703125" style="1" customWidth="1"/>
    <col min="3319" max="3319" width="19.7109375" style="1" customWidth="1"/>
    <col min="3320" max="3320" width="13" style="1" bestFit="1" customWidth="1"/>
    <col min="3321" max="3554" width="11.42578125" style="1"/>
    <col min="3555" max="3555" width="5.140625" style="1" customWidth="1"/>
    <col min="3556" max="3556" width="23.42578125" style="1" customWidth="1"/>
    <col min="3557" max="3557" width="7.85546875" style="1" customWidth="1"/>
    <col min="3558" max="3558" width="10.140625" style="1" customWidth="1"/>
    <col min="3559" max="3559" width="16.28515625" style="1" customWidth="1"/>
    <col min="3560" max="3560" width="12.7109375" style="1" customWidth="1"/>
    <col min="3561" max="3561" width="18" style="1" customWidth="1"/>
    <col min="3562" max="3562" width="13.42578125" style="1" customWidth="1"/>
    <col min="3563" max="3563" width="11.7109375" style="1" customWidth="1"/>
    <col min="3564" max="3564" width="12.42578125" style="1" customWidth="1"/>
    <col min="3565" max="3565" width="4" style="1" customWidth="1"/>
    <col min="3566" max="3566" width="6.5703125" style="1" customWidth="1"/>
    <col min="3567" max="3567" width="10.85546875" style="1" customWidth="1"/>
    <col min="3568" max="3568" width="4.7109375" style="1" customWidth="1"/>
    <col min="3569" max="3569" width="5.140625" style="1" customWidth="1"/>
    <col min="3570" max="3571" width="11.85546875" style="1" customWidth="1"/>
    <col min="3572" max="3572" width="7" style="1" customWidth="1"/>
    <col min="3573" max="3573" width="12.7109375" style="1" bestFit="1" customWidth="1"/>
    <col min="3574" max="3574" width="9.5703125" style="1" customWidth="1"/>
    <col min="3575" max="3575" width="19.7109375" style="1" customWidth="1"/>
    <col min="3576" max="3576" width="13" style="1" bestFit="1" customWidth="1"/>
    <col min="3577" max="3810" width="11.42578125" style="1"/>
    <col min="3811" max="3811" width="5.140625" style="1" customWidth="1"/>
    <col min="3812" max="3812" width="23.42578125" style="1" customWidth="1"/>
    <col min="3813" max="3813" width="7.85546875" style="1" customWidth="1"/>
    <col min="3814" max="3814" width="10.140625" style="1" customWidth="1"/>
    <col min="3815" max="3815" width="16.28515625" style="1" customWidth="1"/>
    <col min="3816" max="3816" width="12.7109375" style="1" customWidth="1"/>
    <col min="3817" max="3817" width="18" style="1" customWidth="1"/>
    <col min="3818" max="3818" width="13.42578125" style="1" customWidth="1"/>
    <col min="3819" max="3819" width="11.7109375" style="1" customWidth="1"/>
    <col min="3820" max="3820" width="12.42578125" style="1" customWidth="1"/>
    <col min="3821" max="3821" width="4" style="1" customWidth="1"/>
    <col min="3822" max="3822" width="6.5703125" style="1" customWidth="1"/>
    <col min="3823" max="3823" width="10.85546875" style="1" customWidth="1"/>
    <col min="3824" max="3824" width="4.7109375" style="1" customWidth="1"/>
    <col min="3825" max="3825" width="5.140625" style="1" customWidth="1"/>
    <col min="3826" max="3827" width="11.85546875" style="1" customWidth="1"/>
    <col min="3828" max="3828" width="7" style="1" customWidth="1"/>
    <col min="3829" max="3829" width="12.7109375" style="1" bestFit="1" customWidth="1"/>
    <col min="3830" max="3830" width="9.5703125" style="1" customWidth="1"/>
    <col min="3831" max="3831" width="19.7109375" style="1" customWidth="1"/>
    <col min="3832" max="3832" width="13" style="1" bestFit="1" customWidth="1"/>
    <col min="3833" max="4066" width="11.42578125" style="1"/>
    <col min="4067" max="4067" width="5.140625" style="1" customWidth="1"/>
    <col min="4068" max="4068" width="23.42578125" style="1" customWidth="1"/>
    <col min="4069" max="4069" width="7.85546875" style="1" customWidth="1"/>
    <col min="4070" max="4070" width="10.140625" style="1" customWidth="1"/>
    <col min="4071" max="4071" width="16.28515625" style="1" customWidth="1"/>
    <col min="4072" max="4072" width="12.7109375" style="1" customWidth="1"/>
    <col min="4073" max="4073" width="18" style="1" customWidth="1"/>
    <col min="4074" max="4074" width="13.42578125" style="1" customWidth="1"/>
    <col min="4075" max="4075" width="11.7109375" style="1" customWidth="1"/>
    <col min="4076" max="4076" width="12.42578125" style="1" customWidth="1"/>
    <col min="4077" max="4077" width="4" style="1" customWidth="1"/>
    <col min="4078" max="4078" width="6.5703125" style="1" customWidth="1"/>
    <col min="4079" max="4079" width="10.85546875" style="1" customWidth="1"/>
    <col min="4080" max="4080" width="4.7109375" style="1" customWidth="1"/>
    <col min="4081" max="4081" width="5.140625" style="1" customWidth="1"/>
    <col min="4082" max="4083" width="11.85546875" style="1" customWidth="1"/>
    <col min="4084" max="4084" width="7" style="1" customWidth="1"/>
    <col min="4085" max="4085" width="12.7109375" style="1" bestFit="1" customWidth="1"/>
    <col min="4086" max="4086" width="9.5703125" style="1" customWidth="1"/>
    <col min="4087" max="4087" width="19.7109375" style="1" customWidth="1"/>
    <col min="4088" max="4088" width="13" style="1" bestFit="1" customWidth="1"/>
    <col min="4089" max="4322" width="11.42578125" style="1"/>
    <col min="4323" max="4323" width="5.140625" style="1" customWidth="1"/>
    <col min="4324" max="4324" width="23.42578125" style="1" customWidth="1"/>
    <col min="4325" max="4325" width="7.85546875" style="1" customWidth="1"/>
    <col min="4326" max="4326" width="10.140625" style="1" customWidth="1"/>
    <col min="4327" max="4327" width="16.28515625" style="1" customWidth="1"/>
    <col min="4328" max="4328" width="12.7109375" style="1" customWidth="1"/>
    <col min="4329" max="4329" width="18" style="1" customWidth="1"/>
    <col min="4330" max="4330" width="13.42578125" style="1" customWidth="1"/>
    <col min="4331" max="4331" width="11.7109375" style="1" customWidth="1"/>
    <col min="4332" max="4332" width="12.42578125" style="1" customWidth="1"/>
    <col min="4333" max="4333" width="4" style="1" customWidth="1"/>
    <col min="4334" max="4334" width="6.5703125" style="1" customWidth="1"/>
    <col min="4335" max="4335" width="10.85546875" style="1" customWidth="1"/>
    <col min="4336" max="4336" width="4.7109375" style="1" customWidth="1"/>
    <col min="4337" max="4337" width="5.140625" style="1" customWidth="1"/>
    <col min="4338" max="4339" width="11.85546875" style="1" customWidth="1"/>
    <col min="4340" max="4340" width="7" style="1" customWidth="1"/>
    <col min="4341" max="4341" width="12.7109375" style="1" bestFit="1" customWidth="1"/>
    <col min="4342" max="4342" width="9.5703125" style="1" customWidth="1"/>
    <col min="4343" max="4343" width="19.7109375" style="1" customWidth="1"/>
    <col min="4344" max="4344" width="13" style="1" bestFit="1" customWidth="1"/>
    <col min="4345" max="4578" width="11.42578125" style="1"/>
    <col min="4579" max="4579" width="5.140625" style="1" customWidth="1"/>
    <col min="4580" max="4580" width="23.42578125" style="1" customWidth="1"/>
    <col min="4581" max="4581" width="7.85546875" style="1" customWidth="1"/>
    <col min="4582" max="4582" width="10.140625" style="1" customWidth="1"/>
    <col min="4583" max="4583" width="16.28515625" style="1" customWidth="1"/>
    <col min="4584" max="4584" width="12.7109375" style="1" customWidth="1"/>
    <col min="4585" max="4585" width="18" style="1" customWidth="1"/>
    <col min="4586" max="4586" width="13.42578125" style="1" customWidth="1"/>
    <col min="4587" max="4587" width="11.7109375" style="1" customWidth="1"/>
    <col min="4588" max="4588" width="12.42578125" style="1" customWidth="1"/>
    <col min="4589" max="4589" width="4" style="1" customWidth="1"/>
    <col min="4590" max="4590" width="6.5703125" style="1" customWidth="1"/>
    <col min="4591" max="4591" width="10.85546875" style="1" customWidth="1"/>
    <col min="4592" max="4592" width="4.7109375" style="1" customWidth="1"/>
    <col min="4593" max="4593" width="5.140625" style="1" customWidth="1"/>
    <col min="4594" max="4595" width="11.85546875" style="1" customWidth="1"/>
    <col min="4596" max="4596" width="7" style="1" customWidth="1"/>
    <col min="4597" max="4597" width="12.7109375" style="1" bestFit="1" customWidth="1"/>
    <col min="4598" max="4598" width="9.5703125" style="1" customWidth="1"/>
    <col min="4599" max="4599" width="19.7109375" style="1" customWidth="1"/>
    <col min="4600" max="4600" width="13" style="1" bestFit="1" customWidth="1"/>
    <col min="4601" max="4834" width="11.42578125" style="1"/>
    <col min="4835" max="4835" width="5.140625" style="1" customWidth="1"/>
    <col min="4836" max="4836" width="23.42578125" style="1" customWidth="1"/>
    <col min="4837" max="4837" width="7.85546875" style="1" customWidth="1"/>
    <col min="4838" max="4838" width="10.140625" style="1" customWidth="1"/>
    <col min="4839" max="4839" width="16.28515625" style="1" customWidth="1"/>
    <col min="4840" max="4840" width="12.7109375" style="1" customWidth="1"/>
    <col min="4841" max="4841" width="18" style="1" customWidth="1"/>
    <col min="4842" max="4842" width="13.42578125" style="1" customWidth="1"/>
    <col min="4843" max="4843" width="11.7109375" style="1" customWidth="1"/>
    <col min="4844" max="4844" width="12.42578125" style="1" customWidth="1"/>
    <col min="4845" max="4845" width="4" style="1" customWidth="1"/>
    <col min="4846" max="4846" width="6.5703125" style="1" customWidth="1"/>
    <col min="4847" max="4847" width="10.85546875" style="1" customWidth="1"/>
    <col min="4848" max="4848" width="4.7109375" style="1" customWidth="1"/>
    <col min="4849" max="4849" width="5.140625" style="1" customWidth="1"/>
    <col min="4850" max="4851" width="11.85546875" style="1" customWidth="1"/>
    <col min="4852" max="4852" width="7" style="1" customWidth="1"/>
    <col min="4853" max="4853" width="12.7109375" style="1" bestFit="1" customWidth="1"/>
    <col min="4854" max="4854" width="9.5703125" style="1" customWidth="1"/>
    <col min="4855" max="4855" width="19.7109375" style="1" customWidth="1"/>
    <col min="4856" max="4856" width="13" style="1" bestFit="1" customWidth="1"/>
    <col min="4857" max="5090" width="11.42578125" style="1"/>
    <col min="5091" max="5091" width="5.140625" style="1" customWidth="1"/>
    <col min="5092" max="5092" width="23.42578125" style="1" customWidth="1"/>
    <col min="5093" max="5093" width="7.85546875" style="1" customWidth="1"/>
    <col min="5094" max="5094" width="10.140625" style="1" customWidth="1"/>
    <col min="5095" max="5095" width="16.28515625" style="1" customWidth="1"/>
    <col min="5096" max="5096" width="12.7109375" style="1" customWidth="1"/>
    <col min="5097" max="5097" width="18" style="1" customWidth="1"/>
    <col min="5098" max="5098" width="13.42578125" style="1" customWidth="1"/>
    <col min="5099" max="5099" width="11.7109375" style="1" customWidth="1"/>
    <col min="5100" max="5100" width="12.42578125" style="1" customWidth="1"/>
    <col min="5101" max="5101" width="4" style="1" customWidth="1"/>
    <col min="5102" max="5102" width="6.5703125" style="1" customWidth="1"/>
    <col min="5103" max="5103" width="10.85546875" style="1" customWidth="1"/>
    <col min="5104" max="5104" width="4.7109375" style="1" customWidth="1"/>
    <col min="5105" max="5105" width="5.140625" style="1" customWidth="1"/>
    <col min="5106" max="5107" width="11.85546875" style="1" customWidth="1"/>
    <col min="5108" max="5108" width="7" style="1" customWidth="1"/>
    <col min="5109" max="5109" width="12.7109375" style="1" bestFit="1" customWidth="1"/>
    <col min="5110" max="5110" width="9.5703125" style="1" customWidth="1"/>
    <col min="5111" max="5111" width="19.7109375" style="1" customWidth="1"/>
    <col min="5112" max="5112" width="13" style="1" bestFit="1" customWidth="1"/>
    <col min="5113" max="5346" width="11.42578125" style="1"/>
    <col min="5347" max="5347" width="5.140625" style="1" customWidth="1"/>
    <col min="5348" max="5348" width="23.42578125" style="1" customWidth="1"/>
    <col min="5349" max="5349" width="7.85546875" style="1" customWidth="1"/>
    <col min="5350" max="5350" width="10.140625" style="1" customWidth="1"/>
    <col min="5351" max="5351" width="16.28515625" style="1" customWidth="1"/>
    <col min="5352" max="5352" width="12.7109375" style="1" customWidth="1"/>
    <col min="5353" max="5353" width="18" style="1" customWidth="1"/>
    <col min="5354" max="5354" width="13.42578125" style="1" customWidth="1"/>
    <col min="5355" max="5355" width="11.7109375" style="1" customWidth="1"/>
    <col min="5356" max="5356" width="12.42578125" style="1" customWidth="1"/>
    <col min="5357" max="5357" width="4" style="1" customWidth="1"/>
    <col min="5358" max="5358" width="6.5703125" style="1" customWidth="1"/>
    <col min="5359" max="5359" width="10.85546875" style="1" customWidth="1"/>
    <col min="5360" max="5360" width="4.7109375" style="1" customWidth="1"/>
    <col min="5361" max="5361" width="5.140625" style="1" customWidth="1"/>
    <col min="5362" max="5363" width="11.85546875" style="1" customWidth="1"/>
    <col min="5364" max="5364" width="7" style="1" customWidth="1"/>
    <col min="5365" max="5365" width="12.7109375" style="1" bestFit="1" customWidth="1"/>
    <col min="5366" max="5366" width="9.5703125" style="1" customWidth="1"/>
    <col min="5367" max="5367" width="19.7109375" style="1" customWidth="1"/>
    <col min="5368" max="5368" width="13" style="1" bestFit="1" customWidth="1"/>
    <col min="5369" max="5602" width="11.42578125" style="1"/>
    <col min="5603" max="5603" width="5.140625" style="1" customWidth="1"/>
    <col min="5604" max="5604" width="23.42578125" style="1" customWidth="1"/>
    <col min="5605" max="5605" width="7.85546875" style="1" customWidth="1"/>
    <col min="5606" max="5606" width="10.140625" style="1" customWidth="1"/>
    <col min="5607" max="5607" width="16.28515625" style="1" customWidth="1"/>
    <col min="5608" max="5608" width="12.7109375" style="1" customWidth="1"/>
    <col min="5609" max="5609" width="18" style="1" customWidth="1"/>
    <col min="5610" max="5610" width="13.42578125" style="1" customWidth="1"/>
    <col min="5611" max="5611" width="11.7109375" style="1" customWidth="1"/>
    <col min="5612" max="5612" width="12.42578125" style="1" customWidth="1"/>
    <col min="5613" max="5613" width="4" style="1" customWidth="1"/>
    <col min="5614" max="5614" width="6.5703125" style="1" customWidth="1"/>
    <col min="5615" max="5615" width="10.85546875" style="1" customWidth="1"/>
    <col min="5616" max="5616" width="4.7109375" style="1" customWidth="1"/>
    <col min="5617" max="5617" width="5.140625" style="1" customWidth="1"/>
    <col min="5618" max="5619" width="11.85546875" style="1" customWidth="1"/>
    <col min="5620" max="5620" width="7" style="1" customWidth="1"/>
    <col min="5621" max="5621" width="12.7109375" style="1" bestFit="1" customWidth="1"/>
    <col min="5622" max="5622" width="9.5703125" style="1" customWidth="1"/>
    <col min="5623" max="5623" width="19.7109375" style="1" customWidth="1"/>
    <col min="5624" max="5624" width="13" style="1" bestFit="1" customWidth="1"/>
    <col min="5625" max="5858" width="11.42578125" style="1"/>
    <col min="5859" max="5859" width="5.140625" style="1" customWidth="1"/>
    <col min="5860" max="5860" width="23.42578125" style="1" customWidth="1"/>
    <col min="5861" max="5861" width="7.85546875" style="1" customWidth="1"/>
    <col min="5862" max="5862" width="10.140625" style="1" customWidth="1"/>
    <col min="5863" max="5863" width="16.28515625" style="1" customWidth="1"/>
    <col min="5864" max="5864" width="12.7109375" style="1" customWidth="1"/>
    <col min="5865" max="5865" width="18" style="1" customWidth="1"/>
    <col min="5866" max="5866" width="13.42578125" style="1" customWidth="1"/>
    <col min="5867" max="5867" width="11.7109375" style="1" customWidth="1"/>
    <col min="5868" max="5868" width="12.42578125" style="1" customWidth="1"/>
    <col min="5869" max="5869" width="4" style="1" customWidth="1"/>
    <col min="5870" max="5870" width="6.5703125" style="1" customWidth="1"/>
    <col min="5871" max="5871" width="10.85546875" style="1" customWidth="1"/>
    <col min="5872" max="5872" width="4.7109375" style="1" customWidth="1"/>
    <col min="5873" max="5873" width="5.140625" style="1" customWidth="1"/>
    <col min="5874" max="5875" width="11.85546875" style="1" customWidth="1"/>
    <col min="5876" max="5876" width="7" style="1" customWidth="1"/>
    <col min="5877" max="5877" width="12.7109375" style="1" bestFit="1" customWidth="1"/>
    <col min="5878" max="5878" width="9.5703125" style="1" customWidth="1"/>
    <col min="5879" max="5879" width="19.7109375" style="1" customWidth="1"/>
    <col min="5880" max="5880" width="13" style="1" bestFit="1" customWidth="1"/>
    <col min="5881" max="6114" width="11.42578125" style="1"/>
    <col min="6115" max="6115" width="5.140625" style="1" customWidth="1"/>
    <col min="6116" max="6116" width="23.42578125" style="1" customWidth="1"/>
    <col min="6117" max="6117" width="7.85546875" style="1" customWidth="1"/>
    <col min="6118" max="6118" width="10.140625" style="1" customWidth="1"/>
    <col min="6119" max="6119" width="16.28515625" style="1" customWidth="1"/>
    <col min="6120" max="6120" width="12.7109375" style="1" customWidth="1"/>
    <col min="6121" max="6121" width="18" style="1" customWidth="1"/>
    <col min="6122" max="6122" width="13.42578125" style="1" customWidth="1"/>
    <col min="6123" max="6123" width="11.7109375" style="1" customWidth="1"/>
    <col min="6124" max="6124" width="12.42578125" style="1" customWidth="1"/>
    <col min="6125" max="6125" width="4" style="1" customWidth="1"/>
    <col min="6126" max="6126" width="6.5703125" style="1" customWidth="1"/>
    <col min="6127" max="6127" width="10.85546875" style="1" customWidth="1"/>
    <col min="6128" max="6128" width="4.7109375" style="1" customWidth="1"/>
    <col min="6129" max="6129" width="5.140625" style="1" customWidth="1"/>
    <col min="6130" max="6131" width="11.85546875" style="1" customWidth="1"/>
    <col min="6132" max="6132" width="7" style="1" customWidth="1"/>
    <col min="6133" max="6133" width="12.7109375" style="1" bestFit="1" customWidth="1"/>
    <col min="6134" max="6134" width="9.5703125" style="1" customWidth="1"/>
    <col min="6135" max="6135" width="19.7109375" style="1" customWidth="1"/>
    <col min="6136" max="6136" width="13" style="1" bestFit="1" customWidth="1"/>
    <col min="6137" max="6370" width="11.42578125" style="1"/>
    <col min="6371" max="6371" width="5.140625" style="1" customWidth="1"/>
    <col min="6372" max="6372" width="23.42578125" style="1" customWidth="1"/>
    <col min="6373" max="6373" width="7.85546875" style="1" customWidth="1"/>
    <col min="6374" max="6374" width="10.140625" style="1" customWidth="1"/>
    <col min="6375" max="6375" width="16.28515625" style="1" customWidth="1"/>
    <col min="6376" max="6376" width="12.7109375" style="1" customWidth="1"/>
    <col min="6377" max="6377" width="18" style="1" customWidth="1"/>
    <col min="6378" max="6378" width="13.42578125" style="1" customWidth="1"/>
    <col min="6379" max="6379" width="11.7109375" style="1" customWidth="1"/>
    <col min="6380" max="6380" width="12.42578125" style="1" customWidth="1"/>
    <col min="6381" max="6381" width="4" style="1" customWidth="1"/>
    <col min="6382" max="6382" width="6.5703125" style="1" customWidth="1"/>
    <col min="6383" max="6383" width="10.85546875" style="1" customWidth="1"/>
    <col min="6384" max="6384" width="4.7109375" style="1" customWidth="1"/>
    <col min="6385" max="6385" width="5.140625" style="1" customWidth="1"/>
    <col min="6386" max="6387" width="11.85546875" style="1" customWidth="1"/>
    <col min="6388" max="6388" width="7" style="1" customWidth="1"/>
    <col min="6389" max="6389" width="12.7109375" style="1" bestFit="1" customWidth="1"/>
    <col min="6390" max="6390" width="9.5703125" style="1" customWidth="1"/>
    <col min="6391" max="6391" width="19.7109375" style="1" customWidth="1"/>
    <col min="6392" max="6392" width="13" style="1" bestFit="1" customWidth="1"/>
    <col min="6393" max="6626" width="11.42578125" style="1"/>
    <col min="6627" max="6627" width="5.140625" style="1" customWidth="1"/>
    <col min="6628" max="6628" width="23.42578125" style="1" customWidth="1"/>
    <col min="6629" max="6629" width="7.85546875" style="1" customWidth="1"/>
    <col min="6630" max="6630" width="10.140625" style="1" customWidth="1"/>
    <col min="6631" max="6631" width="16.28515625" style="1" customWidth="1"/>
    <col min="6632" max="6632" width="12.7109375" style="1" customWidth="1"/>
    <col min="6633" max="6633" width="18" style="1" customWidth="1"/>
    <col min="6634" max="6634" width="13.42578125" style="1" customWidth="1"/>
    <col min="6635" max="6635" width="11.7109375" style="1" customWidth="1"/>
    <col min="6636" max="6636" width="12.42578125" style="1" customWidth="1"/>
    <col min="6637" max="6637" width="4" style="1" customWidth="1"/>
    <col min="6638" max="6638" width="6.5703125" style="1" customWidth="1"/>
    <col min="6639" max="6639" width="10.85546875" style="1" customWidth="1"/>
    <col min="6640" max="6640" width="4.7109375" style="1" customWidth="1"/>
    <col min="6641" max="6641" width="5.140625" style="1" customWidth="1"/>
    <col min="6642" max="6643" width="11.85546875" style="1" customWidth="1"/>
    <col min="6644" max="6644" width="7" style="1" customWidth="1"/>
    <col min="6645" max="6645" width="12.7109375" style="1" bestFit="1" customWidth="1"/>
    <col min="6646" max="6646" width="9.5703125" style="1" customWidth="1"/>
    <col min="6647" max="6647" width="19.7109375" style="1" customWidth="1"/>
    <col min="6648" max="6648" width="13" style="1" bestFit="1" customWidth="1"/>
    <col min="6649" max="6882" width="11.42578125" style="1"/>
    <col min="6883" max="6883" width="5.140625" style="1" customWidth="1"/>
    <col min="6884" max="6884" width="23.42578125" style="1" customWidth="1"/>
    <col min="6885" max="6885" width="7.85546875" style="1" customWidth="1"/>
    <col min="6886" max="6886" width="10.140625" style="1" customWidth="1"/>
    <col min="6887" max="6887" width="16.28515625" style="1" customWidth="1"/>
    <col min="6888" max="6888" width="12.7109375" style="1" customWidth="1"/>
    <col min="6889" max="6889" width="18" style="1" customWidth="1"/>
    <col min="6890" max="6890" width="13.42578125" style="1" customWidth="1"/>
    <col min="6891" max="6891" width="11.7109375" style="1" customWidth="1"/>
    <col min="6892" max="6892" width="12.42578125" style="1" customWidth="1"/>
    <col min="6893" max="6893" width="4" style="1" customWidth="1"/>
    <col min="6894" max="6894" width="6.5703125" style="1" customWidth="1"/>
    <col min="6895" max="6895" width="10.85546875" style="1" customWidth="1"/>
    <col min="6896" max="6896" width="4.7109375" style="1" customWidth="1"/>
    <col min="6897" max="6897" width="5.140625" style="1" customWidth="1"/>
    <col min="6898" max="6899" width="11.85546875" style="1" customWidth="1"/>
    <col min="6900" max="6900" width="7" style="1" customWidth="1"/>
    <col min="6901" max="6901" width="12.7109375" style="1" bestFit="1" customWidth="1"/>
    <col min="6902" max="6902" width="9.5703125" style="1" customWidth="1"/>
    <col min="6903" max="6903" width="19.7109375" style="1" customWidth="1"/>
    <col min="6904" max="6904" width="13" style="1" bestFit="1" customWidth="1"/>
    <col min="6905" max="7138" width="11.42578125" style="1"/>
    <col min="7139" max="7139" width="5.140625" style="1" customWidth="1"/>
    <col min="7140" max="7140" width="23.42578125" style="1" customWidth="1"/>
    <col min="7141" max="7141" width="7.85546875" style="1" customWidth="1"/>
    <col min="7142" max="7142" width="10.140625" style="1" customWidth="1"/>
    <col min="7143" max="7143" width="16.28515625" style="1" customWidth="1"/>
    <col min="7144" max="7144" width="12.7109375" style="1" customWidth="1"/>
    <col min="7145" max="7145" width="18" style="1" customWidth="1"/>
    <col min="7146" max="7146" width="13.42578125" style="1" customWidth="1"/>
    <col min="7147" max="7147" width="11.7109375" style="1" customWidth="1"/>
    <col min="7148" max="7148" width="12.42578125" style="1" customWidth="1"/>
    <col min="7149" max="7149" width="4" style="1" customWidth="1"/>
    <col min="7150" max="7150" width="6.5703125" style="1" customWidth="1"/>
    <col min="7151" max="7151" width="10.85546875" style="1" customWidth="1"/>
    <col min="7152" max="7152" width="4.7109375" style="1" customWidth="1"/>
    <col min="7153" max="7153" width="5.140625" style="1" customWidth="1"/>
    <col min="7154" max="7155" width="11.85546875" style="1" customWidth="1"/>
    <col min="7156" max="7156" width="7" style="1" customWidth="1"/>
    <col min="7157" max="7157" width="12.7109375" style="1" bestFit="1" customWidth="1"/>
    <col min="7158" max="7158" width="9.5703125" style="1" customWidth="1"/>
    <col min="7159" max="7159" width="19.7109375" style="1" customWidth="1"/>
    <col min="7160" max="7160" width="13" style="1" bestFit="1" customWidth="1"/>
    <col min="7161" max="7394" width="11.42578125" style="1"/>
    <col min="7395" max="7395" width="5.140625" style="1" customWidth="1"/>
    <col min="7396" max="7396" width="23.42578125" style="1" customWidth="1"/>
    <col min="7397" max="7397" width="7.85546875" style="1" customWidth="1"/>
    <col min="7398" max="7398" width="10.140625" style="1" customWidth="1"/>
    <col min="7399" max="7399" width="16.28515625" style="1" customWidth="1"/>
    <col min="7400" max="7400" width="12.7109375" style="1" customWidth="1"/>
    <col min="7401" max="7401" width="18" style="1" customWidth="1"/>
    <col min="7402" max="7402" width="13.42578125" style="1" customWidth="1"/>
    <col min="7403" max="7403" width="11.7109375" style="1" customWidth="1"/>
    <col min="7404" max="7404" width="12.42578125" style="1" customWidth="1"/>
    <col min="7405" max="7405" width="4" style="1" customWidth="1"/>
    <col min="7406" max="7406" width="6.5703125" style="1" customWidth="1"/>
    <col min="7407" max="7407" width="10.85546875" style="1" customWidth="1"/>
    <col min="7408" max="7408" width="4.7109375" style="1" customWidth="1"/>
    <col min="7409" max="7409" width="5.140625" style="1" customWidth="1"/>
    <col min="7410" max="7411" width="11.85546875" style="1" customWidth="1"/>
    <col min="7412" max="7412" width="7" style="1" customWidth="1"/>
    <col min="7413" max="7413" width="12.7109375" style="1" bestFit="1" customWidth="1"/>
    <col min="7414" max="7414" width="9.5703125" style="1" customWidth="1"/>
    <col min="7415" max="7415" width="19.7109375" style="1" customWidth="1"/>
    <col min="7416" max="7416" width="13" style="1" bestFit="1" customWidth="1"/>
    <col min="7417" max="7650" width="11.42578125" style="1"/>
    <col min="7651" max="7651" width="5.140625" style="1" customWidth="1"/>
    <col min="7652" max="7652" width="23.42578125" style="1" customWidth="1"/>
    <col min="7653" max="7653" width="7.85546875" style="1" customWidth="1"/>
    <col min="7654" max="7654" width="10.140625" style="1" customWidth="1"/>
    <col min="7655" max="7655" width="16.28515625" style="1" customWidth="1"/>
    <col min="7656" max="7656" width="12.7109375" style="1" customWidth="1"/>
    <col min="7657" max="7657" width="18" style="1" customWidth="1"/>
    <col min="7658" max="7658" width="13.42578125" style="1" customWidth="1"/>
    <col min="7659" max="7659" width="11.7109375" style="1" customWidth="1"/>
    <col min="7660" max="7660" width="12.42578125" style="1" customWidth="1"/>
    <col min="7661" max="7661" width="4" style="1" customWidth="1"/>
    <col min="7662" max="7662" width="6.5703125" style="1" customWidth="1"/>
    <col min="7663" max="7663" width="10.85546875" style="1" customWidth="1"/>
    <col min="7664" max="7664" width="4.7109375" style="1" customWidth="1"/>
    <col min="7665" max="7665" width="5.140625" style="1" customWidth="1"/>
    <col min="7666" max="7667" width="11.85546875" style="1" customWidth="1"/>
    <col min="7668" max="7668" width="7" style="1" customWidth="1"/>
    <col min="7669" max="7669" width="12.7109375" style="1" bestFit="1" customWidth="1"/>
    <col min="7670" max="7670" width="9.5703125" style="1" customWidth="1"/>
    <col min="7671" max="7671" width="19.7109375" style="1" customWidth="1"/>
    <col min="7672" max="7672" width="13" style="1" bestFit="1" customWidth="1"/>
    <col min="7673" max="7906" width="11.42578125" style="1"/>
    <col min="7907" max="7907" width="5.140625" style="1" customWidth="1"/>
    <col min="7908" max="7908" width="23.42578125" style="1" customWidth="1"/>
    <col min="7909" max="7909" width="7.85546875" style="1" customWidth="1"/>
    <col min="7910" max="7910" width="10.140625" style="1" customWidth="1"/>
    <col min="7911" max="7911" width="16.28515625" style="1" customWidth="1"/>
    <col min="7912" max="7912" width="12.7109375" style="1" customWidth="1"/>
    <col min="7913" max="7913" width="18" style="1" customWidth="1"/>
    <col min="7914" max="7914" width="13.42578125" style="1" customWidth="1"/>
    <col min="7915" max="7915" width="11.7109375" style="1" customWidth="1"/>
    <col min="7916" max="7916" width="12.42578125" style="1" customWidth="1"/>
    <col min="7917" max="7917" width="4" style="1" customWidth="1"/>
    <col min="7918" max="7918" width="6.5703125" style="1" customWidth="1"/>
    <col min="7919" max="7919" width="10.85546875" style="1" customWidth="1"/>
    <col min="7920" max="7920" width="4.7109375" style="1" customWidth="1"/>
    <col min="7921" max="7921" width="5.140625" style="1" customWidth="1"/>
    <col min="7922" max="7923" width="11.85546875" style="1" customWidth="1"/>
    <col min="7924" max="7924" width="7" style="1" customWidth="1"/>
    <col min="7925" max="7925" width="12.7109375" style="1" bestFit="1" customWidth="1"/>
    <col min="7926" max="7926" width="9.5703125" style="1" customWidth="1"/>
    <col min="7927" max="7927" width="19.7109375" style="1" customWidth="1"/>
    <col min="7928" max="7928" width="13" style="1" bestFit="1" customWidth="1"/>
    <col min="7929" max="8162" width="11.42578125" style="1"/>
    <col min="8163" max="8163" width="5.140625" style="1" customWidth="1"/>
    <col min="8164" max="8164" width="23.42578125" style="1" customWidth="1"/>
    <col min="8165" max="8165" width="7.85546875" style="1" customWidth="1"/>
    <col min="8166" max="8166" width="10.140625" style="1" customWidth="1"/>
    <col min="8167" max="8167" width="16.28515625" style="1" customWidth="1"/>
    <col min="8168" max="8168" width="12.7109375" style="1" customWidth="1"/>
    <col min="8169" max="8169" width="18" style="1" customWidth="1"/>
    <col min="8170" max="8170" width="13.42578125" style="1" customWidth="1"/>
    <col min="8171" max="8171" width="11.7109375" style="1" customWidth="1"/>
    <col min="8172" max="8172" width="12.42578125" style="1" customWidth="1"/>
    <col min="8173" max="8173" width="4" style="1" customWidth="1"/>
    <col min="8174" max="8174" width="6.5703125" style="1" customWidth="1"/>
    <col min="8175" max="8175" width="10.85546875" style="1" customWidth="1"/>
    <col min="8176" max="8176" width="4.7109375" style="1" customWidth="1"/>
    <col min="8177" max="8177" width="5.140625" style="1" customWidth="1"/>
    <col min="8178" max="8179" width="11.85546875" style="1" customWidth="1"/>
    <col min="8180" max="8180" width="7" style="1" customWidth="1"/>
    <col min="8181" max="8181" width="12.7109375" style="1" bestFit="1" customWidth="1"/>
    <col min="8182" max="8182" width="9.5703125" style="1" customWidth="1"/>
    <col min="8183" max="8183" width="19.7109375" style="1" customWidth="1"/>
    <col min="8184" max="8184" width="13" style="1" bestFit="1" customWidth="1"/>
    <col min="8185" max="8418" width="11.42578125" style="1"/>
    <col min="8419" max="8419" width="5.140625" style="1" customWidth="1"/>
    <col min="8420" max="8420" width="23.42578125" style="1" customWidth="1"/>
    <col min="8421" max="8421" width="7.85546875" style="1" customWidth="1"/>
    <col min="8422" max="8422" width="10.140625" style="1" customWidth="1"/>
    <col min="8423" max="8423" width="16.28515625" style="1" customWidth="1"/>
    <col min="8424" max="8424" width="12.7109375" style="1" customWidth="1"/>
    <col min="8425" max="8425" width="18" style="1" customWidth="1"/>
    <col min="8426" max="8426" width="13.42578125" style="1" customWidth="1"/>
    <col min="8427" max="8427" width="11.7109375" style="1" customWidth="1"/>
    <col min="8428" max="8428" width="12.42578125" style="1" customWidth="1"/>
    <col min="8429" max="8429" width="4" style="1" customWidth="1"/>
    <col min="8430" max="8430" width="6.5703125" style="1" customWidth="1"/>
    <col min="8431" max="8431" width="10.85546875" style="1" customWidth="1"/>
    <col min="8432" max="8432" width="4.7109375" style="1" customWidth="1"/>
    <col min="8433" max="8433" width="5.140625" style="1" customWidth="1"/>
    <col min="8434" max="8435" width="11.85546875" style="1" customWidth="1"/>
    <col min="8436" max="8436" width="7" style="1" customWidth="1"/>
    <col min="8437" max="8437" width="12.7109375" style="1" bestFit="1" customWidth="1"/>
    <col min="8438" max="8438" width="9.5703125" style="1" customWidth="1"/>
    <col min="8439" max="8439" width="19.7109375" style="1" customWidth="1"/>
    <col min="8440" max="8440" width="13" style="1" bestFit="1" customWidth="1"/>
    <col min="8441" max="8674" width="11.42578125" style="1"/>
    <col min="8675" max="8675" width="5.140625" style="1" customWidth="1"/>
    <col min="8676" max="8676" width="23.42578125" style="1" customWidth="1"/>
    <col min="8677" max="8677" width="7.85546875" style="1" customWidth="1"/>
    <col min="8678" max="8678" width="10.140625" style="1" customWidth="1"/>
    <col min="8679" max="8679" width="16.28515625" style="1" customWidth="1"/>
    <col min="8680" max="8680" width="12.7109375" style="1" customWidth="1"/>
    <col min="8681" max="8681" width="18" style="1" customWidth="1"/>
    <col min="8682" max="8682" width="13.42578125" style="1" customWidth="1"/>
    <col min="8683" max="8683" width="11.7109375" style="1" customWidth="1"/>
    <col min="8684" max="8684" width="12.42578125" style="1" customWidth="1"/>
    <col min="8685" max="8685" width="4" style="1" customWidth="1"/>
    <col min="8686" max="8686" width="6.5703125" style="1" customWidth="1"/>
    <col min="8687" max="8687" width="10.85546875" style="1" customWidth="1"/>
    <col min="8688" max="8688" width="4.7109375" style="1" customWidth="1"/>
    <col min="8689" max="8689" width="5.140625" style="1" customWidth="1"/>
    <col min="8690" max="8691" width="11.85546875" style="1" customWidth="1"/>
    <col min="8692" max="8692" width="7" style="1" customWidth="1"/>
    <col min="8693" max="8693" width="12.7109375" style="1" bestFit="1" customWidth="1"/>
    <col min="8694" max="8694" width="9.5703125" style="1" customWidth="1"/>
    <col min="8695" max="8695" width="19.7109375" style="1" customWidth="1"/>
    <col min="8696" max="8696" width="13" style="1" bestFit="1" customWidth="1"/>
    <col min="8697" max="8930" width="11.42578125" style="1"/>
    <col min="8931" max="8931" width="5.140625" style="1" customWidth="1"/>
    <col min="8932" max="8932" width="23.42578125" style="1" customWidth="1"/>
    <col min="8933" max="8933" width="7.85546875" style="1" customWidth="1"/>
    <col min="8934" max="8934" width="10.140625" style="1" customWidth="1"/>
    <col min="8935" max="8935" width="16.28515625" style="1" customWidth="1"/>
    <col min="8936" max="8936" width="12.7109375" style="1" customWidth="1"/>
    <col min="8937" max="8937" width="18" style="1" customWidth="1"/>
    <col min="8938" max="8938" width="13.42578125" style="1" customWidth="1"/>
    <col min="8939" max="8939" width="11.7109375" style="1" customWidth="1"/>
    <col min="8940" max="8940" width="12.42578125" style="1" customWidth="1"/>
    <col min="8941" max="8941" width="4" style="1" customWidth="1"/>
    <col min="8942" max="8942" width="6.5703125" style="1" customWidth="1"/>
    <col min="8943" max="8943" width="10.85546875" style="1" customWidth="1"/>
    <col min="8944" max="8944" width="4.7109375" style="1" customWidth="1"/>
    <col min="8945" max="8945" width="5.140625" style="1" customWidth="1"/>
    <col min="8946" max="8947" width="11.85546875" style="1" customWidth="1"/>
    <col min="8948" max="8948" width="7" style="1" customWidth="1"/>
    <col min="8949" max="8949" width="12.7109375" style="1" bestFit="1" customWidth="1"/>
    <col min="8950" max="8950" width="9.5703125" style="1" customWidth="1"/>
    <col min="8951" max="8951" width="19.7109375" style="1" customWidth="1"/>
    <col min="8952" max="8952" width="13" style="1" bestFit="1" customWidth="1"/>
    <col min="8953" max="9186" width="11.42578125" style="1"/>
    <col min="9187" max="9187" width="5.140625" style="1" customWidth="1"/>
    <col min="9188" max="9188" width="23.42578125" style="1" customWidth="1"/>
    <col min="9189" max="9189" width="7.85546875" style="1" customWidth="1"/>
    <col min="9190" max="9190" width="10.140625" style="1" customWidth="1"/>
    <col min="9191" max="9191" width="16.28515625" style="1" customWidth="1"/>
    <col min="9192" max="9192" width="12.7109375" style="1" customWidth="1"/>
    <col min="9193" max="9193" width="18" style="1" customWidth="1"/>
    <col min="9194" max="9194" width="13.42578125" style="1" customWidth="1"/>
    <col min="9195" max="9195" width="11.7109375" style="1" customWidth="1"/>
    <col min="9196" max="9196" width="12.42578125" style="1" customWidth="1"/>
    <col min="9197" max="9197" width="4" style="1" customWidth="1"/>
    <col min="9198" max="9198" width="6.5703125" style="1" customWidth="1"/>
    <col min="9199" max="9199" width="10.85546875" style="1" customWidth="1"/>
    <col min="9200" max="9200" width="4.7109375" style="1" customWidth="1"/>
    <col min="9201" max="9201" width="5.140625" style="1" customWidth="1"/>
    <col min="9202" max="9203" width="11.85546875" style="1" customWidth="1"/>
    <col min="9204" max="9204" width="7" style="1" customWidth="1"/>
    <col min="9205" max="9205" width="12.7109375" style="1" bestFit="1" customWidth="1"/>
    <col min="9206" max="9206" width="9.5703125" style="1" customWidth="1"/>
    <col min="9207" max="9207" width="19.7109375" style="1" customWidth="1"/>
    <col min="9208" max="9208" width="13" style="1" bestFit="1" customWidth="1"/>
    <col min="9209" max="9442" width="11.42578125" style="1"/>
    <col min="9443" max="9443" width="5.140625" style="1" customWidth="1"/>
    <col min="9444" max="9444" width="23.42578125" style="1" customWidth="1"/>
    <col min="9445" max="9445" width="7.85546875" style="1" customWidth="1"/>
    <col min="9446" max="9446" width="10.140625" style="1" customWidth="1"/>
    <col min="9447" max="9447" width="16.28515625" style="1" customWidth="1"/>
    <col min="9448" max="9448" width="12.7109375" style="1" customWidth="1"/>
    <col min="9449" max="9449" width="18" style="1" customWidth="1"/>
    <col min="9450" max="9450" width="13.42578125" style="1" customWidth="1"/>
    <col min="9451" max="9451" width="11.7109375" style="1" customWidth="1"/>
    <col min="9452" max="9452" width="12.42578125" style="1" customWidth="1"/>
    <col min="9453" max="9453" width="4" style="1" customWidth="1"/>
    <col min="9454" max="9454" width="6.5703125" style="1" customWidth="1"/>
    <col min="9455" max="9455" width="10.85546875" style="1" customWidth="1"/>
    <col min="9456" max="9456" width="4.7109375" style="1" customWidth="1"/>
    <col min="9457" max="9457" width="5.140625" style="1" customWidth="1"/>
    <col min="9458" max="9459" width="11.85546875" style="1" customWidth="1"/>
    <col min="9460" max="9460" width="7" style="1" customWidth="1"/>
    <col min="9461" max="9461" width="12.7109375" style="1" bestFit="1" customWidth="1"/>
    <col min="9462" max="9462" width="9.5703125" style="1" customWidth="1"/>
    <col min="9463" max="9463" width="19.7109375" style="1" customWidth="1"/>
    <col min="9464" max="9464" width="13" style="1" bestFit="1" customWidth="1"/>
    <col min="9465" max="9698" width="11.42578125" style="1"/>
    <col min="9699" max="9699" width="5.140625" style="1" customWidth="1"/>
    <col min="9700" max="9700" width="23.42578125" style="1" customWidth="1"/>
    <col min="9701" max="9701" width="7.85546875" style="1" customWidth="1"/>
    <col min="9702" max="9702" width="10.140625" style="1" customWidth="1"/>
    <col min="9703" max="9703" width="16.28515625" style="1" customWidth="1"/>
    <col min="9704" max="9704" width="12.7109375" style="1" customWidth="1"/>
    <col min="9705" max="9705" width="18" style="1" customWidth="1"/>
    <col min="9706" max="9706" width="13.42578125" style="1" customWidth="1"/>
    <col min="9707" max="9707" width="11.7109375" style="1" customWidth="1"/>
    <col min="9708" max="9708" width="12.42578125" style="1" customWidth="1"/>
    <col min="9709" max="9709" width="4" style="1" customWidth="1"/>
    <col min="9710" max="9710" width="6.5703125" style="1" customWidth="1"/>
    <col min="9711" max="9711" width="10.85546875" style="1" customWidth="1"/>
    <col min="9712" max="9712" width="4.7109375" style="1" customWidth="1"/>
    <col min="9713" max="9713" width="5.140625" style="1" customWidth="1"/>
    <col min="9714" max="9715" width="11.85546875" style="1" customWidth="1"/>
    <col min="9716" max="9716" width="7" style="1" customWidth="1"/>
    <col min="9717" max="9717" width="12.7109375" style="1" bestFit="1" customWidth="1"/>
    <col min="9718" max="9718" width="9.5703125" style="1" customWidth="1"/>
    <col min="9719" max="9719" width="19.7109375" style="1" customWidth="1"/>
    <col min="9720" max="9720" width="13" style="1" bestFit="1" customWidth="1"/>
    <col min="9721" max="9954" width="11.42578125" style="1"/>
    <col min="9955" max="9955" width="5.140625" style="1" customWidth="1"/>
    <col min="9956" max="9956" width="23.42578125" style="1" customWidth="1"/>
    <col min="9957" max="9957" width="7.85546875" style="1" customWidth="1"/>
    <col min="9958" max="9958" width="10.140625" style="1" customWidth="1"/>
    <col min="9959" max="9959" width="16.28515625" style="1" customWidth="1"/>
    <col min="9960" max="9960" width="12.7109375" style="1" customWidth="1"/>
    <col min="9961" max="9961" width="18" style="1" customWidth="1"/>
    <col min="9962" max="9962" width="13.42578125" style="1" customWidth="1"/>
    <col min="9963" max="9963" width="11.7109375" style="1" customWidth="1"/>
    <col min="9964" max="9964" width="12.42578125" style="1" customWidth="1"/>
    <col min="9965" max="9965" width="4" style="1" customWidth="1"/>
    <col min="9966" max="9966" width="6.5703125" style="1" customWidth="1"/>
    <col min="9967" max="9967" width="10.85546875" style="1" customWidth="1"/>
    <col min="9968" max="9968" width="4.7109375" style="1" customWidth="1"/>
    <col min="9969" max="9969" width="5.140625" style="1" customWidth="1"/>
    <col min="9970" max="9971" width="11.85546875" style="1" customWidth="1"/>
    <col min="9972" max="9972" width="7" style="1" customWidth="1"/>
    <col min="9973" max="9973" width="12.7109375" style="1" bestFit="1" customWidth="1"/>
    <col min="9974" max="9974" width="9.5703125" style="1" customWidth="1"/>
    <col min="9975" max="9975" width="19.7109375" style="1" customWidth="1"/>
    <col min="9976" max="9976" width="13" style="1" bestFit="1" customWidth="1"/>
    <col min="9977" max="10210" width="11.42578125" style="1"/>
    <col min="10211" max="10211" width="5.140625" style="1" customWidth="1"/>
    <col min="10212" max="10212" width="23.42578125" style="1" customWidth="1"/>
    <col min="10213" max="10213" width="7.85546875" style="1" customWidth="1"/>
    <col min="10214" max="10214" width="10.140625" style="1" customWidth="1"/>
    <col min="10215" max="10215" width="16.28515625" style="1" customWidth="1"/>
    <col min="10216" max="10216" width="12.7109375" style="1" customWidth="1"/>
    <col min="10217" max="10217" width="18" style="1" customWidth="1"/>
    <col min="10218" max="10218" width="13.42578125" style="1" customWidth="1"/>
    <col min="10219" max="10219" width="11.7109375" style="1" customWidth="1"/>
    <col min="10220" max="10220" width="12.42578125" style="1" customWidth="1"/>
    <col min="10221" max="10221" width="4" style="1" customWidth="1"/>
    <col min="10222" max="10222" width="6.5703125" style="1" customWidth="1"/>
    <col min="10223" max="10223" width="10.85546875" style="1" customWidth="1"/>
    <col min="10224" max="10224" width="4.7109375" style="1" customWidth="1"/>
    <col min="10225" max="10225" width="5.140625" style="1" customWidth="1"/>
    <col min="10226" max="10227" width="11.85546875" style="1" customWidth="1"/>
    <col min="10228" max="10228" width="7" style="1" customWidth="1"/>
    <col min="10229" max="10229" width="12.7109375" style="1" bestFit="1" customWidth="1"/>
    <col min="10230" max="10230" width="9.5703125" style="1" customWidth="1"/>
    <col min="10231" max="10231" width="19.7109375" style="1" customWidth="1"/>
    <col min="10232" max="10232" width="13" style="1" bestFit="1" customWidth="1"/>
    <col min="10233" max="10466" width="11.42578125" style="1"/>
    <col min="10467" max="10467" width="5.140625" style="1" customWidth="1"/>
    <col min="10468" max="10468" width="23.42578125" style="1" customWidth="1"/>
    <col min="10469" max="10469" width="7.85546875" style="1" customWidth="1"/>
    <col min="10470" max="10470" width="10.140625" style="1" customWidth="1"/>
    <col min="10471" max="10471" width="16.28515625" style="1" customWidth="1"/>
    <col min="10472" max="10472" width="12.7109375" style="1" customWidth="1"/>
    <col min="10473" max="10473" width="18" style="1" customWidth="1"/>
    <col min="10474" max="10474" width="13.42578125" style="1" customWidth="1"/>
    <col min="10475" max="10475" width="11.7109375" style="1" customWidth="1"/>
    <col min="10476" max="10476" width="12.42578125" style="1" customWidth="1"/>
    <col min="10477" max="10477" width="4" style="1" customWidth="1"/>
    <col min="10478" max="10478" width="6.5703125" style="1" customWidth="1"/>
    <col min="10479" max="10479" width="10.85546875" style="1" customWidth="1"/>
    <col min="10480" max="10480" width="4.7109375" style="1" customWidth="1"/>
    <col min="10481" max="10481" width="5.140625" style="1" customWidth="1"/>
    <col min="10482" max="10483" width="11.85546875" style="1" customWidth="1"/>
    <col min="10484" max="10484" width="7" style="1" customWidth="1"/>
    <col min="10485" max="10485" width="12.7109375" style="1" bestFit="1" customWidth="1"/>
    <col min="10486" max="10486" width="9.5703125" style="1" customWidth="1"/>
    <col min="10487" max="10487" width="19.7109375" style="1" customWidth="1"/>
    <col min="10488" max="10488" width="13" style="1" bestFit="1" customWidth="1"/>
    <col min="10489" max="10722" width="11.42578125" style="1"/>
    <col min="10723" max="10723" width="5.140625" style="1" customWidth="1"/>
    <col min="10724" max="10724" width="23.42578125" style="1" customWidth="1"/>
    <col min="10725" max="10725" width="7.85546875" style="1" customWidth="1"/>
    <col min="10726" max="10726" width="10.140625" style="1" customWidth="1"/>
    <col min="10727" max="10727" width="16.28515625" style="1" customWidth="1"/>
    <col min="10728" max="10728" width="12.7109375" style="1" customWidth="1"/>
    <col min="10729" max="10729" width="18" style="1" customWidth="1"/>
    <col min="10730" max="10730" width="13.42578125" style="1" customWidth="1"/>
    <col min="10731" max="10731" width="11.7109375" style="1" customWidth="1"/>
    <col min="10732" max="10732" width="12.42578125" style="1" customWidth="1"/>
    <col min="10733" max="10733" width="4" style="1" customWidth="1"/>
    <col min="10734" max="10734" width="6.5703125" style="1" customWidth="1"/>
    <col min="10735" max="10735" width="10.85546875" style="1" customWidth="1"/>
    <col min="10736" max="10736" width="4.7109375" style="1" customWidth="1"/>
    <col min="10737" max="10737" width="5.140625" style="1" customWidth="1"/>
    <col min="10738" max="10739" width="11.85546875" style="1" customWidth="1"/>
    <col min="10740" max="10740" width="7" style="1" customWidth="1"/>
    <col min="10741" max="10741" width="12.7109375" style="1" bestFit="1" customWidth="1"/>
    <col min="10742" max="10742" width="9.5703125" style="1" customWidth="1"/>
    <col min="10743" max="10743" width="19.7109375" style="1" customWidth="1"/>
    <col min="10744" max="10744" width="13" style="1" bestFit="1" customWidth="1"/>
    <col min="10745" max="10978" width="11.42578125" style="1"/>
    <col min="10979" max="10979" width="5.140625" style="1" customWidth="1"/>
    <col min="10980" max="10980" width="23.42578125" style="1" customWidth="1"/>
    <col min="10981" max="10981" width="7.85546875" style="1" customWidth="1"/>
    <col min="10982" max="10982" width="10.140625" style="1" customWidth="1"/>
    <col min="10983" max="10983" width="16.28515625" style="1" customWidth="1"/>
    <col min="10984" max="10984" width="12.7109375" style="1" customWidth="1"/>
    <col min="10985" max="10985" width="18" style="1" customWidth="1"/>
    <col min="10986" max="10986" width="13.42578125" style="1" customWidth="1"/>
    <col min="10987" max="10987" width="11.7109375" style="1" customWidth="1"/>
    <col min="10988" max="10988" width="12.42578125" style="1" customWidth="1"/>
    <col min="10989" max="10989" width="4" style="1" customWidth="1"/>
    <col min="10990" max="10990" width="6.5703125" style="1" customWidth="1"/>
    <col min="10991" max="10991" width="10.85546875" style="1" customWidth="1"/>
    <col min="10992" max="10992" width="4.7109375" style="1" customWidth="1"/>
    <col min="10993" max="10993" width="5.140625" style="1" customWidth="1"/>
    <col min="10994" max="10995" width="11.85546875" style="1" customWidth="1"/>
    <col min="10996" max="10996" width="7" style="1" customWidth="1"/>
    <col min="10997" max="10997" width="12.7109375" style="1" bestFit="1" customWidth="1"/>
    <col min="10998" max="10998" width="9.5703125" style="1" customWidth="1"/>
    <col min="10999" max="10999" width="19.7109375" style="1" customWidth="1"/>
    <col min="11000" max="11000" width="13" style="1" bestFit="1" customWidth="1"/>
    <col min="11001" max="11234" width="11.42578125" style="1"/>
    <col min="11235" max="11235" width="5.140625" style="1" customWidth="1"/>
    <col min="11236" max="11236" width="23.42578125" style="1" customWidth="1"/>
    <col min="11237" max="11237" width="7.85546875" style="1" customWidth="1"/>
    <col min="11238" max="11238" width="10.140625" style="1" customWidth="1"/>
    <col min="11239" max="11239" width="16.28515625" style="1" customWidth="1"/>
    <col min="11240" max="11240" width="12.7109375" style="1" customWidth="1"/>
    <col min="11241" max="11241" width="18" style="1" customWidth="1"/>
    <col min="11242" max="11242" width="13.42578125" style="1" customWidth="1"/>
    <col min="11243" max="11243" width="11.7109375" style="1" customWidth="1"/>
    <col min="11244" max="11244" width="12.42578125" style="1" customWidth="1"/>
    <col min="11245" max="11245" width="4" style="1" customWidth="1"/>
    <col min="11246" max="11246" width="6.5703125" style="1" customWidth="1"/>
    <col min="11247" max="11247" width="10.85546875" style="1" customWidth="1"/>
    <col min="11248" max="11248" width="4.7109375" style="1" customWidth="1"/>
    <col min="11249" max="11249" width="5.140625" style="1" customWidth="1"/>
    <col min="11250" max="11251" width="11.85546875" style="1" customWidth="1"/>
    <col min="11252" max="11252" width="7" style="1" customWidth="1"/>
    <col min="11253" max="11253" width="12.7109375" style="1" bestFit="1" customWidth="1"/>
    <col min="11254" max="11254" width="9.5703125" style="1" customWidth="1"/>
    <col min="11255" max="11255" width="19.7109375" style="1" customWidth="1"/>
    <col min="11256" max="11256" width="13" style="1" bestFit="1" customWidth="1"/>
    <col min="11257" max="11490" width="11.42578125" style="1"/>
    <col min="11491" max="11491" width="5.140625" style="1" customWidth="1"/>
    <col min="11492" max="11492" width="23.42578125" style="1" customWidth="1"/>
    <col min="11493" max="11493" width="7.85546875" style="1" customWidth="1"/>
    <col min="11494" max="11494" width="10.140625" style="1" customWidth="1"/>
    <col min="11495" max="11495" width="16.28515625" style="1" customWidth="1"/>
    <col min="11496" max="11496" width="12.7109375" style="1" customWidth="1"/>
    <col min="11497" max="11497" width="18" style="1" customWidth="1"/>
    <col min="11498" max="11498" width="13.42578125" style="1" customWidth="1"/>
    <col min="11499" max="11499" width="11.7109375" style="1" customWidth="1"/>
    <col min="11500" max="11500" width="12.42578125" style="1" customWidth="1"/>
    <col min="11501" max="11501" width="4" style="1" customWidth="1"/>
    <col min="11502" max="11502" width="6.5703125" style="1" customWidth="1"/>
    <col min="11503" max="11503" width="10.85546875" style="1" customWidth="1"/>
    <col min="11504" max="11504" width="4.7109375" style="1" customWidth="1"/>
    <col min="11505" max="11505" width="5.140625" style="1" customWidth="1"/>
    <col min="11506" max="11507" width="11.85546875" style="1" customWidth="1"/>
    <col min="11508" max="11508" width="7" style="1" customWidth="1"/>
    <col min="11509" max="11509" width="12.7109375" style="1" bestFit="1" customWidth="1"/>
    <col min="11510" max="11510" width="9.5703125" style="1" customWidth="1"/>
    <col min="11511" max="11511" width="19.7109375" style="1" customWidth="1"/>
    <col min="11512" max="11512" width="13" style="1" bestFit="1" customWidth="1"/>
    <col min="11513" max="11746" width="11.42578125" style="1"/>
    <col min="11747" max="11747" width="5.140625" style="1" customWidth="1"/>
    <col min="11748" max="11748" width="23.42578125" style="1" customWidth="1"/>
    <col min="11749" max="11749" width="7.85546875" style="1" customWidth="1"/>
    <col min="11750" max="11750" width="10.140625" style="1" customWidth="1"/>
    <col min="11751" max="11751" width="16.28515625" style="1" customWidth="1"/>
    <col min="11752" max="11752" width="12.7109375" style="1" customWidth="1"/>
    <col min="11753" max="11753" width="18" style="1" customWidth="1"/>
    <col min="11754" max="11754" width="13.42578125" style="1" customWidth="1"/>
    <col min="11755" max="11755" width="11.7109375" style="1" customWidth="1"/>
    <col min="11756" max="11756" width="12.42578125" style="1" customWidth="1"/>
    <col min="11757" max="11757" width="4" style="1" customWidth="1"/>
    <col min="11758" max="11758" width="6.5703125" style="1" customWidth="1"/>
    <col min="11759" max="11759" width="10.85546875" style="1" customWidth="1"/>
    <col min="11760" max="11760" width="4.7109375" style="1" customWidth="1"/>
    <col min="11761" max="11761" width="5.140625" style="1" customWidth="1"/>
    <col min="11762" max="11763" width="11.85546875" style="1" customWidth="1"/>
    <col min="11764" max="11764" width="7" style="1" customWidth="1"/>
    <col min="11765" max="11765" width="12.7109375" style="1" bestFit="1" customWidth="1"/>
    <col min="11766" max="11766" width="9.5703125" style="1" customWidth="1"/>
    <col min="11767" max="11767" width="19.7109375" style="1" customWidth="1"/>
    <col min="11768" max="11768" width="13" style="1" bestFit="1" customWidth="1"/>
    <col min="11769" max="12002" width="11.42578125" style="1"/>
    <col min="12003" max="12003" width="5.140625" style="1" customWidth="1"/>
    <col min="12004" max="12004" width="23.42578125" style="1" customWidth="1"/>
    <col min="12005" max="12005" width="7.85546875" style="1" customWidth="1"/>
    <col min="12006" max="12006" width="10.140625" style="1" customWidth="1"/>
    <col min="12007" max="12007" width="16.28515625" style="1" customWidth="1"/>
    <col min="12008" max="12008" width="12.7109375" style="1" customWidth="1"/>
    <col min="12009" max="12009" width="18" style="1" customWidth="1"/>
    <col min="12010" max="12010" width="13.42578125" style="1" customWidth="1"/>
    <col min="12011" max="12011" width="11.7109375" style="1" customWidth="1"/>
    <col min="12012" max="12012" width="12.42578125" style="1" customWidth="1"/>
    <col min="12013" max="12013" width="4" style="1" customWidth="1"/>
    <col min="12014" max="12014" width="6.5703125" style="1" customWidth="1"/>
    <col min="12015" max="12015" width="10.85546875" style="1" customWidth="1"/>
    <col min="12016" max="12016" width="4.7109375" style="1" customWidth="1"/>
    <col min="12017" max="12017" width="5.140625" style="1" customWidth="1"/>
    <col min="12018" max="12019" width="11.85546875" style="1" customWidth="1"/>
    <col min="12020" max="12020" width="7" style="1" customWidth="1"/>
    <col min="12021" max="12021" width="12.7109375" style="1" bestFit="1" customWidth="1"/>
    <col min="12022" max="12022" width="9.5703125" style="1" customWidth="1"/>
    <col min="12023" max="12023" width="19.7109375" style="1" customWidth="1"/>
    <col min="12024" max="12024" width="13" style="1" bestFit="1" customWidth="1"/>
    <col min="12025" max="12258" width="11.42578125" style="1"/>
    <col min="12259" max="12259" width="5.140625" style="1" customWidth="1"/>
    <col min="12260" max="12260" width="23.42578125" style="1" customWidth="1"/>
    <col min="12261" max="12261" width="7.85546875" style="1" customWidth="1"/>
    <col min="12262" max="12262" width="10.140625" style="1" customWidth="1"/>
    <col min="12263" max="12263" width="16.28515625" style="1" customWidth="1"/>
    <col min="12264" max="12264" width="12.7109375" style="1" customWidth="1"/>
    <col min="12265" max="12265" width="18" style="1" customWidth="1"/>
    <col min="12266" max="12266" width="13.42578125" style="1" customWidth="1"/>
    <col min="12267" max="12267" width="11.7109375" style="1" customWidth="1"/>
    <col min="12268" max="12268" width="12.42578125" style="1" customWidth="1"/>
    <col min="12269" max="12269" width="4" style="1" customWidth="1"/>
    <col min="12270" max="12270" width="6.5703125" style="1" customWidth="1"/>
    <col min="12271" max="12271" width="10.85546875" style="1" customWidth="1"/>
    <col min="12272" max="12272" width="4.7109375" style="1" customWidth="1"/>
    <col min="12273" max="12273" width="5.140625" style="1" customWidth="1"/>
    <col min="12274" max="12275" width="11.85546875" style="1" customWidth="1"/>
    <col min="12276" max="12276" width="7" style="1" customWidth="1"/>
    <col min="12277" max="12277" width="12.7109375" style="1" bestFit="1" customWidth="1"/>
    <col min="12278" max="12278" width="9.5703125" style="1" customWidth="1"/>
    <col min="12279" max="12279" width="19.7109375" style="1" customWidth="1"/>
    <col min="12280" max="12280" width="13" style="1" bestFit="1" customWidth="1"/>
    <col min="12281" max="12514" width="11.42578125" style="1"/>
    <col min="12515" max="12515" width="5.140625" style="1" customWidth="1"/>
    <col min="12516" max="12516" width="23.42578125" style="1" customWidth="1"/>
    <col min="12517" max="12517" width="7.85546875" style="1" customWidth="1"/>
    <col min="12518" max="12518" width="10.140625" style="1" customWidth="1"/>
    <col min="12519" max="12519" width="16.28515625" style="1" customWidth="1"/>
    <col min="12520" max="12520" width="12.7109375" style="1" customWidth="1"/>
    <col min="12521" max="12521" width="18" style="1" customWidth="1"/>
    <col min="12522" max="12522" width="13.42578125" style="1" customWidth="1"/>
    <col min="12523" max="12523" width="11.7109375" style="1" customWidth="1"/>
    <col min="12524" max="12524" width="12.42578125" style="1" customWidth="1"/>
    <col min="12525" max="12525" width="4" style="1" customWidth="1"/>
    <col min="12526" max="12526" width="6.5703125" style="1" customWidth="1"/>
    <col min="12527" max="12527" width="10.85546875" style="1" customWidth="1"/>
    <col min="12528" max="12528" width="4.7109375" style="1" customWidth="1"/>
    <col min="12529" max="12529" width="5.140625" style="1" customWidth="1"/>
    <col min="12530" max="12531" width="11.85546875" style="1" customWidth="1"/>
    <col min="12532" max="12532" width="7" style="1" customWidth="1"/>
    <col min="12533" max="12533" width="12.7109375" style="1" bestFit="1" customWidth="1"/>
    <col min="12534" max="12534" width="9.5703125" style="1" customWidth="1"/>
    <col min="12535" max="12535" width="19.7109375" style="1" customWidth="1"/>
    <col min="12536" max="12536" width="13" style="1" bestFit="1" customWidth="1"/>
    <col min="12537" max="12770" width="11.42578125" style="1"/>
    <col min="12771" max="12771" width="5.140625" style="1" customWidth="1"/>
    <col min="12772" max="12772" width="23.42578125" style="1" customWidth="1"/>
    <col min="12773" max="12773" width="7.85546875" style="1" customWidth="1"/>
    <col min="12774" max="12774" width="10.140625" style="1" customWidth="1"/>
    <col min="12775" max="12775" width="16.28515625" style="1" customWidth="1"/>
    <col min="12776" max="12776" width="12.7109375" style="1" customWidth="1"/>
    <col min="12777" max="12777" width="18" style="1" customWidth="1"/>
    <col min="12778" max="12778" width="13.42578125" style="1" customWidth="1"/>
    <col min="12779" max="12779" width="11.7109375" style="1" customWidth="1"/>
    <col min="12780" max="12780" width="12.42578125" style="1" customWidth="1"/>
    <col min="12781" max="12781" width="4" style="1" customWidth="1"/>
    <col min="12782" max="12782" width="6.5703125" style="1" customWidth="1"/>
    <col min="12783" max="12783" width="10.85546875" style="1" customWidth="1"/>
    <col min="12784" max="12784" width="4.7109375" style="1" customWidth="1"/>
    <col min="12785" max="12785" width="5.140625" style="1" customWidth="1"/>
    <col min="12786" max="12787" width="11.85546875" style="1" customWidth="1"/>
    <col min="12788" max="12788" width="7" style="1" customWidth="1"/>
    <col min="12789" max="12789" width="12.7109375" style="1" bestFit="1" customWidth="1"/>
    <col min="12790" max="12790" width="9.5703125" style="1" customWidth="1"/>
    <col min="12791" max="12791" width="19.7109375" style="1" customWidth="1"/>
    <col min="12792" max="12792" width="13" style="1" bestFit="1" customWidth="1"/>
    <col min="12793" max="13026" width="11.42578125" style="1"/>
    <col min="13027" max="13027" width="5.140625" style="1" customWidth="1"/>
    <col min="13028" max="13028" width="23.42578125" style="1" customWidth="1"/>
    <col min="13029" max="13029" width="7.85546875" style="1" customWidth="1"/>
    <col min="13030" max="13030" width="10.140625" style="1" customWidth="1"/>
    <col min="13031" max="13031" width="16.28515625" style="1" customWidth="1"/>
    <col min="13032" max="13032" width="12.7109375" style="1" customWidth="1"/>
    <col min="13033" max="13033" width="18" style="1" customWidth="1"/>
    <col min="13034" max="13034" width="13.42578125" style="1" customWidth="1"/>
    <col min="13035" max="13035" width="11.7109375" style="1" customWidth="1"/>
    <col min="13036" max="13036" width="12.42578125" style="1" customWidth="1"/>
    <col min="13037" max="13037" width="4" style="1" customWidth="1"/>
    <col min="13038" max="13038" width="6.5703125" style="1" customWidth="1"/>
    <col min="13039" max="13039" width="10.85546875" style="1" customWidth="1"/>
    <col min="13040" max="13040" width="4.7109375" style="1" customWidth="1"/>
    <col min="13041" max="13041" width="5.140625" style="1" customWidth="1"/>
    <col min="13042" max="13043" width="11.85546875" style="1" customWidth="1"/>
    <col min="13044" max="13044" width="7" style="1" customWidth="1"/>
    <col min="13045" max="13045" width="12.7109375" style="1" bestFit="1" customWidth="1"/>
    <col min="13046" max="13046" width="9.5703125" style="1" customWidth="1"/>
    <col min="13047" max="13047" width="19.7109375" style="1" customWidth="1"/>
    <col min="13048" max="13048" width="13" style="1" bestFit="1" customWidth="1"/>
    <col min="13049" max="13282" width="11.42578125" style="1"/>
    <col min="13283" max="13283" width="5.140625" style="1" customWidth="1"/>
    <col min="13284" max="13284" width="23.42578125" style="1" customWidth="1"/>
    <col min="13285" max="13285" width="7.85546875" style="1" customWidth="1"/>
    <col min="13286" max="13286" width="10.140625" style="1" customWidth="1"/>
    <col min="13287" max="13287" width="16.28515625" style="1" customWidth="1"/>
    <col min="13288" max="13288" width="12.7109375" style="1" customWidth="1"/>
    <col min="13289" max="13289" width="18" style="1" customWidth="1"/>
    <col min="13290" max="13290" width="13.42578125" style="1" customWidth="1"/>
    <col min="13291" max="13291" width="11.7109375" style="1" customWidth="1"/>
    <col min="13292" max="13292" width="12.42578125" style="1" customWidth="1"/>
    <col min="13293" max="13293" width="4" style="1" customWidth="1"/>
    <col min="13294" max="13294" width="6.5703125" style="1" customWidth="1"/>
    <col min="13295" max="13295" width="10.85546875" style="1" customWidth="1"/>
    <col min="13296" max="13296" width="4.7109375" style="1" customWidth="1"/>
    <col min="13297" max="13297" width="5.140625" style="1" customWidth="1"/>
    <col min="13298" max="13299" width="11.85546875" style="1" customWidth="1"/>
    <col min="13300" max="13300" width="7" style="1" customWidth="1"/>
    <col min="13301" max="13301" width="12.7109375" style="1" bestFit="1" customWidth="1"/>
    <col min="13302" max="13302" width="9.5703125" style="1" customWidth="1"/>
    <col min="13303" max="13303" width="19.7109375" style="1" customWidth="1"/>
    <col min="13304" max="13304" width="13" style="1" bestFit="1" customWidth="1"/>
    <col min="13305" max="13538" width="11.42578125" style="1"/>
    <col min="13539" max="13539" width="5.140625" style="1" customWidth="1"/>
    <col min="13540" max="13540" width="23.42578125" style="1" customWidth="1"/>
    <col min="13541" max="13541" width="7.85546875" style="1" customWidth="1"/>
    <col min="13542" max="13542" width="10.140625" style="1" customWidth="1"/>
    <col min="13543" max="13543" width="16.28515625" style="1" customWidth="1"/>
    <col min="13544" max="13544" width="12.7109375" style="1" customWidth="1"/>
    <col min="13545" max="13545" width="18" style="1" customWidth="1"/>
    <col min="13546" max="13546" width="13.42578125" style="1" customWidth="1"/>
    <col min="13547" max="13547" width="11.7109375" style="1" customWidth="1"/>
    <col min="13548" max="13548" width="12.42578125" style="1" customWidth="1"/>
    <col min="13549" max="13549" width="4" style="1" customWidth="1"/>
    <col min="13550" max="13550" width="6.5703125" style="1" customWidth="1"/>
    <col min="13551" max="13551" width="10.85546875" style="1" customWidth="1"/>
    <col min="13552" max="13552" width="4.7109375" style="1" customWidth="1"/>
    <col min="13553" max="13553" width="5.140625" style="1" customWidth="1"/>
    <col min="13554" max="13555" width="11.85546875" style="1" customWidth="1"/>
    <col min="13556" max="13556" width="7" style="1" customWidth="1"/>
    <col min="13557" max="13557" width="12.7109375" style="1" bestFit="1" customWidth="1"/>
    <col min="13558" max="13558" width="9.5703125" style="1" customWidth="1"/>
    <col min="13559" max="13559" width="19.7109375" style="1" customWidth="1"/>
    <col min="13560" max="13560" width="13" style="1" bestFit="1" customWidth="1"/>
    <col min="13561" max="13794" width="11.42578125" style="1"/>
    <col min="13795" max="13795" width="5.140625" style="1" customWidth="1"/>
    <col min="13796" max="13796" width="23.42578125" style="1" customWidth="1"/>
    <col min="13797" max="13797" width="7.85546875" style="1" customWidth="1"/>
    <col min="13798" max="13798" width="10.140625" style="1" customWidth="1"/>
    <col min="13799" max="13799" width="16.28515625" style="1" customWidth="1"/>
    <col min="13800" max="13800" width="12.7109375" style="1" customWidth="1"/>
    <col min="13801" max="13801" width="18" style="1" customWidth="1"/>
    <col min="13802" max="13802" width="13.42578125" style="1" customWidth="1"/>
    <col min="13803" max="13803" width="11.7109375" style="1" customWidth="1"/>
    <col min="13804" max="13804" width="12.42578125" style="1" customWidth="1"/>
    <col min="13805" max="13805" width="4" style="1" customWidth="1"/>
    <col min="13806" max="13806" width="6.5703125" style="1" customWidth="1"/>
    <col min="13807" max="13807" width="10.85546875" style="1" customWidth="1"/>
    <col min="13808" max="13808" width="4.7109375" style="1" customWidth="1"/>
    <col min="13809" max="13809" width="5.140625" style="1" customWidth="1"/>
    <col min="13810" max="13811" width="11.85546875" style="1" customWidth="1"/>
    <col min="13812" max="13812" width="7" style="1" customWidth="1"/>
    <col min="13813" max="13813" width="12.7109375" style="1" bestFit="1" customWidth="1"/>
    <col min="13814" max="13814" width="9.5703125" style="1" customWidth="1"/>
    <col min="13815" max="13815" width="19.7109375" style="1" customWidth="1"/>
    <col min="13816" max="13816" width="13" style="1" bestFit="1" customWidth="1"/>
    <col min="13817" max="14050" width="11.42578125" style="1"/>
    <col min="14051" max="14051" width="5.140625" style="1" customWidth="1"/>
    <col min="14052" max="14052" width="23.42578125" style="1" customWidth="1"/>
    <col min="14053" max="14053" width="7.85546875" style="1" customWidth="1"/>
    <col min="14054" max="14054" width="10.140625" style="1" customWidth="1"/>
    <col min="14055" max="14055" width="16.28515625" style="1" customWidth="1"/>
    <col min="14056" max="14056" width="12.7109375" style="1" customWidth="1"/>
    <col min="14057" max="14057" width="18" style="1" customWidth="1"/>
    <col min="14058" max="14058" width="13.42578125" style="1" customWidth="1"/>
    <col min="14059" max="14059" width="11.7109375" style="1" customWidth="1"/>
    <col min="14060" max="14060" width="12.42578125" style="1" customWidth="1"/>
    <col min="14061" max="14061" width="4" style="1" customWidth="1"/>
    <col min="14062" max="14062" width="6.5703125" style="1" customWidth="1"/>
    <col min="14063" max="14063" width="10.85546875" style="1" customWidth="1"/>
    <col min="14064" max="14064" width="4.7109375" style="1" customWidth="1"/>
    <col min="14065" max="14065" width="5.140625" style="1" customWidth="1"/>
    <col min="14066" max="14067" width="11.85546875" style="1" customWidth="1"/>
    <col min="14068" max="14068" width="7" style="1" customWidth="1"/>
    <col min="14069" max="14069" width="12.7109375" style="1" bestFit="1" customWidth="1"/>
    <col min="14070" max="14070" width="9.5703125" style="1" customWidth="1"/>
    <col min="14071" max="14071" width="19.7109375" style="1" customWidth="1"/>
    <col min="14072" max="14072" width="13" style="1" bestFit="1" customWidth="1"/>
    <col min="14073" max="14306" width="11.42578125" style="1"/>
    <col min="14307" max="14307" width="5.140625" style="1" customWidth="1"/>
    <col min="14308" max="14308" width="23.42578125" style="1" customWidth="1"/>
    <col min="14309" max="14309" width="7.85546875" style="1" customWidth="1"/>
    <col min="14310" max="14310" width="10.140625" style="1" customWidth="1"/>
    <col min="14311" max="14311" width="16.28515625" style="1" customWidth="1"/>
    <col min="14312" max="14312" width="12.7109375" style="1" customWidth="1"/>
    <col min="14313" max="14313" width="18" style="1" customWidth="1"/>
    <col min="14314" max="14314" width="13.42578125" style="1" customWidth="1"/>
    <col min="14315" max="14315" width="11.7109375" style="1" customWidth="1"/>
    <col min="14316" max="14316" width="12.42578125" style="1" customWidth="1"/>
    <col min="14317" max="14317" width="4" style="1" customWidth="1"/>
    <col min="14318" max="14318" width="6.5703125" style="1" customWidth="1"/>
    <col min="14319" max="14319" width="10.85546875" style="1" customWidth="1"/>
    <col min="14320" max="14320" width="4.7109375" style="1" customWidth="1"/>
    <col min="14321" max="14321" width="5.140625" style="1" customWidth="1"/>
    <col min="14322" max="14323" width="11.85546875" style="1" customWidth="1"/>
    <col min="14324" max="14324" width="7" style="1" customWidth="1"/>
    <col min="14325" max="14325" width="12.7109375" style="1" bestFit="1" customWidth="1"/>
    <col min="14326" max="14326" width="9.5703125" style="1" customWidth="1"/>
    <col min="14327" max="14327" width="19.7109375" style="1" customWidth="1"/>
    <col min="14328" max="14328" width="13" style="1" bestFit="1" customWidth="1"/>
    <col min="14329" max="14562" width="11.42578125" style="1"/>
    <col min="14563" max="14563" width="5.140625" style="1" customWidth="1"/>
    <col min="14564" max="14564" width="23.42578125" style="1" customWidth="1"/>
    <col min="14565" max="14565" width="7.85546875" style="1" customWidth="1"/>
    <col min="14566" max="14566" width="10.140625" style="1" customWidth="1"/>
    <col min="14567" max="14567" width="16.28515625" style="1" customWidth="1"/>
    <col min="14568" max="14568" width="12.7109375" style="1" customWidth="1"/>
    <col min="14569" max="14569" width="18" style="1" customWidth="1"/>
    <col min="14570" max="14570" width="13.42578125" style="1" customWidth="1"/>
    <col min="14571" max="14571" width="11.7109375" style="1" customWidth="1"/>
    <col min="14572" max="14572" width="12.42578125" style="1" customWidth="1"/>
    <col min="14573" max="14573" width="4" style="1" customWidth="1"/>
    <col min="14574" max="14574" width="6.5703125" style="1" customWidth="1"/>
    <col min="14575" max="14575" width="10.85546875" style="1" customWidth="1"/>
    <col min="14576" max="14576" width="4.7109375" style="1" customWidth="1"/>
    <col min="14577" max="14577" width="5.140625" style="1" customWidth="1"/>
    <col min="14578" max="14579" width="11.85546875" style="1" customWidth="1"/>
    <col min="14580" max="14580" width="7" style="1" customWidth="1"/>
    <col min="14581" max="14581" width="12.7109375" style="1" bestFit="1" customWidth="1"/>
    <col min="14582" max="14582" width="9.5703125" style="1" customWidth="1"/>
    <col min="14583" max="14583" width="19.7109375" style="1" customWidth="1"/>
    <col min="14584" max="14584" width="13" style="1" bestFit="1" customWidth="1"/>
    <col min="14585" max="14818" width="11.42578125" style="1"/>
    <col min="14819" max="14819" width="5.140625" style="1" customWidth="1"/>
    <col min="14820" max="14820" width="23.42578125" style="1" customWidth="1"/>
    <col min="14821" max="14821" width="7.85546875" style="1" customWidth="1"/>
    <col min="14822" max="14822" width="10.140625" style="1" customWidth="1"/>
    <col min="14823" max="14823" width="16.28515625" style="1" customWidth="1"/>
    <col min="14824" max="14824" width="12.7109375" style="1" customWidth="1"/>
    <col min="14825" max="14825" width="18" style="1" customWidth="1"/>
    <col min="14826" max="14826" width="13.42578125" style="1" customWidth="1"/>
    <col min="14827" max="14827" width="11.7109375" style="1" customWidth="1"/>
    <col min="14828" max="14828" width="12.42578125" style="1" customWidth="1"/>
    <col min="14829" max="14829" width="4" style="1" customWidth="1"/>
    <col min="14830" max="14830" width="6.5703125" style="1" customWidth="1"/>
    <col min="14831" max="14831" width="10.85546875" style="1" customWidth="1"/>
    <col min="14832" max="14832" width="4.7109375" style="1" customWidth="1"/>
    <col min="14833" max="14833" width="5.140625" style="1" customWidth="1"/>
    <col min="14834" max="14835" width="11.85546875" style="1" customWidth="1"/>
    <col min="14836" max="14836" width="7" style="1" customWidth="1"/>
    <col min="14837" max="14837" width="12.7109375" style="1" bestFit="1" customWidth="1"/>
    <col min="14838" max="14838" width="9.5703125" style="1" customWidth="1"/>
    <col min="14839" max="14839" width="19.7109375" style="1" customWidth="1"/>
    <col min="14840" max="14840" width="13" style="1" bestFit="1" customWidth="1"/>
    <col min="14841" max="15074" width="11.42578125" style="1"/>
    <col min="15075" max="15075" width="5.140625" style="1" customWidth="1"/>
    <col min="15076" max="15076" width="23.42578125" style="1" customWidth="1"/>
    <col min="15077" max="15077" width="7.85546875" style="1" customWidth="1"/>
    <col min="15078" max="15078" width="10.140625" style="1" customWidth="1"/>
    <col min="15079" max="15079" width="16.28515625" style="1" customWidth="1"/>
    <col min="15080" max="15080" width="12.7109375" style="1" customWidth="1"/>
    <col min="15081" max="15081" width="18" style="1" customWidth="1"/>
    <col min="15082" max="15082" width="13.42578125" style="1" customWidth="1"/>
    <col min="15083" max="15083" width="11.7109375" style="1" customWidth="1"/>
    <col min="15084" max="15084" width="12.42578125" style="1" customWidth="1"/>
    <col min="15085" max="15085" width="4" style="1" customWidth="1"/>
    <col min="15086" max="15086" width="6.5703125" style="1" customWidth="1"/>
    <col min="15087" max="15087" width="10.85546875" style="1" customWidth="1"/>
    <col min="15088" max="15088" width="4.7109375" style="1" customWidth="1"/>
    <col min="15089" max="15089" width="5.140625" style="1" customWidth="1"/>
    <col min="15090" max="15091" width="11.85546875" style="1" customWidth="1"/>
    <col min="15092" max="15092" width="7" style="1" customWidth="1"/>
    <col min="15093" max="15093" width="12.7109375" style="1" bestFit="1" customWidth="1"/>
    <col min="15094" max="15094" width="9.5703125" style="1" customWidth="1"/>
    <col min="15095" max="15095" width="19.7109375" style="1" customWidth="1"/>
    <col min="15096" max="15096" width="13" style="1" bestFit="1" customWidth="1"/>
    <col min="15097" max="15330" width="11.42578125" style="1"/>
    <col min="15331" max="15331" width="5.140625" style="1" customWidth="1"/>
    <col min="15332" max="15332" width="23.42578125" style="1" customWidth="1"/>
    <col min="15333" max="15333" width="7.85546875" style="1" customWidth="1"/>
    <col min="15334" max="15334" width="10.140625" style="1" customWidth="1"/>
    <col min="15335" max="15335" width="16.28515625" style="1" customWidth="1"/>
    <col min="15336" max="15336" width="12.7109375" style="1" customWidth="1"/>
    <col min="15337" max="15337" width="18" style="1" customWidth="1"/>
    <col min="15338" max="15338" width="13.42578125" style="1" customWidth="1"/>
    <col min="15339" max="15339" width="11.7109375" style="1" customWidth="1"/>
    <col min="15340" max="15340" width="12.42578125" style="1" customWidth="1"/>
    <col min="15341" max="15341" width="4" style="1" customWidth="1"/>
    <col min="15342" max="15342" width="6.5703125" style="1" customWidth="1"/>
    <col min="15343" max="15343" width="10.85546875" style="1" customWidth="1"/>
    <col min="15344" max="15344" width="4.7109375" style="1" customWidth="1"/>
    <col min="15345" max="15345" width="5.140625" style="1" customWidth="1"/>
    <col min="15346" max="15347" width="11.85546875" style="1" customWidth="1"/>
    <col min="15348" max="15348" width="7" style="1" customWidth="1"/>
    <col min="15349" max="15349" width="12.7109375" style="1" bestFit="1" customWidth="1"/>
    <col min="15350" max="15350" width="9.5703125" style="1" customWidth="1"/>
    <col min="15351" max="15351" width="19.7109375" style="1" customWidth="1"/>
    <col min="15352" max="15352" width="13" style="1" bestFit="1" customWidth="1"/>
    <col min="15353" max="15586" width="11.42578125" style="1"/>
    <col min="15587" max="15587" width="5.140625" style="1" customWidth="1"/>
    <col min="15588" max="15588" width="23.42578125" style="1" customWidth="1"/>
    <col min="15589" max="15589" width="7.85546875" style="1" customWidth="1"/>
    <col min="15590" max="15590" width="10.140625" style="1" customWidth="1"/>
    <col min="15591" max="15591" width="16.28515625" style="1" customWidth="1"/>
    <col min="15592" max="15592" width="12.7109375" style="1" customWidth="1"/>
    <col min="15593" max="15593" width="18" style="1" customWidth="1"/>
    <col min="15594" max="15594" width="13.42578125" style="1" customWidth="1"/>
    <col min="15595" max="15595" width="11.7109375" style="1" customWidth="1"/>
    <col min="15596" max="15596" width="12.42578125" style="1" customWidth="1"/>
    <col min="15597" max="15597" width="4" style="1" customWidth="1"/>
    <col min="15598" max="15598" width="6.5703125" style="1" customWidth="1"/>
    <col min="15599" max="15599" width="10.85546875" style="1" customWidth="1"/>
    <col min="15600" max="15600" width="4.7109375" style="1" customWidth="1"/>
    <col min="15601" max="15601" width="5.140625" style="1" customWidth="1"/>
    <col min="15602" max="15603" width="11.85546875" style="1" customWidth="1"/>
    <col min="15604" max="15604" width="7" style="1" customWidth="1"/>
    <col min="15605" max="15605" width="12.7109375" style="1" bestFit="1" customWidth="1"/>
    <col min="15606" max="15606" width="9.5703125" style="1" customWidth="1"/>
    <col min="15607" max="15607" width="19.7109375" style="1" customWidth="1"/>
    <col min="15608" max="15608" width="13" style="1" bestFit="1" customWidth="1"/>
    <col min="15609" max="15842" width="11.42578125" style="1"/>
    <col min="15843" max="15843" width="5.140625" style="1" customWidth="1"/>
    <col min="15844" max="15844" width="23.42578125" style="1" customWidth="1"/>
    <col min="15845" max="15845" width="7.85546875" style="1" customWidth="1"/>
    <col min="15846" max="15846" width="10.140625" style="1" customWidth="1"/>
    <col min="15847" max="15847" width="16.28515625" style="1" customWidth="1"/>
    <col min="15848" max="15848" width="12.7109375" style="1" customWidth="1"/>
    <col min="15849" max="15849" width="18" style="1" customWidth="1"/>
    <col min="15850" max="15850" width="13.42578125" style="1" customWidth="1"/>
    <col min="15851" max="15851" width="11.7109375" style="1" customWidth="1"/>
    <col min="15852" max="15852" width="12.42578125" style="1" customWidth="1"/>
    <col min="15853" max="15853" width="4" style="1" customWidth="1"/>
    <col min="15854" max="15854" width="6.5703125" style="1" customWidth="1"/>
    <col min="15855" max="15855" width="10.85546875" style="1" customWidth="1"/>
    <col min="15856" max="15856" width="4.7109375" style="1" customWidth="1"/>
    <col min="15857" max="15857" width="5.140625" style="1" customWidth="1"/>
    <col min="15858" max="15859" width="11.85546875" style="1" customWidth="1"/>
    <col min="15860" max="15860" width="7" style="1" customWidth="1"/>
    <col min="15861" max="15861" width="12.7109375" style="1" bestFit="1" customWidth="1"/>
    <col min="15862" max="15862" width="9.5703125" style="1" customWidth="1"/>
    <col min="15863" max="15863" width="19.7109375" style="1" customWidth="1"/>
    <col min="15864" max="15864" width="13" style="1" bestFit="1" customWidth="1"/>
    <col min="15865" max="16098" width="11.42578125" style="1"/>
    <col min="16099" max="16099" width="5.140625" style="1" customWidth="1"/>
    <col min="16100" max="16100" width="23.42578125" style="1" customWidth="1"/>
    <col min="16101" max="16101" width="7.85546875" style="1" customWidth="1"/>
    <col min="16102" max="16102" width="10.140625" style="1" customWidth="1"/>
    <col min="16103" max="16103" width="16.28515625" style="1" customWidth="1"/>
    <col min="16104" max="16104" width="12.7109375" style="1" customWidth="1"/>
    <col min="16105" max="16105" width="18" style="1" customWidth="1"/>
    <col min="16106" max="16106" width="13.42578125" style="1" customWidth="1"/>
    <col min="16107" max="16107" width="11.7109375" style="1" customWidth="1"/>
    <col min="16108" max="16108" width="12.42578125" style="1" customWidth="1"/>
    <col min="16109" max="16109" width="4" style="1" customWidth="1"/>
    <col min="16110" max="16110" width="6.5703125" style="1" customWidth="1"/>
    <col min="16111" max="16111" width="10.85546875" style="1" customWidth="1"/>
    <col min="16112" max="16112" width="4.7109375" style="1" customWidth="1"/>
    <col min="16113" max="16113" width="5.140625" style="1" customWidth="1"/>
    <col min="16114" max="16115" width="11.85546875" style="1" customWidth="1"/>
    <col min="16116" max="16116" width="7" style="1" customWidth="1"/>
    <col min="16117" max="16117" width="12.7109375" style="1" bestFit="1" customWidth="1"/>
    <col min="16118" max="16118" width="9.5703125" style="1" customWidth="1"/>
    <col min="16119" max="16119" width="19.7109375" style="1" customWidth="1"/>
    <col min="16120" max="16120" width="13" style="1" bestFit="1" customWidth="1"/>
    <col min="16121" max="16384" width="11.42578125" style="1"/>
  </cols>
  <sheetData>
    <row r="1" spans="1:20" ht="18" customHeight="1" x14ac:dyDescent="0.25">
      <c r="B1" s="353" t="s">
        <v>0</v>
      </c>
      <c r="C1" s="354"/>
      <c r="D1" s="357" t="s">
        <v>882</v>
      </c>
      <c r="E1" s="358"/>
      <c r="F1" s="358"/>
      <c r="G1" s="358"/>
      <c r="H1" s="358"/>
      <c r="I1" s="358"/>
      <c r="J1" s="358"/>
      <c r="K1" s="358"/>
      <c r="L1" s="358"/>
      <c r="M1" s="358"/>
      <c r="N1" s="358"/>
      <c r="O1" s="358"/>
      <c r="P1" s="358"/>
      <c r="Q1" s="358"/>
      <c r="R1" s="358"/>
      <c r="S1" s="359"/>
    </row>
    <row r="2" spans="1:20" ht="36.75" customHeight="1" thickBot="1" x14ac:dyDescent="0.25">
      <c r="B2" s="355"/>
      <c r="C2" s="356"/>
      <c r="D2" s="360" t="s">
        <v>883</v>
      </c>
      <c r="E2" s="361"/>
      <c r="F2" s="361"/>
      <c r="G2" s="361"/>
      <c r="H2" s="361"/>
      <c r="I2" s="361"/>
      <c r="J2" s="361"/>
      <c r="K2" s="361"/>
      <c r="L2" s="361"/>
      <c r="M2" s="361"/>
      <c r="N2" s="361"/>
      <c r="O2" s="361"/>
      <c r="P2" s="361"/>
      <c r="Q2" s="361"/>
      <c r="R2" s="361"/>
      <c r="S2" s="362"/>
    </row>
    <row r="3" spans="1:20" ht="33" customHeight="1" thickBot="1" x14ac:dyDescent="0.25">
      <c r="B3" s="363" t="s">
        <v>1</v>
      </c>
      <c r="C3" s="364"/>
      <c r="D3" s="365"/>
      <c r="E3" s="365"/>
      <c r="F3" s="365"/>
      <c r="G3" s="2" t="s">
        <v>2</v>
      </c>
      <c r="H3" s="3" t="s">
        <v>3</v>
      </c>
      <c r="I3" s="366" t="s">
        <v>4</v>
      </c>
      <c r="J3" s="367"/>
      <c r="K3" s="367"/>
      <c r="L3" s="367"/>
      <c r="M3" s="367"/>
      <c r="N3" s="367"/>
      <c r="O3" s="368"/>
    </row>
    <row r="4" spans="1:20" ht="28.5" customHeight="1" x14ac:dyDescent="0.2">
      <c r="A4" s="4"/>
      <c r="B4" s="369" t="s">
        <v>5</v>
      </c>
      <c r="C4" s="369"/>
      <c r="D4" s="369"/>
      <c r="E4" s="369"/>
      <c r="F4" s="369"/>
      <c r="G4" s="5">
        <v>784601462</v>
      </c>
      <c r="H4" s="6">
        <f>IFERROR(G4/H7,0)</f>
        <v>893.82408353582753</v>
      </c>
      <c r="I4" s="370"/>
      <c r="J4" s="370"/>
      <c r="K4" s="370"/>
      <c r="L4" s="370"/>
      <c r="M4" s="370"/>
      <c r="N4" s="370"/>
      <c r="O4" s="371"/>
    </row>
    <row r="5" spans="1:20" ht="29.25" customHeight="1" x14ac:dyDescent="0.2">
      <c r="A5" s="7"/>
      <c r="B5" s="376" t="s">
        <v>6</v>
      </c>
      <c r="C5" s="376"/>
      <c r="D5" s="376"/>
      <c r="E5" s="376"/>
      <c r="F5" s="376"/>
      <c r="G5" s="8">
        <v>6</v>
      </c>
      <c r="H5" s="9"/>
      <c r="I5" s="372"/>
      <c r="J5" s="372"/>
      <c r="K5" s="372"/>
      <c r="L5" s="372"/>
      <c r="M5" s="372"/>
      <c r="N5" s="372"/>
      <c r="O5" s="373"/>
    </row>
    <row r="6" spans="1:20" ht="32.25" customHeight="1" thickBot="1" x14ac:dyDescent="0.25">
      <c r="A6" s="7"/>
      <c r="B6" s="10">
        <v>2</v>
      </c>
      <c r="C6" s="376" t="s">
        <v>7</v>
      </c>
      <c r="D6" s="376"/>
      <c r="E6" s="376"/>
      <c r="F6" s="376"/>
      <c r="G6" s="11">
        <f>IFERROR($B$6*($G$4/$G$5),"")</f>
        <v>261533820.66666666</v>
      </c>
      <c r="H6" s="12">
        <f>IFERROR($G$6/$H$7,0)</f>
        <v>297.94136117860916</v>
      </c>
      <c r="I6" s="372"/>
      <c r="J6" s="372"/>
      <c r="K6" s="372"/>
      <c r="L6" s="372"/>
      <c r="M6" s="372"/>
      <c r="N6" s="372"/>
      <c r="O6" s="373"/>
    </row>
    <row r="7" spans="1:20" ht="63" customHeight="1" thickBot="1" x14ac:dyDescent="0.25">
      <c r="A7" s="13"/>
      <c r="B7" s="377" t="s">
        <v>8</v>
      </c>
      <c r="C7" s="377"/>
      <c r="D7" s="352">
        <v>81101500</v>
      </c>
      <c r="E7" s="352"/>
      <c r="F7" s="352"/>
      <c r="G7" s="14" t="s">
        <v>3</v>
      </c>
      <c r="H7" s="15">
        <v>877803</v>
      </c>
      <c r="I7" s="374"/>
      <c r="J7" s="374"/>
      <c r="K7" s="374"/>
      <c r="L7" s="374"/>
      <c r="M7" s="374"/>
      <c r="N7" s="374"/>
      <c r="O7" s="375"/>
      <c r="Q7" s="16" t="s">
        <v>9</v>
      </c>
      <c r="R7" s="17">
        <v>1</v>
      </c>
      <c r="S7" s="18">
        <v>1</v>
      </c>
    </row>
    <row r="8" spans="1:20" ht="12" thickBot="1" x14ac:dyDescent="0.25">
      <c r="B8" s="19"/>
      <c r="O8" s="21"/>
      <c r="Q8" s="22"/>
    </row>
    <row r="9" spans="1:20" ht="36.75" customHeight="1" thickBot="1" x14ac:dyDescent="0.25">
      <c r="B9" s="23">
        <f>1</f>
        <v>1</v>
      </c>
      <c r="C9" s="336" t="s">
        <v>884</v>
      </c>
      <c r="D9" s="337"/>
      <c r="E9" s="337"/>
      <c r="F9" s="337"/>
      <c r="G9" s="337"/>
      <c r="H9" s="337"/>
      <c r="I9" s="338"/>
      <c r="J9" s="24" t="str">
        <f>+IF(C9="","","INTEGRANTES")</f>
        <v>INTEGRANTES</v>
      </c>
      <c r="K9" s="339" t="s">
        <v>885</v>
      </c>
      <c r="L9" s="339"/>
      <c r="M9" s="339"/>
      <c r="N9" s="25">
        <f>+B9</f>
        <v>1</v>
      </c>
      <c r="O9" s="323" t="str">
        <f ca="1">+$O$9</f>
        <v>OBSERVACIONES</v>
      </c>
      <c r="Q9" s="325" t="str">
        <f ca="1">+$Q$9</f>
        <v>¿EL CONTRATO CUMPLE CON LOS REQUERIMIENTOS ADICIONALES DE EXPERIENCIA  EN EL PLIEGO?
 (INSCRIPCIÓN EN RUP - CÓDIGO UNSPSC - VALOR EN RUP - % DE PARTICIPACIÓN)
(SI / NO)</v>
      </c>
      <c r="S9" s="328" t="str">
        <f ca="1">+$S$9</f>
        <v>PROPONENTE HÁBIL/NO HÁBIL</v>
      </c>
    </row>
    <row r="10" spans="1:20" ht="42" customHeight="1" x14ac:dyDescent="0.2">
      <c r="B10" s="331" t="str">
        <f ca="1">+$B$10</f>
        <v>ITEM</v>
      </c>
      <c r="C10" s="318" t="str">
        <f ca="1">+$C$10</f>
        <v>PROPONENTE 
/ 
INTEGRANTE OFERENTE PLURAL</v>
      </c>
      <c r="D10" s="333" t="str">
        <f ca="1">+$D$10</f>
        <v>INFORMACIÓN DEL CONTRATO</v>
      </c>
      <c r="E10" s="334"/>
      <c r="F10" s="334"/>
      <c r="G10" s="335"/>
      <c r="H10" s="318" t="s">
        <v>10</v>
      </c>
      <c r="I10" s="318" t="str">
        <f ca="1">+$I$10</f>
        <v>¿SE ENCUENTRA INSCRITO EN EL RUP Y CUMPLE CÓDIGOS UNSPSC?</v>
      </c>
      <c r="J10" s="318" t="str">
        <f ca="1">+$J$10</f>
        <v xml:space="preserve">VALOR EN RUP (SMMLV) </v>
      </c>
      <c r="K10" s="318" t="str">
        <f ca="1">+$K$10</f>
        <v>% PARTIC en el RUP</v>
      </c>
      <c r="L10" s="318" t="str">
        <f ca="1">+$L$10</f>
        <v>VALOR DEL CONTRATO TERMINADO (SMMLV) en el   RUP</v>
      </c>
      <c r="M10" s="318" t="str">
        <f ca="1">+$M$10</f>
        <v>VALOR CERTIFICADO CONTRATO &gt; VEH</v>
      </c>
      <c r="N10" s="318" t="str">
        <f ca="1">+$N$10</f>
        <v>VALIDACIÓN DE OBJETO Y/O ALCANCE
(SI/NO)
(INTERVENTORIA DE OBRA CIVIL)</v>
      </c>
      <c r="O10" s="324"/>
      <c r="Q10" s="326"/>
      <c r="S10" s="329">
        <f ca="1">+$S$10</f>
        <v>0</v>
      </c>
    </row>
    <row r="11" spans="1:20" ht="38.25" customHeight="1" thickBot="1" x14ac:dyDescent="0.25">
      <c r="B11" s="332"/>
      <c r="C11" s="319"/>
      <c r="D11" s="26" t="str">
        <f ca="1">+$D$11</f>
        <v>ENTIDAD</v>
      </c>
      <c r="E11" s="26" t="str">
        <f ca="1">+$E$11</f>
        <v>No. DE CONTRATO</v>
      </c>
      <c r="F11" s="26" t="str">
        <f ca="1">+$F$11</f>
        <v>OBJETO</v>
      </c>
      <c r="G11" s="26" t="str">
        <f ca="1">+$G$11</f>
        <v>CONTRATISTA</v>
      </c>
      <c r="H11" s="319"/>
      <c r="I11" s="319"/>
      <c r="J11" s="319"/>
      <c r="K11" s="319"/>
      <c r="L11" s="319"/>
      <c r="M11" s="319"/>
      <c r="N11" s="319"/>
      <c r="O11" s="324"/>
      <c r="Q11" s="327"/>
      <c r="S11" s="330"/>
    </row>
    <row r="12" spans="1:20" s="27" customFormat="1" ht="39.75" customHeight="1" x14ac:dyDescent="0.2">
      <c r="B12" s="28">
        <v>1</v>
      </c>
      <c r="C12" s="29" t="s">
        <v>11</v>
      </c>
      <c r="D12" s="343" t="s">
        <v>12</v>
      </c>
      <c r="E12" s="345" t="s">
        <v>13</v>
      </c>
      <c r="F12" s="345" t="s">
        <v>14</v>
      </c>
      <c r="G12" s="343" t="s">
        <v>15</v>
      </c>
      <c r="H12" s="30">
        <v>42</v>
      </c>
      <c r="I12" s="31" t="s">
        <v>16</v>
      </c>
      <c r="J12" s="32">
        <v>1290.77</v>
      </c>
      <c r="K12" s="33">
        <v>0.5</v>
      </c>
      <c r="L12" s="34">
        <f>IF(OR(H12="",I12&lt;&gt;"SI",I12="NO",J12="",J12=0,K12="",K12=0,Q12&lt;&gt;"SI",N12&lt;&gt;"SI"),0,J12*K12)</f>
        <v>645.38499999999999</v>
      </c>
      <c r="M12" s="34" t="str">
        <f>+IF(C12&lt;&gt;"",IF(L12&gt;=$H$6,"SI","NO"),"")</f>
        <v>SI</v>
      </c>
      <c r="N12" s="35" t="s">
        <v>16</v>
      </c>
      <c r="O12" s="36"/>
      <c r="Q12" s="37" t="str">
        <f>+IF(C12="","",IF(AND(H12&lt;&gt;"",I12="SI",J12&lt;&gt;"",J12&gt;0,K12&lt;&gt;"",K12&gt;0),"SI","NO"))</f>
        <v>SI</v>
      </c>
      <c r="S12" s="37" t="str">
        <f>+IF(C12&lt;&gt;"",IF(AND(M12="SI",N12="SI",Q12="SI"),"HÁBIL","NO HÁBIL"),"")</f>
        <v>HÁBIL</v>
      </c>
    </row>
    <row r="13" spans="1:20" s="27" customFormat="1" ht="36" customHeight="1" x14ac:dyDescent="0.2">
      <c r="B13" s="38">
        <v>1</v>
      </c>
      <c r="C13" s="39" t="s">
        <v>17</v>
      </c>
      <c r="D13" s="344"/>
      <c r="E13" s="346"/>
      <c r="F13" s="346"/>
      <c r="G13" s="344"/>
      <c r="H13" s="40">
        <v>2</v>
      </c>
      <c r="I13" s="41" t="s">
        <v>16</v>
      </c>
      <c r="J13" s="42">
        <v>1290.77</v>
      </c>
      <c r="K13" s="43">
        <v>0.5</v>
      </c>
      <c r="L13" s="44">
        <f t="shared" ref="L13:L15" si="0">IF(OR(H13="",I13&lt;&gt;"SI",I13="NO",J13="",J13=0,K13="",K13=0,Q13&lt;&gt;"SI",N13&lt;&gt;"SI"),0,J13*K13)</f>
        <v>645.38499999999999</v>
      </c>
      <c r="M13" s="44" t="str">
        <f>+IF(C13&lt;&gt;"",IF(L13&gt;=$H$6,"SI","NO"),"")</f>
        <v>SI</v>
      </c>
      <c r="N13" s="41" t="s">
        <v>16</v>
      </c>
      <c r="O13" s="45"/>
      <c r="Q13" s="37" t="str">
        <f>+IF(C13="","",IF(AND(H13&lt;&gt;"",I13="SI",J13&lt;&gt;"",J13&gt;0,K13&lt;&gt;"",K13&gt;0),"SI","NO"))</f>
        <v>SI</v>
      </c>
      <c r="S13" s="37" t="str">
        <f>+IF(C13&lt;&gt;"",IF(AND(M13="SI",N13="SI",Q13="SI"),"HÁBIL","NO HÁBIL"),"")</f>
        <v>HÁBIL</v>
      </c>
    </row>
    <row r="14" spans="1:20" s="27" customFormat="1" ht="12.75" x14ac:dyDescent="0.2">
      <c r="B14" s="38"/>
      <c r="C14" s="39"/>
      <c r="D14" s="39"/>
      <c r="E14" s="46"/>
      <c r="F14" s="46"/>
      <c r="G14" s="39"/>
      <c r="H14" s="40"/>
      <c r="I14" s="41"/>
      <c r="J14" s="42"/>
      <c r="K14" s="43"/>
      <c r="L14" s="44">
        <f t="shared" si="0"/>
        <v>0</v>
      </c>
      <c r="M14" s="44" t="str">
        <f>+IF(C14&lt;&gt;"",IF(L14&gt;=$H$6,"SI","NO"),"")</f>
        <v/>
      </c>
      <c r="N14" s="41"/>
      <c r="O14" s="45"/>
      <c r="Q14" s="37" t="str">
        <f>+IF(C14="","",IF(AND(H14&lt;&gt;"",I14="SI",J14&lt;&gt;"",J14&gt;0,K14&lt;&gt;"",K14&gt;0),"SI","NO"))</f>
        <v/>
      </c>
      <c r="S14" s="37" t="str">
        <f>+IF(C14&lt;&gt;"",IF(AND(M14="SI",N14="SI",Q14="SI"),"HÁBIL","NO HÁBIL"),"")</f>
        <v/>
      </c>
    </row>
    <row r="15" spans="1:20" s="27" customFormat="1" ht="13.5" thickBot="1" x14ac:dyDescent="0.25">
      <c r="B15" s="47"/>
      <c r="C15" s="48"/>
      <c r="D15" s="48"/>
      <c r="E15" s="49"/>
      <c r="F15" s="49"/>
      <c r="G15" s="48"/>
      <c r="H15" s="50"/>
      <c r="I15" s="51"/>
      <c r="J15" s="14"/>
      <c r="K15" s="52"/>
      <c r="L15" s="53">
        <f t="shared" si="0"/>
        <v>0</v>
      </c>
      <c r="M15" s="53" t="str">
        <f>+IF(C15&lt;&gt;"",IF(L15&gt;=$H$6,"SI","NO"),"")</f>
        <v/>
      </c>
      <c r="N15" s="51"/>
      <c r="O15" s="54"/>
      <c r="Q15" s="55" t="str">
        <f>+IF(C15="","",IF(AND(H15&lt;&gt;"",I15="SI",J15&lt;&gt;"",J15&gt;0,K15&lt;&gt;"",K15&gt;0),"SI","NO"))</f>
        <v/>
      </c>
      <c r="S15" s="55" t="str">
        <f>+IF(C15&lt;&gt;"",IF(AND(M15="SI",N15="SI",Q15="SI"),"HÁBIL","NO HÁBIL"),"")</f>
        <v/>
      </c>
    </row>
    <row r="16" spans="1:20" ht="21" customHeight="1" thickBot="1" x14ac:dyDescent="0.25">
      <c r="A16" s="56">
        <f>+$B9</f>
        <v>1</v>
      </c>
      <c r="B16" s="57" t="str">
        <f>"A"&amp;B9</f>
        <v>A1</v>
      </c>
      <c r="C16" s="340" t="s">
        <v>18</v>
      </c>
      <c r="D16" s="341"/>
      <c r="E16" s="341"/>
      <c r="F16" s="341"/>
      <c r="G16" s="341"/>
      <c r="H16" s="342"/>
      <c r="I16" s="58" t="str">
        <f>IF(S12="","",IF(OR(S12="HÁBIL",S13="HÁBIL",S14="HÁBIL",S15="HÁBIL"),"HÁBIL","NO HÁBIL"))</f>
        <v>HÁBIL</v>
      </c>
      <c r="J16" s="59"/>
      <c r="K16" s="27"/>
      <c r="L16" s="27"/>
      <c r="M16" s="27"/>
      <c r="N16" s="60"/>
      <c r="O16" s="1"/>
      <c r="P16" s="61"/>
      <c r="Q16" s="61"/>
      <c r="R16" s="61"/>
      <c r="S16" s="61"/>
      <c r="T16" s="61"/>
    </row>
    <row r="17" spans="1:20" ht="9.75" customHeight="1" thickBot="1" x14ac:dyDescent="0.25">
      <c r="O17" s="21"/>
    </row>
    <row r="18" spans="1:20" ht="36.75" customHeight="1" thickBot="1" x14ac:dyDescent="0.25">
      <c r="B18" s="23">
        <f>1+B9</f>
        <v>2</v>
      </c>
      <c r="C18" s="336" t="s">
        <v>886</v>
      </c>
      <c r="D18" s="337"/>
      <c r="E18" s="337"/>
      <c r="F18" s="337"/>
      <c r="G18" s="337"/>
      <c r="H18" s="337"/>
      <c r="I18" s="338"/>
      <c r="J18" s="24" t="str">
        <f>+IF(C18="","",$J$9)</f>
        <v>INTEGRANTES</v>
      </c>
      <c r="K18" s="339" t="s">
        <v>887</v>
      </c>
      <c r="L18" s="339"/>
      <c r="M18" s="339"/>
      <c r="N18" s="25">
        <f>+B18</f>
        <v>2</v>
      </c>
      <c r="O18" s="323" t="str">
        <f ca="1">+$O$9</f>
        <v>OBSERVACIONES</v>
      </c>
      <c r="Q18" s="325" t="str">
        <f ca="1">+$Q$9</f>
        <v>¿EL CONTRATO CUMPLE CON LOS REQUERIMIENTOS ADICIONALES DE EXPERIENCIA  EN EL PLIEGO?
 (INSCRIPCIÓN EN RUP - CÓDIGO UNSPSC - VALOR EN RUP - % DE PARTICIPACIÓN)
(SI / NO)</v>
      </c>
      <c r="S18" s="328" t="str">
        <f ca="1">+$S$9</f>
        <v>PROPONENTE HÁBIL/NO HÁBIL</v>
      </c>
    </row>
    <row r="19" spans="1:20" ht="42" customHeight="1" x14ac:dyDescent="0.2">
      <c r="B19" s="331" t="str">
        <f ca="1">+$B$10</f>
        <v>ITEM</v>
      </c>
      <c r="C19" s="318" t="str">
        <f ca="1">+$C$10</f>
        <v>PROPONENTE 
/ 
INTEGRANTE OFERENTE PLURAL</v>
      </c>
      <c r="D19" s="333" t="str">
        <f ca="1">+$D$10</f>
        <v>INFORMACIÓN DEL CONTRATO</v>
      </c>
      <c r="E19" s="334"/>
      <c r="F19" s="334"/>
      <c r="G19" s="335"/>
      <c r="H19" s="318" t="str">
        <f>+H10</f>
        <v>CONSECUTIVO RUP</v>
      </c>
      <c r="I19" s="318" t="str">
        <f ca="1">+$I$10</f>
        <v>¿SE ENCUENTRA INSCRITO EN EL RUP Y CUMPLE CÓDIGOS UNSPSC?</v>
      </c>
      <c r="J19" s="318" t="str">
        <f ca="1">+$J$10</f>
        <v xml:space="preserve">VALOR EN RUP (SMMLV) </v>
      </c>
      <c r="K19" s="318" t="str">
        <f ca="1">+$K$10</f>
        <v>% PARTIC en el RUP</v>
      </c>
      <c r="L19" s="318" t="str">
        <f ca="1">+$L$10</f>
        <v>VALOR DEL CONTRATO TERMINADO (SMMLV) en el   RUP</v>
      </c>
      <c r="M19" s="318" t="str">
        <f ca="1">+$M$10</f>
        <v>VALOR CERTIFICADO CONTRATO &gt; VEH</v>
      </c>
      <c r="N19" s="318" t="str">
        <f ca="1">+$N$10</f>
        <v>VALIDACIÓN DE OBJETO Y/O ALCANCE
(SI/NO)
(INTERVENTORIA DE OBRA CIVIL)</v>
      </c>
      <c r="O19" s="324"/>
      <c r="Q19" s="326"/>
      <c r="S19" s="329">
        <f ca="1">+$S$10</f>
        <v>0</v>
      </c>
    </row>
    <row r="20" spans="1:20" ht="38.25" customHeight="1" thickBot="1" x14ac:dyDescent="0.25">
      <c r="B20" s="332"/>
      <c r="C20" s="319"/>
      <c r="D20" s="26" t="str">
        <f ca="1">+$D$11</f>
        <v>ENTIDAD</v>
      </c>
      <c r="E20" s="26" t="str">
        <f ca="1">+$E$11</f>
        <v>No. DE CONTRATO</v>
      </c>
      <c r="F20" s="26" t="str">
        <f ca="1">+$F$11</f>
        <v>OBJETO</v>
      </c>
      <c r="G20" s="26" t="str">
        <f ca="1">+$G$11</f>
        <v>CONTRATISTA</v>
      </c>
      <c r="H20" s="319"/>
      <c r="I20" s="319"/>
      <c r="J20" s="319"/>
      <c r="K20" s="319"/>
      <c r="L20" s="319"/>
      <c r="M20" s="319"/>
      <c r="N20" s="319"/>
      <c r="O20" s="324"/>
      <c r="Q20" s="327"/>
      <c r="S20" s="330"/>
    </row>
    <row r="21" spans="1:20" s="27" customFormat="1" ht="72" customHeight="1" x14ac:dyDescent="0.2">
      <c r="B21" s="28">
        <v>1</v>
      </c>
      <c r="C21" s="62" t="s">
        <v>19</v>
      </c>
      <c r="D21" s="62" t="s">
        <v>20</v>
      </c>
      <c r="E21" s="63" t="s">
        <v>21</v>
      </c>
      <c r="F21" s="63" t="s">
        <v>22</v>
      </c>
      <c r="G21" s="62" t="s">
        <v>23</v>
      </c>
      <c r="H21" s="64">
        <v>20</v>
      </c>
      <c r="I21" s="65" t="s">
        <v>16</v>
      </c>
      <c r="J21" s="66">
        <v>1582.07</v>
      </c>
      <c r="K21" s="67">
        <v>1</v>
      </c>
      <c r="L21" s="34">
        <f>IF(OR(H21="",I21&lt;&gt;"SI",I21="NO",J21="",J21=0,K21="",K21=0,Q21&lt;&gt;"SI",N21&lt;&gt;"SI"),0,J21*K21)</f>
        <v>1582.07</v>
      </c>
      <c r="M21" s="34" t="str">
        <f>+IF(C21&lt;&gt;"",IF(L21&gt;=$H$6,"SI","NO"),"")</f>
        <v>SI</v>
      </c>
      <c r="N21" s="68" t="s">
        <v>16</v>
      </c>
      <c r="O21" s="36"/>
      <c r="Q21" s="37" t="str">
        <f>+IF(C21="","",IF(AND(H21&lt;&gt;"",I21="SI",J21&lt;&gt;"",J21&gt;0,K21&lt;&gt;"",K21&gt;0),"SI","NO"))</f>
        <v>SI</v>
      </c>
      <c r="S21" s="37" t="str">
        <f>+IF(C21&lt;&gt;"",IF(AND(M21="SI",N21="SI",Q21="SI"),"HÁBIL","NO HÁBIL"),"")</f>
        <v>HÁBIL</v>
      </c>
    </row>
    <row r="22" spans="1:20" s="27" customFormat="1" ht="12.75" x14ac:dyDescent="0.2">
      <c r="B22" s="38"/>
      <c r="C22" s="69"/>
      <c r="D22" s="69"/>
      <c r="E22" s="70"/>
      <c r="F22" s="70"/>
      <c r="G22" s="69"/>
      <c r="H22" s="71"/>
      <c r="I22" s="72"/>
      <c r="J22" s="73"/>
      <c r="K22" s="74"/>
      <c r="L22" s="44">
        <f t="shared" ref="L22:L24" si="1">IF(OR(H22="",I22&lt;&gt;"SI",I22="NO",J22="",J22=0,K22="",K22=0,Q22&lt;&gt;"SI",N22&lt;&gt;"SI"),0,J22*K22)</f>
        <v>0</v>
      </c>
      <c r="M22" s="75" t="str">
        <f>+IF(C22&lt;&gt;"",IF(L22&gt;=$H$6,"SI","NO"),"")</f>
        <v/>
      </c>
      <c r="N22" s="72"/>
      <c r="O22" s="45"/>
      <c r="Q22" s="37" t="str">
        <f>+IF(C22="","",IF(AND(H22&lt;&gt;"",I22="SI",J22&lt;&gt;"",J22&gt;0,K22&lt;&gt;"",K22&gt;0),"SI","NO"))</f>
        <v/>
      </c>
      <c r="S22" s="37" t="str">
        <f>+IF(C22&lt;&gt;"",IF(AND(M22="SI",N22="SI",Q22="SI"),"HÁBIL","NO HÁBIL"),"")</f>
        <v/>
      </c>
    </row>
    <row r="23" spans="1:20" s="27" customFormat="1" ht="12.75" x14ac:dyDescent="0.2">
      <c r="B23" s="38"/>
      <c r="C23" s="69"/>
      <c r="D23" s="69"/>
      <c r="E23" s="70"/>
      <c r="F23" s="70"/>
      <c r="G23" s="69"/>
      <c r="H23" s="71"/>
      <c r="I23" s="72"/>
      <c r="J23" s="73"/>
      <c r="K23" s="74"/>
      <c r="L23" s="44">
        <f t="shared" si="1"/>
        <v>0</v>
      </c>
      <c r="M23" s="75" t="str">
        <f>+IF(C23&lt;&gt;"",IF(L23&gt;=$H$6,"SI","NO"),"")</f>
        <v/>
      </c>
      <c r="N23" s="72"/>
      <c r="O23" s="45"/>
      <c r="Q23" s="37" t="str">
        <f>+IF(C23="","",IF(AND(H23&lt;&gt;"",I23="SI",J23&lt;&gt;"",J23&gt;0,K23&lt;&gt;"",K23&gt;0),"SI","NO"))</f>
        <v/>
      </c>
      <c r="S23" s="37" t="str">
        <f>+IF(C23&lt;&gt;"",IF(AND(M23="SI",N23="SI",Q23="SI"),"HÁBIL","NO HÁBIL"),"")</f>
        <v/>
      </c>
    </row>
    <row r="24" spans="1:20" s="27" customFormat="1" ht="13.5" thickBot="1" x14ac:dyDescent="0.25">
      <c r="B24" s="47"/>
      <c r="C24" s="76"/>
      <c r="D24" s="76"/>
      <c r="E24" s="77"/>
      <c r="F24" s="77"/>
      <c r="G24" s="76"/>
      <c r="H24" s="78"/>
      <c r="I24" s="79"/>
      <c r="J24" s="80"/>
      <c r="K24" s="81"/>
      <c r="L24" s="53">
        <f t="shared" si="1"/>
        <v>0</v>
      </c>
      <c r="M24" s="82" t="str">
        <f>+IF(C24&lt;&gt;"",IF(L24&gt;=$H$6,"SI","NO"),"")</f>
        <v/>
      </c>
      <c r="N24" s="79"/>
      <c r="O24" s="54"/>
      <c r="Q24" s="55" t="str">
        <f>+IF(C24="","",IF(AND(H24&lt;&gt;"",I24="SI",J24&lt;&gt;"",J24&gt;0,K24&lt;&gt;"",K24&gt;0),"SI","NO"))</f>
        <v/>
      </c>
      <c r="S24" s="55" t="str">
        <f>+IF(C24&lt;&gt;"",IF(AND(M24="SI",N24="SI",Q24="SI"),"HÁBIL","NO HÁBIL"),"")</f>
        <v/>
      </c>
    </row>
    <row r="25" spans="1:20" ht="21" customHeight="1" thickBot="1" x14ac:dyDescent="0.25">
      <c r="A25" s="56">
        <f>+$B18</f>
        <v>2</v>
      </c>
      <c r="B25" s="57" t="str">
        <f>"A"&amp;B18</f>
        <v>A2</v>
      </c>
      <c r="C25" s="349" t="str">
        <f>+$C$16</f>
        <v>PROPONENTE HÁBIL / NO HÁBIL</v>
      </c>
      <c r="D25" s="350"/>
      <c r="E25" s="350"/>
      <c r="F25" s="350"/>
      <c r="G25" s="350"/>
      <c r="H25" s="351"/>
      <c r="I25" s="83" t="str">
        <f>IF(S21="","",IF(OR(S21="HÁBIL",S22="HÁBIL",S23="HÁBIL",S24="HÁBIL"),"HÁBIL","NO HÁBIL"))</f>
        <v>HÁBIL</v>
      </c>
      <c r="J25" s="59"/>
      <c r="K25" s="27"/>
      <c r="L25" s="27"/>
      <c r="M25" s="27"/>
      <c r="N25" s="60"/>
      <c r="O25" s="1"/>
      <c r="P25" s="61"/>
      <c r="Q25" s="61"/>
      <c r="R25" s="61"/>
      <c r="S25" s="61"/>
      <c r="T25" s="61"/>
    </row>
    <row r="26" spans="1:20" ht="9.75" customHeight="1" thickBot="1" x14ac:dyDescent="0.25">
      <c r="M26" s="84"/>
      <c r="O26" s="21"/>
    </row>
    <row r="27" spans="1:20" ht="50.25" customHeight="1" thickBot="1" x14ac:dyDescent="0.25">
      <c r="B27" s="23">
        <f>1+B18</f>
        <v>3</v>
      </c>
      <c r="C27" s="336" t="s">
        <v>888</v>
      </c>
      <c r="D27" s="337"/>
      <c r="E27" s="337"/>
      <c r="F27" s="337"/>
      <c r="G27" s="337"/>
      <c r="H27" s="337"/>
      <c r="I27" s="338"/>
      <c r="J27" s="24" t="str">
        <f>+IF(C27="","",$J$9)</f>
        <v>INTEGRANTES</v>
      </c>
      <c r="K27" s="339" t="s">
        <v>889</v>
      </c>
      <c r="L27" s="339"/>
      <c r="M27" s="339"/>
      <c r="N27" s="25">
        <f>+B27</f>
        <v>3</v>
      </c>
      <c r="O27" s="323" t="str">
        <f ca="1">+$O$9</f>
        <v>OBSERVACIONES</v>
      </c>
      <c r="Q27" s="325" t="str">
        <f ca="1">+$Q$9</f>
        <v>¿EL CONTRATO CUMPLE CON LOS REQUERIMIENTOS ADICIONALES DE EXPERIENCIA  EN EL PLIEGO?
 (INSCRIPCIÓN EN RUP - CÓDIGO UNSPSC - VALOR EN RUP - % DE PARTICIPACIÓN)
(SI / NO)</v>
      </c>
      <c r="S27" s="328" t="str">
        <f ca="1">+$S$9</f>
        <v>PROPONENTE HÁBIL/NO HÁBIL</v>
      </c>
    </row>
    <row r="28" spans="1:20" ht="42" customHeight="1" x14ac:dyDescent="0.2">
      <c r="B28" s="331" t="str">
        <f ca="1">+$B$10</f>
        <v>ITEM</v>
      </c>
      <c r="C28" s="318" t="str">
        <f ca="1">+$C$10</f>
        <v>PROPONENTE 
/ 
INTEGRANTE OFERENTE PLURAL</v>
      </c>
      <c r="D28" s="333" t="str">
        <f ca="1">+$D$10</f>
        <v>INFORMACIÓN DEL CONTRATO</v>
      </c>
      <c r="E28" s="334"/>
      <c r="F28" s="334"/>
      <c r="G28" s="335"/>
      <c r="H28" s="318" t="str">
        <f>+H19</f>
        <v>CONSECUTIVO RUP</v>
      </c>
      <c r="I28" s="318" t="str">
        <f ca="1">+$I$10</f>
        <v>¿SE ENCUENTRA INSCRITO EN EL RUP Y CUMPLE CÓDIGOS UNSPSC?</v>
      </c>
      <c r="J28" s="318" t="str">
        <f ca="1">+$J$10</f>
        <v xml:space="preserve">VALOR EN RUP (SMMLV) </v>
      </c>
      <c r="K28" s="318" t="str">
        <f ca="1">+$K$10</f>
        <v>% PARTIC en el RUP</v>
      </c>
      <c r="L28" s="318" t="str">
        <f ca="1">+$L$10</f>
        <v>VALOR DEL CONTRATO TERMINADO (SMMLV) en el   RUP</v>
      </c>
      <c r="M28" s="318" t="str">
        <f ca="1">+$M$10</f>
        <v>VALOR CERTIFICADO CONTRATO &gt; VEH</v>
      </c>
      <c r="N28" s="318" t="str">
        <f ca="1">+$N$10</f>
        <v>VALIDACIÓN DE OBJETO Y/O ALCANCE
(SI/NO)
(INTERVENTORIA DE OBRA CIVIL)</v>
      </c>
      <c r="O28" s="324"/>
      <c r="Q28" s="326"/>
      <c r="S28" s="329">
        <f ca="1">+$S$10</f>
        <v>0</v>
      </c>
    </row>
    <row r="29" spans="1:20" ht="38.25" customHeight="1" thickBot="1" x14ac:dyDescent="0.25">
      <c r="B29" s="332"/>
      <c r="C29" s="319"/>
      <c r="D29" s="26" t="str">
        <f ca="1">+$D$11</f>
        <v>ENTIDAD</v>
      </c>
      <c r="E29" s="26" t="str">
        <f ca="1">+$E$11</f>
        <v>No. DE CONTRATO</v>
      </c>
      <c r="F29" s="26" t="str">
        <f ca="1">+$F$11</f>
        <v>OBJETO</v>
      </c>
      <c r="G29" s="26" t="str">
        <f ca="1">+$G$11</f>
        <v>CONTRATISTA</v>
      </c>
      <c r="H29" s="319"/>
      <c r="I29" s="319"/>
      <c r="J29" s="319"/>
      <c r="K29" s="319"/>
      <c r="L29" s="319"/>
      <c r="M29" s="319"/>
      <c r="N29" s="319"/>
      <c r="O29" s="347"/>
      <c r="Q29" s="327"/>
      <c r="S29" s="330"/>
    </row>
    <row r="30" spans="1:20" s="27" customFormat="1" ht="72" customHeight="1" x14ac:dyDescent="0.2">
      <c r="B30" s="28">
        <v>1</v>
      </c>
      <c r="C30" s="62" t="s">
        <v>24</v>
      </c>
      <c r="D30" s="62" t="s">
        <v>25</v>
      </c>
      <c r="E30" s="63" t="s">
        <v>26</v>
      </c>
      <c r="F30" s="63" t="s">
        <v>27</v>
      </c>
      <c r="G30" s="62" t="s">
        <v>28</v>
      </c>
      <c r="H30" s="64">
        <v>11</v>
      </c>
      <c r="I30" s="65" t="s">
        <v>16</v>
      </c>
      <c r="J30" s="66">
        <v>2707.75</v>
      </c>
      <c r="K30" s="67">
        <v>0.8</v>
      </c>
      <c r="L30" s="34">
        <f>IF(OR(H30="",I30&lt;&gt;"SI",I30="NO",J30="",J30=0,K30="",K30=0,Q30&lt;&gt;"SI",N30&lt;&gt;"SI"),0,J30*K30)</f>
        <v>2166.2000000000003</v>
      </c>
      <c r="M30" s="34" t="str">
        <f>+IF(C30&lt;&gt;"",IF(L30&gt;=$H$6,"SI","NO"),"")</f>
        <v>SI</v>
      </c>
      <c r="N30" s="68" t="s">
        <v>16</v>
      </c>
      <c r="O30" s="36"/>
      <c r="Q30" s="37" t="str">
        <f>+IF(C30="","",IF(AND(H30&lt;&gt;"",I30="SI",J30&lt;&gt;"",J30&gt;0,K30&lt;&gt;"",K30&gt;0),"SI","NO"))</f>
        <v>SI</v>
      </c>
      <c r="S30" s="37" t="str">
        <f>+IF(C30&lt;&gt;"",IF(AND(M30="SI",N30="SI",Q30="SI"),"HÁBIL","NO HÁBIL"),"")</f>
        <v>HÁBIL</v>
      </c>
    </row>
    <row r="31" spans="1:20" s="27" customFormat="1" ht="12.75" x14ac:dyDescent="0.2">
      <c r="B31" s="38"/>
      <c r="C31" s="69"/>
      <c r="D31" s="69"/>
      <c r="E31" s="70"/>
      <c r="F31" s="70"/>
      <c r="G31" s="69"/>
      <c r="H31" s="71"/>
      <c r="I31" s="72"/>
      <c r="J31" s="73"/>
      <c r="K31" s="74"/>
      <c r="L31" s="44">
        <f t="shared" ref="L31:L33" si="2">IF(OR(H31="",I31&lt;&gt;"SI",I31="NO",J31="",J31=0,K31="",K31=0,Q31&lt;&gt;"SI",N31&lt;&gt;"SI"),0,J31*K31)</f>
        <v>0</v>
      </c>
      <c r="M31" s="75" t="str">
        <f>+IF(C31&lt;&gt;"",IF(L31&gt;=$H$6,"SI","NO"),"")</f>
        <v/>
      </c>
      <c r="N31" s="72"/>
      <c r="O31" s="45"/>
      <c r="Q31" s="37" t="str">
        <f>+IF(C31="","",IF(AND(H31&lt;&gt;"",I31="SI",J31&lt;&gt;"",J31&gt;0,K31&lt;&gt;"",K31&gt;0),"SI","NO"))</f>
        <v/>
      </c>
      <c r="S31" s="37" t="str">
        <f>+IF(C31&lt;&gt;"",IF(AND(M31="SI",N31="SI",Q31="SI"),"HÁBIL","NO HÁBIL"),"")</f>
        <v/>
      </c>
    </row>
    <row r="32" spans="1:20" s="27" customFormat="1" ht="12.75" x14ac:dyDescent="0.2">
      <c r="B32" s="38"/>
      <c r="C32" s="69"/>
      <c r="D32" s="69"/>
      <c r="E32" s="70"/>
      <c r="F32" s="70"/>
      <c r="G32" s="69"/>
      <c r="H32" s="71"/>
      <c r="I32" s="72"/>
      <c r="J32" s="73"/>
      <c r="K32" s="74"/>
      <c r="L32" s="44">
        <f t="shared" si="2"/>
        <v>0</v>
      </c>
      <c r="M32" s="75" t="str">
        <f>+IF(C32&lt;&gt;"",IF(L32&gt;=$H$6,"SI","NO"),"")</f>
        <v/>
      </c>
      <c r="N32" s="72"/>
      <c r="O32" s="45"/>
      <c r="Q32" s="37" t="str">
        <f>+IF(C32="","",IF(AND(H32&lt;&gt;"",I32="SI",J32&lt;&gt;"",J32&gt;0,K32&lt;&gt;"",K32&gt;0),"SI","NO"))</f>
        <v/>
      </c>
      <c r="S32" s="37" t="str">
        <f>+IF(C32&lt;&gt;"",IF(AND(M32="SI",N32="SI",Q32="SI"),"HÁBIL","NO HÁBIL"),"")</f>
        <v/>
      </c>
    </row>
    <row r="33" spans="1:20" s="27" customFormat="1" ht="13.5" thickBot="1" x14ac:dyDescent="0.25">
      <c r="B33" s="47"/>
      <c r="C33" s="76"/>
      <c r="D33" s="76"/>
      <c r="E33" s="77"/>
      <c r="F33" s="77"/>
      <c r="G33" s="76"/>
      <c r="H33" s="78"/>
      <c r="I33" s="79"/>
      <c r="J33" s="80"/>
      <c r="K33" s="81"/>
      <c r="L33" s="53">
        <f t="shared" si="2"/>
        <v>0</v>
      </c>
      <c r="M33" s="82" t="str">
        <f>+IF(C33&lt;&gt;"",IF(L33&gt;=$H$6,"SI","NO"),"")</f>
        <v/>
      </c>
      <c r="N33" s="79"/>
      <c r="O33" s="54"/>
      <c r="Q33" s="55" t="str">
        <f>+IF(C33="","",IF(AND(H33&lt;&gt;"",I33="SI",J33&lt;&gt;"",J33&gt;0,K33&lt;&gt;"",K33&gt;0),"SI","NO"))</f>
        <v/>
      </c>
      <c r="S33" s="55" t="str">
        <f>+IF(C33&lt;&gt;"",IF(AND(M33="SI",N33="SI",Q33="SI"),"HÁBIL","NO HÁBIL"),"")</f>
        <v/>
      </c>
    </row>
    <row r="34" spans="1:20" ht="21" customHeight="1" thickBot="1" x14ac:dyDescent="0.25">
      <c r="A34" s="56">
        <f>+$B27</f>
        <v>3</v>
      </c>
      <c r="B34" s="57" t="str">
        <f>"A"&amp;B27</f>
        <v>A3</v>
      </c>
      <c r="C34" s="349" t="str">
        <f>+$C$16</f>
        <v>PROPONENTE HÁBIL / NO HÁBIL</v>
      </c>
      <c r="D34" s="350"/>
      <c r="E34" s="350"/>
      <c r="F34" s="350"/>
      <c r="G34" s="350"/>
      <c r="H34" s="351"/>
      <c r="I34" s="83" t="str">
        <f>IF(S30="","",IF(OR(S30="HÁBIL",S31="HÁBIL",S32="HÁBIL",S33="HÁBIL"),"HÁBIL","NO HÁBIL"))</f>
        <v>HÁBIL</v>
      </c>
      <c r="J34" s="59"/>
      <c r="K34" s="27"/>
      <c r="L34" s="27"/>
      <c r="M34" s="27"/>
      <c r="N34" s="60"/>
      <c r="O34" s="1"/>
      <c r="P34" s="61"/>
      <c r="Q34" s="61"/>
      <c r="R34" s="61"/>
      <c r="S34" s="61"/>
      <c r="T34" s="61"/>
    </row>
    <row r="35" spans="1:20" ht="9.75" customHeight="1" thickBot="1" x14ac:dyDescent="0.25">
      <c r="M35" s="84"/>
      <c r="O35" s="21"/>
    </row>
    <row r="36" spans="1:20" ht="33" customHeight="1" thickBot="1" x14ac:dyDescent="0.25">
      <c r="B36" s="23">
        <f>1+B27</f>
        <v>4</v>
      </c>
      <c r="C36" s="336" t="s">
        <v>29</v>
      </c>
      <c r="D36" s="337"/>
      <c r="E36" s="337"/>
      <c r="F36" s="337"/>
      <c r="G36" s="337"/>
      <c r="H36" s="337"/>
      <c r="I36" s="338"/>
      <c r="J36" s="24" t="str">
        <f>+IF(C36="","",$J$9)</f>
        <v>INTEGRANTES</v>
      </c>
      <c r="K36" s="339" t="s">
        <v>890</v>
      </c>
      <c r="L36" s="339"/>
      <c r="M36" s="339"/>
      <c r="N36" s="25">
        <f>+B36</f>
        <v>4</v>
      </c>
      <c r="O36" s="323" t="str">
        <f ca="1">+$O$9</f>
        <v>OBSERVACIONES</v>
      </c>
      <c r="Q36" s="325" t="str">
        <f ca="1">+$Q$9</f>
        <v>¿EL CONTRATO CUMPLE CON LOS REQUERIMIENTOS ADICIONALES DE EXPERIENCIA  EN EL PLIEGO?
 (INSCRIPCIÓN EN RUP - CÓDIGO UNSPSC - VALOR EN RUP - % DE PARTICIPACIÓN)
(SI / NO)</v>
      </c>
      <c r="S36" s="328" t="str">
        <f ca="1">+$S$9</f>
        <v>PROPONENTE HÁBIL/NO HÁBIL</v>
      </c>
    </row>
    <row r="37" spans="1:20" ht="42" customHeight="1" x14ac:dyDescent="0.2">
      <c r="B37" s="331" t="str">
        <f ca="1">+$B$10</f>
        <v>ITEM</v>
      </c>
      <c r="C37" s="318" t="str">
        <f ca="1">+$C$10</f>
        <v>PROPONENTE 
/ 
INTEGRANTE OFERENTE PLURAL</v>
      </c>
      <c r="D37" s="333" t="str">
        <f ca="1">+$D$10</f>
        <v>INFORMACIÓN DEL CONTRATO</v>
      </c>
      <c r="E37" s="334"/>
      <c r="F37" s="334"/>
      <c r="G37" s="335"/>
      <c r="H37" s="318" t="str">
        <f>+H28</f>
        <v>CONSECUTIVO RUP</v>
      </c>
      <c r="I37" s="318" t="str">
        <f ca="1">+$I$10</f>
        <v>¿SE ENCUENTRA INSCRITO EN EL RUP Y CUMPLE CÓDIGOS UNSPSC?</v>
      </c>
      <c r="J37" s="318" t="str">
        <f ca="1">+$J$10</f>
        <v xml:space="preserve">VALOR EN RUP (SMMLV) </v>
      </c>
      <c r="K37" s="318" t="str">
        <f ca="1">+$K$10</f>
        <v>% PARTIC en el RUP</v>
      </c>
      <c r="L37" s="318" t="str">
        <f ca="1">+$L$10</f>
        <v>VALOR DEL CONTRATO TERMINADO (SMMLV) en el   RUP</v>
      </c>
      <c r="M37" s="318" t="str">
        <f ca="1">+$M$10</f>
        <v>VALOR CERTIFICADO CONTRATO &gt; VEH</v>
      </c>
      <c r="N37" s="318" t="str">
        <f ca="1">+$N$10</f>
        <v>VALIDACIÓN DE OBJETO Y/O ALCANCE
(SI/NO)
(INTERVENTORIA DE OBRA CIVIL)</v>
      </c>
      <c r="O37" s="324"/>
      <c r="Q37" s="326"/>
      <c r="S37" s="329">
        <f ca="1">+$S$10</f>
        <v>0</v>
      </c>
    </row>
    <row r="38" spans="1:20" ht="38.25" customHeight="1" thickBot="1" x14ac:dyDescent="0.25">
      <c r="B38" s="332"/>
      <c r="C38" s="319"/>
      <c r="D38" s="26" t="str">
        <f ca="1">+$D$11</f>
        <v>ENTIDAD</v>
      </c>
      <c r="E38" s="26" t="str">
        <f ca="1">+$E$11</f>
        <v>No. DE CONTRATO</v>
      </c>
      <c r="F38" s="26" t="str">
        <f ca="1">+$F$11</f>
        <v>OBJETO</v>
      </c>
      <c r="G38" s="26" t="str">
        <f ca="1">+$G$11</f>
        <v>CONTRATISTA</v>
      </c>
      <c r="H38" s="319"/>
      <c r="I38" s="319"/>
      <c r="J38" s="319"/>
      <c r="K38" s="319"/>
      <c r="L38" s="319"/>
      <c r="M38" s="319"/>
      <c r="N38" s="319"/>
      <c r="O38" s="347"/>
      <c r="Q38" s="327"/>
      <c r="S38" s="330"/>
    </row>
    <row r="39" spans="1:20" s="27" customFormat="1" ht="72" customHeight="1" x14ac:dyDescent="0.2">
      <c r="B39" s="28">
        <v>1</v>
      </c>
      <c r="C39" s="62" t="s">
        <v>29</v>
      </c>
      <c r="D39" s="62" t="s">
        <v>30</v>
      </c>
      <c r="E39" s="63" t="s">
        <v>31</v>
      </c>
      <c r="F39" s="63" t="s">
        <v>32</v>
      </c>
      <c r="G39" s="62" t="s">
        <v>29</v>
      </c>
      <c r="H39" s="64">
        <v>1</v>
      </c>
      <c r="I39" s="65" t="s">
        <v>16</v>
      </c>
      <c r="J39" s="66">
        <v>4657.5600000000004</v>
      </c>
      <c r="K39" s="67">
        <v>1</v>
      </c>
      <c r="L39" s="34">
        <f>IF(OR(H39="",I39&lt;&gt;"SI",I39="NO",J39="",J39=0,K39="",K39=0,Q39&lt;&gt;"SI",N39&lt;&gt;"SI"),0,J39*K39)</f>
        <v>4657.5600000000004</v>
      </c>
      <c r="M39" s="34" t="str">
        <f>+IF(C39&lt;&gt;"",IF(L39&gt;=$H$6,"SI","NO"),"")</f>
        <v>SI</v>
      </c>
      <c r="N39" s="68" t="s">
        <v>16</v>
      </c>
      <c r="O39" s="36"/>
      <c r="Q39" s="37" t="str">
        <f>+IF(C39="","",IF(AND(H39&lt;&gt;"",I39="SI",J39&lt;&gt;"",J39&gt;0,K39&lt;&gt;"",K39&gt;0),"SI","NO"))</f>
        <v>SI</v>
      </c>
      <c r="S39" s="37" t="str">
        <f>+IF(C39&lt;&gt;"",IF(AND(M39="SI",N39="SI",Q39="SI"),"HÁBIL","NO HÁBIL"),"")</f>
        <v>HÁBIL</v>
      </c>
    </row>
    <row r="40" spans="1:20" s="27" customFormat="1" ht="12.75" x14ac:dyDescent="0.2">
      <c r="B40" s="38"/>
      <c r="C40" s="69"/>
      <c r="D40" s="69"/>
      <c r="E40" s="70"/>
      <c r="F40" s="70"/>
      <c r="G40" s="69"/>
      <c r="H40" s="71"/>
      <c r="I40" s="72"/>
      <c r="J40" s="73"/>
      <c r="K40" s="74"/>
      <c r="L40" s="44">
        <f t="shared" ref="L40:L42" si="3">IF(OR(H40="",I40&lt;&gt;"SI",I40="NO",J40="",J40=0,K40="",K40=0,Q40&lt;&gt;"SI",N40&lt;&gt;"SI"),0,J40*K40)</f>
        <v>0</v>
      </c>
      <c r="M40" s="75" t="str">
        <f>+IF(C40&lt;&gt;"",IF(L40&gt;=$H$6,"SI","NO"),"")</f>
        <v/>
      </c>
      <c r="N40" s="72"/>
      <c r="O40" s="45"/>
      <c r="Q40" s="37" t="str">
        <f>+IF(C40="","",IF(AND(H40&lt;&gt;"",I40="SI",J40&lt;&gt;"",J40&gt;0,K40&lt;&gt;"",K40&gt;0),"SI","NO"))</f>
        <v/>
      </c>
      <c r="S40" s="37" t="str">
        <f>+IF(C40&lt;&gt;"",IF(AND(M40="SI",N40="SI",Q40="SI"),"HÁBIL","NO HÁBIL"),"")</f>
        <v/>
      </c>
    </row>
    <row r="41" spans="1:20" s="27" customFormat="1" ht="12.75" x14ac:dyDescent="0.2">
      <c r="B41" s="38"/>
      <c r="C41" s="69"/>
      <c r="D41" s="69"/>
      <c r="E41" s="70"/>
      <c r="F41" s="70"/>
      <c r="G41" s="69"/>
      <c r="H41" s="71"/>
      <c r="I41" s="72"/>
      <c r="J41" s="73"/>
      <c r="K41" s="74"/>
      <c r="L41" s="44">
        <f t="shared" si="3"/>
        <v>0</v>
      </c>
      <c r="M41" s="75" t="str">
        <f>+IF(C41&lt;&gt;"",IF(L41&gt;=$H$6,"SI","NO"),"")</f>
        <v/>
      </c>
      <c r="N41" s="72"/>
      <c r="O41" s="45"/>
      <c r="Q41" s="37" t="str">
        <f>+IF(C41="","",IF(AND(H41&lt;&gt;"",I41="SI",J41&lt;&gt;"",J41&gt;0,K41&lt;&gt;"",K41&gt;0),"SI","NO"))</f>
        <v/>
      </c>
      <c r="S41" s="37" t="str">
        <f>+IF(C41&lt;&gt;"",IF(AND(M41="SI",N41="SI",Q41="SI"),"HÁBIL","NO HÁBIL"),"")</f>
        <v/>
      </c>
    </row>
    <row r="42" spans="1:20" s="27" customFormat="1" ht="13.5" thickBot="1" x14ac:dyDescent="0.25">
      <c r="B42" s="47"/>
      <c r="C42" s="76"/>
      <c r="D42" s="76"/>
      <c r="E42" s="77"/>
      <c r="F42" s="77"/>
      <c r="G42" s="76"/>
      <c r="H42" s="78"/>
      <c r="I42" s="79"/>
      <c r="J42" s="80"/>
      <c r="K42" s="81"/>
      <c r="L42" s="53">
        <f t="shared" si="3"/>
        <v>0</v>
      </c>
      <c r="M42" s="82" t="str">
        <f>+IF(C42&lt;&gt;"",IF(L42&gt;=$H$6,"SI","NO"),"")</f>
        <v/>
      </c>
      <c r="N42" s="79"/>
      <c r="O42" s="54"/>
      <c r="Q42" s="55" t="str">
        <f>+IF(C42="","",IF(AND(H42&lt;&gt;"",I42="SI",J42&lt;&gt;"",J42&gt;0,K42&lt;&gt;"",K42&gt;0),"SI","NO"))</f>
        <v/>
      </c>
      <c r="S42" s="55" t="str">
        <f>+IF(C42&lt;&gt;"",IF(AND(M42="SI",N42="SI",Q42="SI"),"HÁBIL","NO HÁBIL"),"")</f>
        <v/>
      </c>
    </row>
    <row r="43" spans="1:20" ht="21" customHeight="1" thickBot="1" x14ac:dyDescent="0.25">
      <c r="A43" s="56">
        <f>+$B36</f>
        <v>4</v>
      </c>
      <c r="B43" s="57" t="str">
        <f>"A"&amp;B36</f>
        <v>A4</v>
      </c>
      <c r="C43" s="349" t="str">
        <f>+$C$16</f>
        <v>PROPONENTE HÁBIL / NO HÁBIL</v>
      </c>
      <c r="D43" s="350"/>
      <c r="E43" s="350"/>
      <c r="F43" s="350"/>
      <c r="G43" s="350"/>
      <c r="H43" s="351"/>
      <c r="I43" s="83" t="str">
        <f>IF(S39="","",IF(OR(S39="HÁBIL",S40="HÁBIL",S41="HÁBIL",S42="HÁBIL"),"HÁBIL","NO HÁBIL"))</f>
        <v>HÁBIL</v>
      </c>
      <c r="J43" s="59"/>
      <c r="K43" s="27"/>
      <c r="L43" s="27"/>
      <c r="M43" s="27"/>
      <c r="N43" s="60"/>
      <c r="O43" s="1"/>
      <c r="P43" s="61"/>
      <c r="Q43" s="61"/>
      <c r="R43" s="61"/>
      <c r="S43" s="61"/>
      <c r="T43" s="61"/>
    </row>
    <row r="44" spans="1:20" ht="9.75" customHeight="1" thickBot="1" x14ac:dyDescent="0.25">
      <c r="M44" s="84"/>
      <c r="O44" s="21"/>
    </row>
    <row r="45" spans="1:20" ht="36.75" customHeight="1" thickBot="1" x14ac:dyDescent="0.25">
      <c r="B45" s="23">
        <f>1+B36</f>
        <v>5</v>
      </c>
      <c r="C45" s="336" t="s">
        <v>891</v>
      </c>
      <c r="D45" s="337"/>
      <c r="E45" s="337"/>
      <c r="F45" s="337"/>
      <c r="G45" s="337"/>
      <c r="H45" s="337"/>
      <c r="I45" s="338"/>
      <c r="J45" s="24" t="str">
        <f>+IF(C45="","",$J$9)</f>
        <v>INTEGRANTES</v>
      </c>
      <c r="K45" s="339" t="s">
        <v>892</v>
      </c>
      <c r="L45" s="339"/>
      <c r="M45" s="339"/>
      <c r="N45" s="25">
        <f>+B45</f>
        <v>5</v>
      </c>
      <c r="O45" s="323" t="str">
        <f ca="1">+$O$9</f>
        <v>OBSERVACIONES</v>
      </c>
      <c r="Q45" s="325" t="str">
        <f ca="1">+$Q$9</f>
        <v>¿EL CONTRATO CUMPLE CON LOS REQUERIMIENTOS ADICIONALES DE EXPERIENCIA  EN EL PLIEGO?
 (INSCRIPCIÓN EN RUP - CÓDIGO UNSPSC - VALOR EN RUP - % DE PARTICIPACIÓN)
(SI / NO)</v>
      </c>
      <c r="S45" s="328" t="str">
        <f ca="1">+$S$9</f>
        <v>PROPONENTE HÁBIL/NO HÁBIL</v>
      </c>
    </row>
    <row r="46" spans="1:20" ht="54.75" customHeight="1" x14ac:dyDescent="0.2">
      <c r="B46" s="331" t="str">
        <f ca="1">+$B$10</f>
        <v>ITEM</v>
      </c>
      <c r="C46" s="318" t="str">
        <f ca="1">+$C$10</f>
        <v>PROPONENTE 
/ 
INTEGRANTE OFERENTE PLURAL</v>
      </c>
      <c r="D46" s="333" t="str">
        <f ca="1">+$D$10</f>
        <v>INFORMACIÓN DEL CONTRATO</v>
      </c>
      <c r="E46" s="334"/>
      <c r="F46" s="334"/>
      <c r="G46" s="335"/>
      <c r="H46" s="318" t="str">
        <f>+H37</f>
        <v>CONSECUTIVO RUP</v>
      </c>
      <c r="I46" s="318" t="str">
        <f ca="1">+$I$10</f>
        <v>¿SE ENCUENTRA INSCRITO EN EL RUP Y CUMPLE CÓDIGOS UNSPSC?</v>
      </c>
      <c r="J46" s="318" t="str">
        <f ca="1">+$J$10</f>
        <v xml:space="preserve">VALOR EN RUP (SMMLV) </v>
      </c>
      <c r="K46" s="318" t="str">
        <f ca="1">+$K$10</f>
        <v>% PARTIC en el RUP</v>
      </c>
      <c r="L46" s="318" t="str">
        <f ca="1">+$L$10</f>
        <v>VALOR DEL CONTRATO TERMINADO (SMMLV) en el   RUP</v>
      </c>
      <c r="M46" s="318" t="str">
        <f ca="1">+$M$10</f>
        <v>VALOR CERTIFICADO CONTRATO &gt; VEH</v>
      </c>
      <c r="N46" s="318" t="str">
        <f ca="1">+$N$10</f>
        <v>VALIDACIÓN DE OBJETO Y/O ALCANCE
(SI/NO)
(INTERVENTORIA DE OBRA CIVIL)</v>
      </c>
      <c r="O46" s="324"/>
      <c r="Q46" s="326"/>
      <c r="S46" s="329">
        <f ca="1">+$S$10</f>
        <v>0</v>
      </c>
    </row>
    <row r="47" spans="1:20" ht="49.5" customHeight="1" thickBot="1" x14ac:dyDescent="0.25">
      <c r="B47" s="332"/>
      <c r="C47" s="348"/>
      <c r="D47" s="26" t="str">
        <f ca="1">+$D$11</f>
        <v>ENTIDAD</v>
      </c>
      <c r="E47" s="26" t="str">
        <f ca="1">+$E$11</f>
        <v>No. DE CONTRATO</v>
      </c>
      <c r="F47" s="26" t="str">
        <f ca="1">+$F$11</f>
        <v>OBJETO</v>
      </c>
      <c r="G47" s="26" t="str">
        <f ca="1">+$G$11</f>
        <v>CONTRATISTA</v>
      </c>
      <c r="H47" s="319"/>
      <c r="I47" s="319"/>
      <c r="J47" s="319"/>
      <c r="K47" s="319"/>
      <c r="L47" s="319"/>
      <c r="M47" s="319"/>
      <c r="N47" s="319"/>
      <c r="O47" s="347"/>
      <c r="Q47" s="327"/>
      <c r="S47" s="330"/>
    </row>
    <row r="48" spans="1:20" s="27" customFormat="1" ht="51.75" customHeight="1" x14ac:dyDescent="0.2">
      <c r="B48" s="28">
        <v>1</v>
      </c>
      <c r="C48" s="85" t="s">
        <v>33</v>
      </c>
      <c r="D48" s="86" t="s">
        <v>34</v>
      </c>
      <c r="E48" s="87" t="s">
        <v>35</v>
      </c>
      <c r="F48" s="87" t="s">
        <v>36</v>
      </c>
      <c r="G48" s="86" t="s">
        <v>37</v>
      </c>
      <c r="H48" s="30">
        <v>75</v>
      </c>
      <c r="I48" s="31" t="s">
        <v>16</v>
      </c>
      <c r="J48" s="32">
        <v>1885.36</v>
      </c>
      <c r="K48" s="88">
        <v>0.5</v>
      </c>
      <c r="L48" s="34">
        <f>IF(OR(H48="",I48&lt;&gt;"SI",I48="NO",J48="",J48=0,K48="",K48=0,Q48&lt;&gt;"SI",N48&lt;&gt;"SI"),0,J48*K48)</f>
        <v>942.68</v>
      </c>
      <c r="M48" s="34" t="str">
        <f>+IF(C48&lt;&gt;"",IF(L48&gt;=$H$6,"SI","NO"),"")</f>
        <v>SI</v>
      </c>
      <c r="N48" s="35" t="s">
        <v>16</v>
      </c>
      <c r="O48" s="89"/>
      <c r="P48" s="90"/>
      <c r="Q48" s="37" t="str">
        <f>+IF(C48="","",IF(AND(H48&lt;&gt;"",I48="SI",J48&lt;&gt;"",J48&gt;0,K48&lt;&gt;"",K48&gt;0),"SI","NO"))</f>
        <v>SI</v>
      </c>
      <c r="S48" s="37" t="str">
        <f>+IF(C48&lt;&gt;"",IF(AND(M48="SI",N48="SI",Q48="SI"),"HÁBIL","NO HÁBIL"),"")</f>
        <v>HÁBIL</v>
      </c>
    </row>
    <row r="49" spans="1:20" s="27" customFormat="1" ht="12.75" x14ac:dyDescent="0.2">
      <c r="B49" s="38"/>
      <c r="C49" s="39"/>
      <c r="D49" s="39"/>
      <c r="E49" s="46"/>
      <c r="F49" s="46"/>
      <c r="G49" s="39"/>
      <c r="H49" s="40"/>
      <c r="I49" s="41"/>
      <c r="J49" s="42"/>
      <c r="K49" s="43"/>
      <c r="L49" s="44">
        <f t="shared" ref="L49:L51" si="4">IF(OR(H49="",I49&lt;&gt;"SI",I49="NO",J49="",J49=0,K49="",K49=0,Q49&lt;&gt;"SI",N49&lt;&gt;"SI"),0,J49*K49)</f>
        <v>0</v>
      </c>
      <c r="M49" s="44" t="str">
        <f>+IF(C49&lt;&gt;"",IF(L49&gt;=$H$6,"SI","NO"),"")</f>
        <v/>
      </c>
      <c r="N49" s="41"/>
      <c r="O49" s="91"/>
      <c r="P49" s="92"/>
      <c r="Q49" s="37" t="str">
        <f>+IF(C49="","",IF(AND(H49&lt;&gt;"",I49="SI",J49&lt;&gt;"",J49&gt;0,K49&lt;&gt;"",K49&gt;0),"SI","NO"))</f>
        <v/>
      </c>
      <c r="S49" s="37" t="str">
        <f>+IF(C49&lt;&gt;"",IF(AND(M49="SI",N49="SI",Q49="SI"),"HÁBIL","NO HÁBIL"),"")</f>
        <v/>
      </c>
    </row>
    <row r="50" spans="1:20" s="27" customFormat="1" ht="12.75" x14ac:dyDescent="0.2">
      <c r="B50" s="38"/>
      <c r="C50" s="39"/>
      <c r="D50" s="39"/>
      <c r="E50" s="46"/>
      <c r="F50" s="46"/>
      <c r="G50" s="39"/>
      <c r="H50" s="40"/>
      <c r="I50" s="41"/>
      <c r="J50" s="42"/>
      <c r="K50" s="43"/>
      <c r="L50" s="44">
        <f t="shared" si="4"/>
        <v>0</v>
      </c>
      <c r="M50" s="44" t="str">
        <f>+IF(C50&lt;&gt;"",IF(L50&gt;=$H$6,"SI","NO"),"")</f>
        <v/>
      </c>
      <c r="N50" s="41"/>
      <c r="O50" s="91"/>
      <c r="P50" s="92"/>
      <c r="Q50" s="37" t="str">
        <f>+IF(C50="","",IF(AND(H50&lt;&gt;"",I50="SI",J50&lt;&gt;"",J50&gt;0,K50&lt;&gt;"",K50&gt;0),"SI","NO"))</f>
        <v/>
      </c>
      <c r="S50" s="37" t="str">
        <f>+IF(C50&lt;&gt;"",IF(AND(M50="SI",N50="SI",Q50="SI"),"HÁBIL","NO HÁBIL"),"")</f>
        <v/>
      </c>
    </row>
    <row r="51" spans="1:20" s="27" customFormat="1" ht="13.5" thickBot="1" x14ac:dyDescent="0.25">
      <c r="B51" s="47"/>
      <c r="C51" s="48"/>
      <c r="D51" s="48"/>
      <c r="E51" s="49"/>
      <c r="F51" s="49"/>
      <c r="G51" s="48"/>
      <c r="H51" s="50"/>
      <c r="I51" s="51"/>
      <c r="J51" s="14"/>
      <c r="K51" s="52"/>
      <c r="L51" s="53">
        <f t="shared" si="4"/>
        <v>0</v>
      </c>
      <c r="M51" s="53" t="str">
        <f>+IF(C51&lt;&gt;"",IF(L51&gt;=$H$6,"SI","NO"),"")</f>
        <v/>
      </c>
      <c r="N51" s="51"/>
      <c r="O51" s="93"/>
      <c r="P51" s="94"/>
      <c r="Q51" s="55" t="str">
        <f>+IF(C51="","",IF(AND(H51&lt;&gt;"",I51="SI",J51&lt;&gt;"",J51&gt;0,K51&lt;&gt;"",K51&gt;0),"SI","NO"))</f>
        <v/>
      </c>
      <c r="S51" s="55" t="str">
        <f>+IF(C51&lt;&gt;"",IF(AND(M51="SI",N51="SI",Q51="SI"),"HÁBIL","NO HÁBIL"),"")</f>
        <v/>
      </c>
    </row>
    <row r="52" spans="1:20" ht="20.25" customHeight="1" thickBot="1" x14ac:dyDescent="0.25">
      <c r="A52" s="56">
        <f>+$B45</f>
        <v>5</v>
      </c>
      <c r="B52" s="57" t="str">
        <f>"A"&amp;B45</f>
        <v>A5</v>
      </c>
      <c r="C52" s="340" t="str">
        <f>+$C$16</f>
        <v>PROPONENTE HÁBIL / NO HÁBIL</v>
      </c>
      <c r="D52" s="341"/>
      <c r="E52" s="341"/>
      <c r="F52" s="341"/>
      <c r="G52" s="341"/>
      <c r="H52" s="342"/>
      <c r="I52" s="83" t="str">
        <f>IF(S48="","",IF(OR(S48="HÁBIL",S49="HÁBIL",S50="HÁBIL",S51="HÁBIL"),"HÁBIL","NO HÁBIL"))</f>
        <v>HÁBIL</v>
      </c>
      <c r="J52" s="59"/>
      <c r="K52" s="27"/>
      <c r="L52" s="27"/>
      <c r="M52" s="27"/>
      <c r="N52" s="60"/>
      <c r="O52" s="1"/>
      <c r="P52" s="61"/>
      <c r="Q52" s="61"/>
      <c r="R52" s="61"/>
      <c r="S52" s="61"/>
      <c r="T52" s="61"/>
    </row>
    <row r="53" spans="1:20" ht="9.75" customHeight="1" thickBot="1" x14ac:dyDescent="0.25">
      <c r="A53" s="56"/>
      <c r="M53" s="84"/>
      <c r="O53" s="21"/>
    </row>
    <row r="54" spans="1:20" ht="36.75" customHeight="1" thickBot="1" x14ac:dyDescent="0.25">
      <c r="A54" s="56"/>
      <c r="B54" s="23">
        <f>1+B45</f>
        <v>6</v>
      </c>
      <c r="C54" s="336" t="s">
        <v>38</v>
      </c>
      <c r="D54" s="337"/>
      <c r="E54" s="337"/>
      <c r="F54" s="337"/>
      <c r="G54" s="337"/>
      <c r="H54" s="337"/>
      <c r="I54" s="338"/>
      <c r="J54" s="24" t="str">
        <f>+IF(C54="","",$J$9)</f>
        <v>INTEGRANTES</v>
      </c>
      <c r="K54" s="339" t="s">
        <v>890</v>
      </c>
      <c r="L54" s="339"/>
      <c r="M54" s="339"/>
      <c r="N54" s="25">
        <f>+B54</f>
        <v>6</v>
      </c>
      <c r="O54" s="323" t="str">
        <f ca="1">+$O$9</f>
        <v>OBSERVACIONES</v>
      </c>
      <c r="Q54" s="325" t="str">
        <f ca="1">+$Q$9</f>
        <v>¿EL CONTRATO CUMPLE CON LOS REQUERIMIENTOS ADICIONALES DE EXPERIENCIA  EN EL PLIEGO?
 (INSCRIPCIÓN EN RUP - CÓDIGO UNSPSC - VALOR EN RUP - % DE PARTICIPACIÓN)
(SI / NO)</v>
      </c>
      <c r="S54" s="328" t="str">
        <f ca="1">+$S$9</f>
        <v>PROPONENTE HÁBIL/NO HÁBIL</v>
      </c>
    </row>
    <row r="55" spans="1:20" ht="42" customHeight="1" x14ac:dyDescent="0.2">
      <c r="B55" s="331" t="str">
        <f ca="1">+$B$10</f>
        <v>ITEM</v>
      </c>
      <c r="C55" s="318" t="str">
        <f ca="1">+$C$10</f>
        <v>PROPONENTE 
/ 
INTEGRANTE OFERENTE PLURAL</v>
      </c>
      <c r="D55" s="333" t="str">
        <f ca="1">+$D$10</f>
        <v>INFORMACIÓN DEL CONTRATO</v>
      </c>
      <c r="E55" s="334"/>
      <c r="F55" s="334"/>
      <c r="G55" s="335"/>
      <c r="H55" s="318" t="str">
        <f>+H46</f>
        <v>CONSECUTIVO RUP</v>
      </c>
      <c r="I55" s="318" t="str">
        <f ca="1">+$I$10</f>
        <v>¿SE ENCUENTRA INSCRITO EN EL RUP Y CUMPLE CÓDIGOS UNSPSC?</v>
      </c>
      <c r="J55" s="318" t="str">
        <f ca="1">+$J$10</f>
        <v xml:space="preserve">VALOR EN RUP (SMMLV) </v>
      </c>
      <c r="K55" s="318" t="str">
        <f ca="1">+$K$10</f>
        <v>% PARTIC en el RUP</v>
      </c>
      <c r="L55" s="318" t="str">
        <f ca="1">+$L$10</f>
        <v>VALOR DEL CONTRATO TERMINADO (SMMLV) en el   RUP</v>
      </c>
      <c r="M55" s="318" t="str">
        <f ca="1">+$M$10</f>
        <v>VALOR CERTIFICADO CONTRATO &gt; VEH</v>
      </c>
      <c r="N55" s="318" t="str">
        <f ca="1">+$N$10</f>
        <v>VALIDACIÓN DE OBJETO Y/O ALCANCE
(SI/NO)
(INTERVENTORIA DE OBRA CIVIL)</v>
      </c>
      <c r="O55" s="324"/>
      <c r="Q55" s="326"/>
      <c r="S55" s="329">
        <f ca="1">+$S$10</f>
        <v>0</v>
      </c>
    </row>
    <row r="56" spans="1:20" ht="38.25" customHeight="1" thickBot="1" x14ac:dyDescent="0.25">
      <c r="B56" s="332"/>
      <c r="C56" s="319"/>
      <c r="D56" s="26" t="str">
        <f ca="1">+$D$11</f>
        <v>ENTIDAD</v>
      </c>
      <c r="E56" s="26" t="str">
        <f ca="1">+$E$11</f>
        <v>No. DE CONTRATO</v>
      </c>
      <c r="F56" s="26" t="str">
        <f ca="1">+$F$11</f>
        <v>OBJETO</v>
      </c>
      <c r="G56" s="26" t="str">
        <f ca="1">+$G$11</f>
        <v>CONTRATISTA</v>
      </c>
      <c r="H56" s="319"/>
      <c r="I56" s="319"/>
      <c r="J56" s="319"/>
      <c r="K56" s="319"/>
      <c r="L56" s="319"/>
      <c r="M56" s="319"/>
      <c r="N56" s="319"/>
      <c r="O56" s="347"/>
      <c r="Q56" s="327"/>
      <c r="S56" s="330"/>
    </row>
    <row r="57" spans="1:20" s="27" customFormat="1" ht="62.25" customHeight="1" x14ac:dyDescent="0.2">
      <c r="B57" s="28">
        <v>1</v>
      </c>
      <c r="C57" s="86" t="s">
        <v>38</v>
      </c>
      <c r="D57" s="86" t="s">
        <v>39</v>
      </c>
      <c r="E57" s="87" t="s">
        <v>40</v>
      </c>
      <c r="F57" s="87" t="s">
        <v>41</v>
      </c>
      <c r="G57" s="86" t="s">
        <v>38</v>
      </c>
      <c r="H57" s="30">
        <v>124</v>
      </c>
      <c r="I57" s="31" t="s">
        <v>16</v>
      </c>
      <c r="J57" s="32">
        <v>2617.6999999999998</v>
      </c>
      <c r="K57" s="33">
        <v>1</v>
      </c>
      <c r="L57" s="34">
        <f>IF(OR(H57="",I57&lt;&gt;"SI",I57="NO",J57="",J57=0,K57="",K57=0,Q57&lt;&gt;"SI",N57&lt;&gt;"SI"),0,J57*K57)</f>
        <v>2617.6999999999998</v>
      </c>
      <c r="M57" s="34" t="str">
        <f>+IF(C57&lt;&gt;"",IF(L57&gt;=$H$6,"SI","NO"),"")</f>
        <v>SI</v>
      </c>
      <c r="N57" s="35" t="s">
        <v>16</v>
      </c>
      <c r="O57" s="36"/>
      <c r="Q57" s="37" t="str">
        <f>+IF(C57="","",IF(AND(H57&lt;&gt;"",I57="SI",J57&lt;&gt;"",J57&gt;0,K57&lt;&gt;"",K57&gt;0),"SI","NO"))</f>
        <v>SI</v>
      </c>
      <c r="S57" s="37" t="str">
        <f>+IF(C57&lt;&gt;"",IF(AND(M57="SI",N57="SI",Q57="SI"),"HÁBIL","NO HÁBIL"),"")</f>
        <v>HÁBIL</v>
      </c>
    </row>
    <row r="58" spans="1:20" s="27" customFormat="1" ht="12.75" x14ac:dyDescent="0.2">
      <c r="B58" s="38"/>
      <c r="C58" s="39"/>
      <c r="D58" s="39"/>
      <c r="E58" s="46"/>
      <c r="F58" s="46"/>
      <c r="G58" s="39"/>
      <c r="H58" s="40"/>
      <c r="I58" s="41"/>
      <c r="J58" s="42"/>
      <c r="K58" s="43"/>
      <c r="L58" s="44">
        <f t="shared" ref="L58:L60" si="5">IF(OR(H58="",I58&lt;&gt;"SI",I58="NO",J58="",J58=0,K58="",K58=0,Q58&lt;&gt;"SI",N58&lt;&gt;"SI"),0,J58*K58)</f>
        <v>0</v>
      </c>
      <c r="M58" s="44" t="str">
        <f>+IF(C58&lt;&gt;"",IF(L58&gt;=$H$6,"SI","NO"),"")</f>
        <v/>
      </c>
      <c r="N58" s="41"/>
      <c r="O58" s="45"/>
      <c r="Q58" s="37" t="str">
        <f>+IF(C58="","",IF(AND(H58&lt;&gt;"",I58="SI",J58&lt;&gt;"",J58&gt;0,K58&lt;&gt;"",K58&gt;0),"SI","NO"))</f>
        <v/>
      </c>
      <c r="S58" s="37" t="str">
        <f>+IF(C58&lt;&gt;"",IF(AND(M58="SI",N58="SI",Q58="SI"),"HÁBIL","NO HÁBIL"),"")</f>
        <v/>
      </c>
    </row>
    <row r="59" spans="1:20" s="27" customFormat="1" ht="12.75" x14ac:dyDescent="0.2">
      <c r="B59" s="38"/>
      <c r="C59" s="39"/>
      <c r="D59" s="39"/>
      <c r="E59" s="46"/>
      <c r="F59" s="46"/>
      <c r="G59" s="39"/>
      <c r="H59" s="40"/>
      <c r="I59" s="41"/>
      <c r="J59" s="42"/>
      <c r="K59" s="43"/>
      <c r="L59" s="44">
        <f t="shared" si="5"/>
        <v>0</v>
      </c>
      <c r="M59" s="44" t="str">
        <f>+IF(C59&lt;&gt;"",IF(L59&gt;=$H$6,"SI","NO"),"")</f>
        <v/>
      </c>
      <c r="N59" s="41"/>
      <c r="O59" s="45"/>
      <c r="Q59" s="37" t="str">
        <f>+IF(C59="","",IF(AND(H59&lt;&gt;"",I59="SI",J59&lt;&gt;"",J59&gt;0,K59&lt;&gt;"",K59&gt;0),"SI","NO"))</f>
        <v/>
      </c>
      <c r="S59" s="37" t="str">
        <f>+IF(C59&lt;&gt;"",IF(AND(M59="SI",N59="SI",Q59="SI"),"HÁBIL","NO HÁBIL"),"")</f>
        <v/>
      </c>
    </row>
    <row r="60" spans="1:20" s="27" customFormat="1" ht="13.5" thickBot="1" x14ac:dyDescent="0.25">
      <c r="B60" s="47"/>
      <c r="C60" s="48"/>
      <c r="D60" s="48"/>
      <c r="E60" s="49"/>
      <c r="F60" s="49"/>
      <c r="G60" s="48"/>
      <c r="H60" s="50"/>
      <c r="I60" s="51"/>
      <c r="J60" s="14"/>
      <c r="K60" s="52"/>
      <c r="L60" s="53">
        <f t="shared" si="5"/>
        <v>0</v>
      </c>
      <c r="M60" s="53" t="str">
        <f>+IF(C60&lt;&gt;"",IF(L60&gt;=$H$6,"SI","NO"),"")</f>
        <v/>
      </c>
      <c r="N60" s="51"/>
      <c r="O60" s="54"/>
      <c r="Q60" s="55" t="str">
        <f>+IF(C60="","",IF(AND(H60&lt;&gt;"",I60="SI",J60&lt;&gt;"",J60&gt;0,K60&lt;&gt;"",K60&gt;0),"SI","NO"))</f>
        <v/>
      </c>
      <c r="S60" s="55" t="str">
        <f>+IF(C60&lt;&gt;"",IF(AND(M60="SI",N60="SI",Q60="SI"),"HÁBIL","NO HÁBIL"),"")</f>
        <v/>
      </c>
    </row>
    <row r="61" spans="1:20" ht="21.75" customHeight="1" thickBot="1" x14ac:dyDescent="0.25">
      <c r="A61" s="56">
        <f>+$B54</f>
        <v>6</v>
      </c>
      <c r="B61" s="57" t="str">
        <f>"A"&amp;B54</f>
        <v>A6</v>
      </c>
      <c r="C61" s="340" t="str">
        <f>+$C$16</f>
        <v>PROPONENTE HÁBIL / NO HÁBIL</v>
      </c>
      <c r="D61" s="341"/>
      <c r="E61" s="341"/>
      <c r="F61" s="341"/>
      <c r="G61" s="341"/>
      <c r="H61" s="342"/>
      <c r="I61" s="58" t="str">
        <f>IF(S57="","",IF(OR(S57="HÁBIL",S58="HÁBIL",S59="HÁBIL",S60="HÁBIL"),"HÁBIL","NO HÁBIL"))</f>
        <v>HÁBIL</v>
      </c>
      <c r="J61" s="59"/>
      <c r="K61" s="27"/>
      <c r="L61" s="27"/>
      <c r="M61" s="27"/>
      <c r="N61" s="60"/>
      <c r="O61" s="1"/>
      <c r="P61" s="61"/>
      <c r="Q61" s="61"/>
      <c r="R61" s="61"/>
      <c r="S61" s="61"/>
      <c r="T61" s="61"/>
    </row>
    <row r="62" spans="1:20" ht="9.75" customHeight="1" thickBot="1" x14ac:dyDescent="0.25">
      <c r="M62" s="84"/>
      <c r="O62" s="21"/>
    </row>
    <row r="63" spans="1:20" ht="36.75" customHeight="1" thickBot="1" x14ac:dyDescent="0.25">
      <c r="B63" s="23">
        <f>1+B54</f>
        <v>7</v>
      </c>
      <c r="C63" s="336" t="s">
        <v>42</v>
      </c>
      <c r="D63" s="337"/>
      <c r="E63" s="337"/>
      <c r="F63" s="337"/>
      <c r="G63" s="337"/>
      <c r="H63" s="337"/>
      <c r="I63" s="338"/>
      <c r="J63" s="24" t="str">
        <f>+IF(C63="","",$J$9)</f>
        <v>INTEGRANTES</v>
      </c>
      <c r="K63" s="339" t="s">
        <v>890</v>
      </c>
      <c r="L63" s="339"/>
      <c r="M63" s="339"/>
      <c r="N63" s="25">
        <f>+B63</f>
        <v>7</v>
      </c>
      <c r="O63" s="323" t="str">
        <f ca="1">+$O$9</f>
        <v>OBSERVACIONES</v>
      </c>
      <c r="Q63" s="325" t="str">
        <f ca="1">+$Q$9</f>
        <v>¿EL CONTRATO CUMPLE CON LOS REQUERIMIENTOS ADICIONALES DE EXPERIENCIA  EN EL PLIEGO?
 (INSCRIPCIÓN EN RUP - CÓDIGO UNSPSC - VALOR EN RUP - % DE PARTICIPACIÓN)
(SI / NO)</v>
      </c>
      <c r="S63" s="328" t="str">
        <f ca="1">+$S$9</f>
        <v>PROPONENTE HÁBIL/NO HÁBIL</v>
      </c>
    </row>
    <row r="64" spans="1:20" ht="42" customHeight="1" x14ac:dyDescent="0.2">
      <c r="B64" s="331" t="str">
        <f ca="1">+$B$10</f>
        <v>ITEM</v>
      </c>
      <c r="C64" s="318" t="str">
        <f ca="1">+$C$10</f>
        <v>PROPONENTE 
/ 
INTEGRANTE OFERENTE PLURAL</v>
      </c>
      <c r="D64" s="333" t="str">
        <f ca="1">+$D$10</f>
        <v>INFORMACIÓN DEL CONTRATO</v>
      </c>
      <c r="E64" s="334"/>
      <c r="F64" s="334"/>
      <c r="G64" s="335"/>
      <c r="H64" s="318" t="str">
        <f>+H55</f>
        <v>CONSECUTIVO RUP</v>
      </c>
      <c r="I64" s="318" t="str">
        <f ca="1">+$I$10</f>
        <v>¿SE ENCUENTRA INSCRITO EN EL RUP Y CUMPLE CÓDIGOS UNSPSC?</v>
      </c>
      <c r="J64" s="318" t="str">
        <f ca="1">+$J$10</f>
        <v xml:space="preserve">VALOR EN RUP (SMMLV) </v>
      </c>
      <c r="K64" s="318" t="str">
        <f ca="1">+$K$10</f>
        <v>% PARTIC en el RUP</v>
      </c>
      <c r="L64" s="318" t="str">
        <f ca="1">+$L$10</f>
        <v>VALOR DEL CONTRATO TERMINADO (SMMLV) en el   RUP</v>
      </c>
      <c r="M64" s="318" t="str">
        <f ca="1">+$M$10</f>
        <v>VALOR CERTIFICADO CONTRATO &gt; VEH</v>
      </c>
      <c r="N64" s="318" t="str">
        <f ca="1">+$N$10</f>
        <v>VALIDACIÓN DE OBJETO Y/O ALCANCE
(SI/NO)
(INTERVENTORIA DE OBRA CIVIL)</v>
      </c>
      <c r="O64" s="324"/>
      <c r="Q64" s="326"/>
      <c r="S64" s="329">
        <f ca="1">+$S$10</f>
        <v>0</v>
      </c>
    </row>
    <row r="65" spans="1:20" ht="38.25" customHeight="1" thickBot="1" x14ac:dyDescent="0.25">
      <c r="B65" s="332"/>
      <c r="C65" s="319"/>
      <c r="D65" s="26" t="str">
        <f ca="1">+$D$11</f>
        <v>ENTIDAD</v>
      </c>
      <c r="E65" s="26" t="str">
        <f ca="1">+$E$11</f>
        <v>No. DE CONTRATO</v>
      </c>
      <c r="F65" s="26" t="str">
        <f ca="1">+$F$11</f>
        <v>OBJETO</v>
      </c>
      <c r="G65" s="26" t="str">
        <f ca="1">+$G$11</f>
        <v>CONTRATISTA</v>
      </c>
      <c r="H65" s="319"/>
      <c r="I65" s="319"/>
      <c r="J65" s="319"/>
      <c r="K65" s="319"/>
      <c r="L65" s="319"/>
      <c r="M65" s="319"/>
      <c r="N65" s="319"/>
      <c r="O65" s="347"/>
      <c r="Q65" s="327"/>
      <c r="S65" s="330"/>
    </row>
    <row r="66" spans="1:20" s="27" customFormat="1" ht="72.75" customHeight="1" x14ac:dyDescent="0.2">
      <c r="B66" s="28">
        <v>1</v>
      </c>
      <c r="C66" s="86" t="s">
        <v>42</v>
      </c>
      <c r="D66" s="86" t="s">
        <v>43</v>
      </c>
      <c r="E66" s="87" t="s">
        <v>44</v>
      </c>
      <c r="F66" s="87" t="s">
        <v>45</v>
      </c>
      <c r="G66" s="86" t="s">
        <v>46</v>
      </c>
      <c r="H66" s="30">
        <v>75</v>
      </c>
      <c r="I66" s="31" t="s">
        <v>16</v>
      </c>
      <c r="J66" s="32">
        <v>2417.29</v>
      </c>
      <c r="K66" s="33">
        <v>0.3</v>
      </c>
      <c r="L66" s="34">
        <f>IF(OR(H66="",I66&lt;&gt;"SI",I66="NO",J66="",J66=0,K66="",K66=0,Q66&lt;&gt;"SI",N66&lt;&gt;"SI"),0,J66*K66)</f>
        <v>725.18700000000001</v>
      </c>
      <c r="M66" s="34" t="str">
        <f>+IF(C66&lt;&gt;"",IF(L66&gt;=$H$6,"SI","NO"),"")</f>
        <v>SI</v>
      </c>
      <c r="N66" s="35" t="s">
        <v>16</v>
      </c>
      <c r="O66" s="36"/>
      <c r="Q66" s="37" t="str">
        <f>+IF(C66="","",IF(AND(H66&lt;&gt;"",I66="SI",J66&lt;&gt;"",J66&gt;0,K66&lt;&gt;"",K66&gt;0),"SI","NO"))</f>
        <v>SI</v>
      </c>
      <c r="S66" s="37" t="str">
        <f>+IF(C66&lt;&gt;"",IF(AND(M66="SI",N66="SI",Q66="SI"),"HÁBIL","NO HÁBIL"),"")</f>
        <v>HÁBIL</v>
      </c>
    </row>
    <row r="67" spans="1:20" s="27" customFormat="1" ht="12.75" x14ac:dyDescent="0.2">
      <c r="B67" s="38"/>
      <c r="C67" s="39"/>
      <c r="D67" s="39"/>
      <c r="E67" s="46"/>
      <c r="F67" s="46"/>
      <c r="G67" s="39"/>
      <c r="H67" s="40"/>
      <c r="I67" s="41"/>
      <c r="J67" s="42"/>
      <c r="K67" s="43"/>
      <c r="L67" s="44">
        <f t="shared" ref="L67:L69" si="6">IF(OR(H67="",I67&lt;&gt;"SI",I67="NO",J67="",J67=0,K67="",K67=0,Q67&lt;&gt;"SI",N67&lt;&gt;"SI"),0,J67*K67)</f>
        <v>0</v>
      </c>
      <c r="M67" s="44" t="str">
        <f>+IF(C67&lt;&gt;"",IF(L67&gt;=$H$6,"SI","NO"),"")</f>
        <v/>
      </c>
      <c r="N67" s="41"/>
      <c r="O67" s="45"/>
      <c r="Q67" s="37" t="str">
        <f>+IF(C67="","",IF(AND(H67&lt;&gt;"",I67="SI",J67&lt;&gt;"",J67&gt;0,K67&lt;&gt;"",K67&gt;0),"SI","NO"))</f>
        <v/>
      </c>
      <c r="S67" s="37" t="str">
        <f>+IF(C67&lt;&gt;"",IF(AND(M67="SI",N67="SI",Q67="SI"),"HÁBIL","NO HÁBIL"),"")</f>
        <v/>
      </c>
    </row>
    <row r="68" spans="1:20" s="27" customFormat="1" ht="12.75" x14ac:dyDescent="0.2">
      <c r="B68" s="38"/>
      <c r="C68" s="39"/>
      <c r="D68" s="39"/>
      <c r="E68" s="46"/>
      <c r="F68" s="46"/>
      <c r="G68" s="39"/>
      <c r="H68" s="40"/>
      <c r="I68" s="41"/>
      <c r="J68" s="42"/>
      <c r="K68" s="43"/>
      <c r="L68" s="44">
        <f t="shared" si="6"/>
        <v>0</v>
      </c>
      <c r="M68" s="44" t="str">
        <f>+IF(C68&lt;&gt;"",IF(L68&gt;=$H$6,"SI","NO"),"")</f>
        <v/>
      </c>
      <c r="N68" s="41"/>
      <c r="O68" s="45"/>
      <c r="Q68" s="37" t="str">
        <f>+IF(C68="","",IF(AND(H68&lt;&gt;"",I68="SI",J68&lt;&gt;"",J68&gt;0,K68&lt;&gt;"",K68&gt;0),"SI","NO"))</f>
        <v/>
      </c>
      <c r="S68" s="37" t="str">
        <f>+IF(C68&lt;&gt;"",IF(AND(M68="SI",N68="SI",Q68="SI"),"HÁBIL","NO HÁBIL"),"")</f>
        <v/>
      </c>
    </row>
    <row r="69" spans="1:20" s="27" customFormat="1" ht="13.5" thickBot="1" x14ac:dyDescent="0.25">
      <c r="B69" s="47"/>
      <c r="C69" s="48"/>
      <c r="D69" s="48"/>
      <c r="E69" s="49"/>
      <c r="F69" s="49"/>
      <c r="G69" s="48"/>
      <c r="H69" s="50"/>
      <c r="I69" s="51"/>
      <c r="J69" s="14"/>
      <c r="K69" s="52"/>
      <c r="L69" s="53">
        <f t="shared" si="6"/>
        <v>0</v>
      </c>
      <c r="M69" s="53" t="str">
        <f>+IF(C69&lt;&gt;"",IF(L69&gt;=$H$6,"SI","NO"),"")</f>
        <v/>
      </c>
      <c r="N69" s="51"/>
      <c r="O69" s="54"/>
      <c r="Q69" s="55" t="str">
        <f>+IF(C69="","",IF(AND(H69&lt;&gt;"",I69="SI",J69&lt;&gt;"",J69&gt;0,K69&lt;&gt;"",K69&gt;0),"SI","NO"))</f>
        <v/>
      </c>
      <c r="S69" s="55" t="str">
        <f>+IF(C69&lt;&gt;"",IF(AND(M69="SI",N69="SI",Q69="SI"),"HÁBIL","NO HÁBIL"),"")</f>
        <v/>
      </c>
    </row>
    <row r="70" spans="1:20" ht="21.75" customHeight="1" thickBot="1" x14ac:dyDescent="0.25">
      <c r="A70" s="56">
        <f>+$B63</f>
        <v>7</v>
      </c>
      <c r="B70" s="57" t="str">
        <f>"A"&amp;B63</f>
        <v>A7</v>
      </c>
      <c r="C70" s="340" t="str">
        <f>+$C$16</f>
        <v>PROPONENTE HÁBIL / NO HÁBIL</v>
      </c>
      <c r="D70" s="341"/>
      <c r="E70" s="341"/>
      <c r="F70" s="341"/>
      <c r="G70" s="341"/>
      <c r="H70" s="342"/>
      <c r="I70" s="83" t="str">
        <f>IF(S66="","",IF(OR(S66="HÁBIL",S67="HÁBIL",S68="HÁBIL",S69="HÁBIL"),"HÁBIL","NO HÁBIL"))</f>
        <v>HÁBIL</v>
      </c>
      <c r="J70" s="59"/>
      <c r="K70" s="27"/>
      <c r="L70" s="27"/>
      <c r="M70" s="27"/>
      <c r="N70" s="60"/>
      <c r="O70" s="1"/>
      <c r="P70" s="61"/>
      <c r="Q70" s="61"/>
      <c r="R70" s="61"/>
      <c r="S70" s="61"/>
      <c r="T70" s="61"/>
    </row>
    <row r="71" spans="1:20" ht="9.75" customHeight="1" thickBot="1" x14ac:dyDescent="0.25">
      <c r="M71" s="84"/>
      <c r="O71" s="21"/>
    </row>
    <row r="72" spans="1:20" ht="39.75" customHeight="1" thickBot="1" x14ac:dyDescent="0.25">
      <c r="B72" s="23">
        <f>1+B63</f>
        <v>8</v>
      </c>
      <c r="C72" s="336" t="s">
        <v>893</v>
      </c>
      <c r="D72" s="337"/>
      <c r="E72" s="337"/>
      <c r="F72" s="337"/>
      <c r="G72" s="337"/>
      <c r="H72" s="337"/>
      <c r="I72" s="338"/>
      <c r="J72" s="24" t="str">
        <f>+IF(C72="","",$J$9)</f>
        <v>INTEGRANTES</v>
      </c>
      <c r="K72" s="339" t="s">
        <v>894</v>
      </c>
      <c r="L72" s="339"/>
      <c r="M72" s="339"/>
      <c r="N72" s="25">
        <f>+B72</f>
        <v>8</v>
      </c>
      <c r="O72" s="323" t="str">
        <f ca="1">+$O$9</f>
        <v>OBSERVACIONES</v>
      </c>
      <c r="Q72" s="325" t="str">
        <f ca="1">+$Q$9</f>
        <v>¿EL CONTRATO CUMPLE CON LOS REQUERIMIENTOS ADICIONALES DE EXPERIENCIA  EN EL PLIEGO?
 (INSCRIPCIÓN EN RUP - CÓDIGO UNSPSC - VALOR EN RUP - % DE PARTICIPACIÓN)
(SI / NO)</v>
      </c>
      <c r="S72" s="328" t="str">
        <f ca="1">+$S$9</f>
        <v>PROPONENTE HÁBIL/NO HÁBIL</v>
      </c>
    </row>
    <row r="73" spans="1:20" ht="42" customHeight="1" x14ac:dyDescent="0.2">
      <c r="B73" s="331" t="str">
        <f ca="1">+$B$10</f>
        <v>ITEM</v>
      </c>
      <c r="C73" s="318" t="str">
        <f ca="1">+$C$10</f>
        <v>PROPONENTE 
/ 
INTEGRANTE OFERENTE PLURAL</v>
      </c>
      <c r="D73" s="333" t="str">
        <f ca="1">+$D$10</f>
        <v>INFORMACIÓN DEL CONTRATO</v>
      </c>
      <c r="E73" s="334"/>
      <c r="F73" s="334"/>
      <c r="G73" s="335"/>
      <c r="H73" s="318" t="str">
        <f>+H64</f>
        <v>CONSECUTIVO RUP</v>
      </c>
      <c r="I73" s="318" t="str">
        <f ca="1">+$I$10</f>
        <v>¿SE ENCUENTRA INSCRITO EN EL RUP Y CUMPLE CÓDIGOS UNSPSC?</v>
      </c>
      <c r="J73" s="318" t="str">
        <f ca="1">+$J$10</f>
        <v xml:space="preserve">VALOR EN RUP (SMMLV) </v>
      </c>
      <c r="K73" s="318" t="str">
        <f ca="1">+$K$10</f>
        <v>% PARTIC en el RUP</v>
      </c>
      <c r="L73" s="318" t="str">
        <f ca="1">+$L$10</f>
        <v>VALOR DEL CONTRATO TERMINADO (SMMLV) en el   RUP</v>
      </c>
      <c r="M73" s="318" t="str">
        <f ca="1">+$M$10</f>
        <v>VALOR CERTIFICADO CONTRATO &gt; VEH</v>
      </c>
      <c r="N73" s="318" t="str">
        <f ca="1">+$N$10</f>
        <v>VALIDACIÓN DE OBJETO Y/O ALCANCE
(SI/NO)
(INTERVENTORIA DE OBRA CIVIL)</v>
      </c>
      <c r="O73" s="324"/>
      <c r="Q73" s="326"/>
      <c r="S73" s="329">
        <f ca="1">+$S$10</f>
        <v>0</v>
      </c>
    </row>
    <row r="74" spans="1:20" ht="38.25" customHeight="1" thickBot="1" x14ac:dyDescent="0.25">
      <c r="B74" s="332"/>
      <c r="C74" s="319"/>
      <c r="D74" s="26" t="str">
        <f ca="1">+$D$11</f>
        <v>ENTIDAD</v>
      </c>
      <c r="E74" s="26" t="str">
        <f ca="1">+$E$11</f>
        <v>No. DE CONTRATO</v>
      </c>
      <c r="F74" s="26" t="str">
        <f ca="1">+$F$11</f>
        <v>OBJETO</v>
      </c>
      <c r="G74" s="26" t="str">
        <f ca="1">+$G$11</f>
        <v>CONTRATISTA</v>
      </c>
      <c r="H74" s="319"/>
      <c r="I74" s="319"/>
      <c r="J74" s="319"/>
      <c r="K74" s="319"/>
      <c r="L74" s="319"/>
      <c r="M74" s="319"/>
      <c r="N74" s="319"/>
      <c r="O74" s="347"/>
      <c r="Q74" s="327"/>
      <c r="S74" s="330"/>
    </row>
    <row r="75" spans="1:20" s="27" customFormat="1" ht="60" customHeight="1" x14ac:dyDescent="0.2">
      <c r="A75" s="95"/>
      <c r="B75" s="96">
        <v>1</v>
      </c>
      <c r="C75" s="86" t="s">
        <v>47</v>
      </c>
      <c r="D75" s="86" t="s">
        <v>48</v>
      </c>
      <c r="E75" s="87" t="s">
        <v>49</v>
      </c>
      <c r="F75" s="87" t="s">
        <v>50</v>
      </c>
      <c r="G75" s="86" t="s">
        <v>51</v>
      </c>
      <c r="H75" s="30">
        <v>73</v>
      </c>
      <c r="I75" s="31" t="s">
        <v>16</v>
      </c>
      <c r="J75" s="32">
        <v>9182.3799999999992</v>
      </c>
      <c r="K75" s="33">
        <v>0.4</v>
      </c>
      <c r="L75" s="34">
        <f>IF(OR(H75="",I75&lt;&gt;"SI",I75="NO",J75="",J75=0,K75="",K75=0,Q75&lt;&gt;"SI",N75&lt;&gt;"SI"),0,J75*K75)</f>
        <v>3672.9519999999998</v>
      </c>
      <c r="M75" s="34" t="str">
        <f>+IF(C75&lt;&gt;"",IF(L75&gt;=$H$6,"SI","NO"),"")</f>
        <v>SI</v>
      </c>
      <c r="N75" s="35" t="s">
        <v>16</v>
      </c>
      <c r="O75" s="36"/>
      <c r="Q75" s="37" t="str">
        <f>+IF(C75="","",IF(AND(H75&lt;&gt;"",I75="SI",J75&lt;&gt;"",J75&gt;0,K75&lt;&gt;"",K75&gt;0),"SI","NO"))</f>
        <v>SI</v>
      </c>
      <c r="S75" s="37" t="str">
        <f>+IF(C75&lt;&gt;"",IF(AND(M75="SI",N75="SI",Q75="SI"),"HÁBIL","NO HÁBIL"),"")</f>
        <v>HÁBIL</v>
      </c>
    </row>
    <row r="76" spans="1:20" s="27" customFormat="1" ht="12.75" x14ac:dyDescent="0.2">
      <c r="A76" s="97"/>
      <c r="B76" s="10"/>
      <c r="C76" s="39"/>
      <c r="D76" s="39"/>
      <c r="E76" s="46"/>
      <c r="F76" s="46"/>
      <c r="G76" s="39"/>
      <c r="H76" s="40"/>
      <c r="I76" s="41"/>
      <c r="J76" s="42"/>
      <c r="K76" s="43"/>
      <c r="L76" s="44">
        <f t="shared" ref="L76:L78" si="7">IF(OR(H76="",I76&lt;&gt;"SI",I76="NO",J76="",J76=0,K76="",K76=0,Q76&lt;&gt;"SI",N76&lt;&gt;"SI"),0,J76*K76)</f>
        <v>0</v>
      </c>
      <c r="M76" s="44" t="str">
        <f>+IF(C76&lt;&gt;"",IF(L76&gt;=$H$6,"SI","NO"),"")</f>
        <v/>
      </c>
      <c r="N76" s="41"/>
      <c r="O76" s="45"/>
      <c r="Q76" s="37" t="str">
        <f>+IF(C76="","",IF(AND(H76&lt;&gt;"",I76="SI",J76&lt;&gt;"",J76&gt;0,K76&lt;&gt;"",K76&gt;0),"SI","NO"))</f>
        <v/>
      </c>
      <c r="S76" s="37" t="str">
        <f>+IF(C76&lt;&gt;"",IF(AND(M76="SI",N76="SI",Q76="SI"),"HÁBIL","NO HÁBIL"),"")</f>
        <v/>
      </c>
    </row>
    <row r="77" spans="1:20" s="27" customFormat="1" ht="12.75" x14ac:dyDescent="0.2">
      <c r="A77" s="97"/>
      <c r="B77" s="10"/>
      <c r="C77" s="39"/>
      <c r="D77" s="39"/>
      <c r="E77" s="46"/>
      <c r="F77" s="46"/>
      <c r="G77" s="39"/>
      <c r="H77" s="40"/>
      <c r="I77" s="41"/>
      <c r="J77" s="42"/>
      <c r="K77" s="43"/>
      <c r="L77" s="44">
        <f t="shared" si="7"/>
        <v>0</v>
      </c>
      <c r="M77" s="44" t="str">
        <f>+IF(C77&lt;&gt;"",IF(L77&gt;=$H$6,"SI","NO"),"")</f>
        <v/>
      </c>
      <c r="N77" s="41"/>
      <c r="O77" s="45"/>
      <c r="Q77" s="37" t="str">
        <f>+IF(C77="","",IF(AND(H77&lt;&gt;"",I77="SI",J77&lt;&gt;"",J77&gt;0,K77&lt;&gt;"",K77&gt;0),"SI","NO"))</f>
        <v/>
      </c>
      <c r="S77" s="37" t="str">
        <f>+IF(C77&lt;&gt;"",IF(AND(M77="SI",N77="SI",Q77="SI"),"HÁBIL","NO HÁBIL"),"")</f>
        <v/>
      </c>
    </row>
    <row r="78" spans="1:20" s="27" customFormat="1" ht="13.5" thickBot="1" x14ac:dyDescent="0.25">
      <c r="A78" s="98"/>
      <c r="B78" s="99"/>
      <c r="C78" s="48"/>
      <c r="D78" s="48"/>
      <c r="E78" s="49"/>
      <c r="F78" s="49"/>
      <c r="G78" s="48"/>
      <c r="H78" s="50"/>
      <c r="I78" s="51"/>
      <c r="J78" s="14"/>
      <c r="K78" s="52"/>
      <c r="L78" s="53">
        <f t="shared" si="7"/>
        <v>0</v>
      </c>
      <c r="M78" s="53" t="str">
        <f>+IF(C78&lt;&gt;"",IF(L78&gt;=$H$6,"SI","NO"),"")</f>
        <v/>
      </c>
      <c r="N78" s="51"/>
      <c r="O78" s="54"/>
      <c r="Q78" s="55" t="str">
        <f>+IF(C78="","",IF(AND(H78&lt;&gt;"",I78="SI",J78&lt;&gt;"",J78&gt;0,K78&lt;&gt;"",K78&gt;0),"SI","NO"))</f>
        <v/>
      </c>
      <c r="S78" s="55" t="str">
        <f>+IF(C78&lt;&gt;"",IF(AND(M78="SI",N78="SI",Q78="SI"),"HÁBIL","NO HÁBIL"),"")</f>
        <v/>
      </c>
    </row>
    <row r="79" spans="1:20" ht="24.75" customHeight="1" thickBot="1" x14ac:dyDescent="0.25">
      <c r="A79" s="56">
        <f>+$B72</f>
        <v>8</v>
      </c>
      <c r="B79" s="57" t="str">
        <f>"A"&amp;B72</f>
        <v>A8</v>
      </c>
      <c r="C79" s="340" t="str">
        <f>+$C$16</f>
        <v>PROPONENTE HÁBIL / NO HÁBIL</v>
      </c>
      <c r="D79" s="341"/>
      <c r="E79" s="341"/>
      <c r="F79" s="341"/>
      <c r="G79" s="341"/>
      <c r="H79" s="342"/>
      <c r="I79" s="83" t="str">
        <f>IF(S75="","",IF(OR(S75="HÁBIL",S76="HÁBIL",S77="HÁBIL",S78="HÁBIL"),"HÁBIL","NO HÁBIL"))</f>
        <v>HÁBIL</v>
      </c>
      <c r="J79" s="59"/>
      <c r="K79" s="27"/>
      <c r="L79" s="27"/>
      <c r="M79" s="27"/>
      <c r="N79" s="60"/>
      <c r="O79" s="1"/>
      <c r="P79" s="61"/>
      <c r="Q79" s="61"/>
      <c r="R79" s="61"/>
      <c r="S79" s="61"/>
      <c r="T79" s="61"/>
    </row>
    <row r="80" spans="1:20" ht="9.75" customHeight="1" thickBot="1" x14ac:dyDescent="0.25">
      <c r="M80" s="84"/>
      <c r="O80" s="21"/>
    </row>
    <row r="81" spans="1:20" ht="52.5" customHeight="1" thickBot="1" x14ac:dyDescent="0.25">
      <c r="B81" s="23">
        <f>1+B72</f>
        <v>9</v>
      </c>
      <c r="C81" s="336" t="s">
        <v>895</v>
      </c>
      <c r="D81" s="337"/>
      <c r="E81" s="337"/>
      <c r="F81" s="337"/>
      <c r="G81" s="337"/>
      <c r="H81" s="337"/>
      <c r="I81" s="338"/>
      <c r="J81" s="24" t="str">
        <f>+IF(C81="","",$J$9)</f>
        <v>INTEGRANTES</v>
      </c>
      <c r="K81" s="339" t="s">
        <v>896</v>
      </c>
      <c r="L81" s="339"/>
      <c r="M81" s="339"/>
      <c r="N81" s="25">
        <f>+B81</f>
        <v>9</v>
      </c>
      <c r="O81" s="323" t="str">
        <f ca="1">+$O$9</f>
        <v>OBSERVACIONES</v>
      </c>
      <c r="Q81" s="325" t="str">
        <f ca="1">+$Q$9</f>
        <v>¿EL CONTRATO CUMPLE CON LOS REQUERIMIENTOS ADICIONALES DE EXPERIENCIA  EN EL PLIEGO?
 (INSCRIPCIÓN EN RUP - CÓDIGO UNSPSC - VALOR EN RUP - % DE PARTICIPACIÓN)
(SI / NO)</v>
      </c>
      <c r="S81" s="328" t="str">
        <f ca="1">+$S$9</f>
        <v>PROPONENTE HÁBIL/NO HÁBIL</v>
      </c>
    </row>
    <row r="82" spans="1:20" ht="42" customHeight="1" x14ac:dyDescent="0.2">
      <c r="B82" s="331" t="str">
        <f ca="1">+$B$10</f>
        <v>ITEM</v>
      </c>
      <c r="C82" s="318" t="str">
        <f ca="1">+$C$10</f>
        <v>PROPONENTE 
/ 
INTEGRANTE OFERENTE PLURAL</v>
      </c>
      <c r="D82" s="333" t="str">
        <f ca="1">+$D$10</f>
        <v>INFORMACIÓN DEL CONTRATO</v>
      </c>
      <c r="E82" s="334"/>
      <c r="F82" s="334"/>
      <c r="G82" s="335"/>
      <c r="H82" s="318" t="str">
        <f>+H73</f>
        <v>CONSECUTIVO RUP</v>
      </c>
      <c r="I82" s="318" t="str">
        <f ca="1">+$I$10</f>
        <v>¿SE ENCUENTRA INSCRITO EN EL RUP Y CUMPLE CÓDIGOS UNSPSC?</v>
      </c>
      <c r="J82" s="318" t="str">
        <f ca="1">+$J$10</f>
        <v xml:space="preserve">VALOR EN RUP (SMMLV) </v>
      </c>
      <c r="K82" s="318" t="str">
        <f ca="1">+$K$10</f>
        <v>% PARTIC en el RUP</v>
      </c>
      <c r="L82" s="318" t="str">
        <f ca="1">+$L$10</f>
        <v>VALOR DEL CONTRATO TERMINADO (SMMLV) en el   RUP</v>
      </c>
      <c r="M82" s="318" t="str">
        <f ca="1">+$M$10</f>
        <v>VALOR CERTIFICADO CONTRATO &gt; VEH</v>
      </c>
      <c r="N82" s="318" t="str">
        <f ca="1">+$N$10</f>
        <v>VALIDACIÓN DE OBJETO Y/O ALCANCE
(SI/NO)
(INTERVENTORIA DE OBRA CIVIL)</v>
      </c>
      <c r="O82" s="324"/>
      <c r="Q82" s="326"/>
      <c r="S82" s="329">
        <f ca="1">+$S$10</f>
        <v>0</v>
      </c>
    </row>
    <row r="83" spans="1:20" ht="38.25" customHeight="1" thickBot="1" x14ac:dyDescent="0.25">
      <c r="B83" s="332"/>
      <c r="C83" s="319"/>
      <c r="D83" s="26" t="str">
        <f ca="1">+$D$11</f>
        <v>ENTIDAD</v>
      </c>
      <c r="E83" s="26" t="str">
        <f ca="1">+$E$11</f>
        <v>No. DE CONTRATO</v>
      </c>
      <c r="F83" s="26" t="str">
        <f ca="1">+$F$11</f>
        <v>OBJETO</v>
      </c>
      <c r="G83" s="26" t="str">
        <f ca="1">+$G$11</f>
        <v>CONTRATISTA</v>
      </c>
      <c r="H83" s="319"/>
      <c r="I83" s="319"/>
      <c r="J83" s="319"/>
      <c r="K83" s="319"/>
      <c r="L83" s="319"/>
      <c r="M83" s="319"/>
      <c r="N83" s="319"/>
      <c r="O83" s="347"/>
      <c r="Q83" s="327"/>
      <c r="S83" s="330"/>
    </row>
    <row r="84" spans="1:20" s="27" customFormat="1" ht="53.25" customHeight="1" x14ac:dyDescent="0.2">
      <c r="A84" s="95"/>
      <c r="B84" s="96">
        <v>1</v>
      </c>
      <c r="C84" s="86" t="s">
        <v>52</v>
      </c>
      <c r="D84" s="343" t="s">
        <v>43</v>
      </c>
      <c r="E84" s="345" t="s">
        <v>53</v>
      </c>
      <c r="F84" s="345" t="s">
        <v>54</v>
      </c>
      <c r="G84" s="343" t="s">
        <v>55</v>
      </c>
      <c r="H84" s="30">
        <v>16</v>
      </c>
      <c r="I84" s="31" t="s">
        <v>16</v>
      </c>
      <c r="J84" s="32">
        <v>2417.39</v>
      </c>
      <c r="K84" s="33">
        <v>0.15</v>
      </c>
      <c r="L84" s="34">
        <f>IF(OR(H84="",I84&lt;&gt;"SI",I84="NO",J84="",J84=0,K84="",K84=0,Q84&lt;&gt;"SI",N84&lt;&gt;"SI"),0,J84*K84)</f>
        <v>362.60849999999999</v>
      </c>
      <c r="M84" s="34" t="str">
        <f>+IF(C84&lt;&gt;"",IF(L84&gt;=$H$6,"SI","NO"),"")</f>
        <v>SI</v>
      </c>
      <c r="N84" s="35" t="s">
        <v>16</v>
      </c>
      <c r="O84" s="36"/>
      <c r="Q84" s="37" t="str">
        <f>+IF(C84="","",IF(AND(H84&lt;&gt;"",I84="SI",J84&lt;&gt;"",J84&gt;0,K84&lt;&gt;"",K84&gt;0),"SI","NO"))</f>
        <v>SI</v>
      </c>
      <c r="S84" s="37" t="str">
        <f>+IF(C84&lt;&gt;"",IF(AND(M84="SI",N84="SI",Q84="SI"),"HÁBIL","NO HÁBIL"),"")</f>
        <v>HÁBIL</v>
      </c>
    </row>
    <row r="85" spans="1:20" s="27" customFormat="1" ht="53.25" customHeight="1" x14ac:dyDescent="0.2">
      <c r="A85" s="97"/>
      <c r="B85" s="10">
        <v>1</v>
      </c>
      <c r="C85" s="39" t="s">
        <v>56</v>
      </c>
      <c r="D85" s="344"/>
      <c r="E85" s="346"/>
      <c r="F85" s="346"/>
      <c r="G85" s="344"/>
      <c r="H85" s="40">
        <v>10</v>
      </c>
      <c r="I85" s="41" t="s">
        <v>16</v>
      </c>
      <c r="J85" s="42">
        <v>2417.39</v>
      </c>
      <c r="K85" s="43">
        <v>0.75</v>
      </c>
      <c r="L85" s="44">
        <f t="shared" ref="L85:L87" si="8">IF(OR(H85="",I85&lt;&gt;"SI",I85="NO",J85="",J85=0,K85="",K85=0,Q85&lt;&gt;"SI",N85&lt;&gt;"SI"),0,J85*K85)</f>
        <v>1813.0425</v>
      </c>
      <c r="M85" s="44" t="str">
        <f>+IF(C85&lt;&gt;"",IF(L85&gt;=$H$6,"SI","NO"),"")</f>
        <v>SI</v>
      </c>
      <c r="N85" s="41" t="s">
        <v>16</v>
      </c>
      <c r="O85" s="45"/>
      <c r="Q85" s="37" t="str">
        <f>+IF(C85="","",IF(AND(H85&lt;&gt;"",I85="SI",J85&lt;&gt;"",J85&gt;0,K85&lt;&gt;"",K85&gt;0),"SI","NO"))</f>
        <v>SI</v>
      </c>
      <c r="S85" s="37" t="str">
        <f>+IF(C85&lt;&gt;"",IF(AND(M85="SI",N85="SI",Q85="SI"),"HÁBIL","NO HÁBIL"),"")</f>
        <v>HÁBIL</v>
      </c>
    </row>
    <row r="86" spans="1:20" s="27" customFormat="1" ht="12.75" x14ac:dyDescent="0.2">
      <c r="A86" s="97"/>
      <c r="B86" s="10"/>
      <c r="C86" s="39"/>
      <c r="D86" s="39"/>
      <c r="E86" s="46"/>
      <c r="F86" s="46"/>
      <c r="G86" s="39"/>
      <c r="H86" s="40"/>
      <c r="I86" s="41"/>
      <c r="J86" s="42"/>
      <c r="K86" s="43"/>
      <c r="L86" s="44">
        <f t="shared" si="8"/>
        <v>0</v>
      </c>
      <c r="M86" s="44" t="str">
        <f>+IF(C86&lt;&gt;"",IF(L86&gt;=$H$6,"SI","NO"),"")</f>
        <v/>
      </c>
      <c r="N86" s="41"/>
      <c r="O86" s="45"/>
      <c r="Q86" s="37" t="str">
        <f>+IF(C86="","",IF(AND(H86&lt;&gt;"",I86="SI",J86&lt;&gt;"",J86&gt;0,K86&lt;&gt;"",K86&gt;0),"SI","NO"))</f>
        <v/>
      </c>
      <c r="S86" s="37" t="str">
        <f>+IF(C86&lt;&gt;"",IF(AND(M86="SI",N86="SI",Q86="SI"),"HÁBIL","NO HÁBIL"),"")</f>
        <v/>
      </c>
    </row>
    <row r="87" spans="1:20" s="27" customFormat="1" ht="13.5" thickBot="1" x14ac:dyDescent="0.25">
      <c r="A87" s="98"/>
      <c r="B87" s="99"/>
      <c r="C87" s="48"/>
      <c r="D87" s="48"/>
      <c r="E87" s="49"/>
      <c r="F87" s="49"/>
      <c r="G87" s="48"/>
      <c r="H87" s="50"/>
      <c r="I87" s="51"/>
      <c r="J87" s="14"/>
      <c r="K87" s="52"/>
      <c r="L87" s="53">
        <f t="shared" si="8"/>
        <v>0</v>
      </c>
      <c r="M87" s="53" t="str">
        <f>+IF(C87&lt;&gt;"",IF(L87&gt;=$H$6,"SI","NO"),"")</f>
        <v/>
      </c>
      <c r="N87" s="51"/>
      <c r="O87" s="54"/>
      <c r="Q87" s="55" t="str">
        <f>+IF(C87="","",IF(AND(H87&lt;&gt;"",I87="SI",J87&lt;&gt;"",J87&gt;0,K87&lt;&gt;"",K87&gt;0),"SI","NO"))</f>
        <v/>
      </c>
      <c r="S87" s="55" t="str">
        <f>+IF(C87&lt;&gt;"",IF(AND(M87="SI",N87="SI",Q87="SI"),"HÁBIL","NO HÁBIL"),"")</f>
        <v/>
      </c>
    </row>
    <row r="88" spans="1:20" ht="26.25" customHeight="1" thickBot="1" x14ac:dyDescent="0.25">
      <c r="A88" s="56">
        <f>+$B81</f>
        <v>9</v>
      </c>
      <c r="B88" s="57" t="str">
        <f>"A"&amp;B81</f>
        <v>A9</v>
      </c>
      <c r="C88" s="340" t="str">
        <f>+$C$16</f>
        <v>PROPONENTE HÁBIL / NO HÁBIL</v>
      </c>
      <c r="D88" s="341"/>
      <c r="E88" s="341"/>
      <c r="F88" s="341"/>
      <c r="G88" s="341"/>
      <c r="H88" s="342"/>
      <c r="I88" s="83" t="str">
        <f>IF(S84="","",IF(OR(S84="HÁBIL",S85="HÁBIL",S86="HÁBIL",S87="HÁBIL"),"HÁBIL","NO HÁBIL"))</f>
        <v>HÁBIL</v>
      </c>
      <c r="J88" s="59"/>
      <c r="K88" s="27"/>
      <c r="L88" s="27"/>
      <c r="M88" s="27"/>
      <c r="N88" s="60"/>
      <c r="O88" s="1"/>
      <c r="P88" s="61"/>
      <c r="Q88" s="61"/>
      <c r="R88" s="61"/>
      <c r="S88" s="61"/>
      <c r="T88" s="61"/>
    </row>
    <row r="89" spans="1:20" ht="9.75" customHeight="1" thickBot="1" x14ac:dyDescent="0.25">
      <c r="M89" s="84"/>
      <c r="O89" s="21"/>
    </row>
    <row r="90" spans="1:20" ht="36.75" customHeight="1" thickBot="1" x14ac:dyDescent="0.25">
      <c r="B90" s="23">
        <f>1+B81</f>
        <v>10</v>
      </c>
      <c r="C90" s="336" t="s">
        <v>897</v>
      </c>
      <c r="D90" s="337"/>
      <c r="E90" s="337"/>
      <c r="F90" s="337"/>
      <c r="G90" s="337"/>
      <c r="H90" s="337"/>
      <c r="I90" s="338"/>
      <c r="J90" s="24" t="str">
        <f>+IF(C90="","",$J$9)</f>
        <v>INTEGRANTES</v>
      </c>
      <c r="K90" s="339" t="s">
        <v>898</v>
      </c>
      <c r="L90" s="339"/>
      <c r="M90" s="339"/>
      <c r="N90" s="25">
        <f>+B90</f>
        <v>10</v>
      </c>
      <c r="O90" s="323" t="str">
        <f ca="1">+$O$9</f>
        <v>OBSERVACIONES</v>
      </c>
      <c r="Q90" s="325" t="str">
        <f ca="1">+$Q$9</f>
        <v>¿EL CONTRATO CUMPLE CON LOS REQUERIMIENTOS ADICIONALES DE EXPERIENCIA  EN EL PLIEGO?
 (INSCRIPCIÓN EN RUP - CÓDIGO UNSPSC - VALOR EN RUP - % DE PARTICIPACIÓN)
(SI / NO)</v>
      </c>
      <c r="S90" s="328" t="str">
        <f ca="1">+$S$9</f>
        <v>PROPONENTE HÁBIL/NO HÁBIL</v>
      </c>
    </row>
    <row r="91" spans="1:20" ht="42" customHeight="1" x14ac:dyDescent="0.2">
      <c r="B91" s="331" t="str">
        <f ca="1">+$B$10</f>
        <v>ITEM</v>
      </c>
      <c r="C91" s="318" t="str">
        <f ca="1">+$C$10</f>
        <v>PROPONENTE 
/ 
INTEGRANTE OFERENTE PLURAL</v>
      </c>
      <c r="D91" s="333" t="str">
        <f ca="1">+$D$10</f>
        <v>INFORMACIÓN DEL CONTRATO</v>
      </c>
      <c r="E91" s="334"/>
      <c r="F91" s="334"/>
      <c r="G91" s="335"/>
      <c r="H91" s="318" t="str">
        <f>+H82</f>
        <v>CONSECUTIVO RUP</v>
      </c>
      <c r="I91" s="318" t="str">
        <f ca="1">+$I$10</f>
        <v>¿SE ENCUENTRA INSCRITO EN EL RUP Y CUMPLE CÓDIGOS UNSPSC?</v>
      </c>
      <c r="J91" s="318" t="str">
        <f ca="1">+$J$10</f>
        <v xml:space="preserve">VALOR EN RUP (SMMLV) </v>
      </c>
      <c r="K91" s="318" t="str">
        <f ca="1">+$K$10</f>
        <v>% PARTIC en el RUP</v>
      </c>
      <c r="L91" s="318" t="str">
        <f ca="1">+$L$10</f>
        <v>VALOR DEL CONTRATO TERMINADO (SMMLV) en el   RUP</v>
      </c>
      <c r="M91" s="318" t="str">
        <f ca="1">+$M$10</f>
        <v>VALOR CERTIFICADO CONTRATO &gt; VEH</v>
      </c>
      <c r="N91" s="318" t="str">
        <f ca="1">+$N$10</f>
        <v>VALIDACIÓN DE OBJETO Y/O ALCANCE
(SI/NO)
(INTERVENTORIA DE OBRA CIVIL)</v>
      </c>
      <c r="O91" s="324"/>
      <c r="Q91" s="326"/>
      <c r="S91" s="329">
        <f ca="1">+$S$10</f>
        <v>0</v>
      </c>
    </row>
    <row r="92" spans="1:20" ht="38.25" customHeight="1" thickBot="1" x14ac:dyDescent="0.25">
      <c r="B92" s="332"/>
      <c r="C92" s="319"/>
      <c r="D92" s="26" t="str">
        <f ca="1">+$D$11</f>
        <v>ENTIDAD</v>
      </c>
      <c r="E92" s="26" t="str">
        <f ca="1">+$E$11</f>
        <v>No. DE CONTRATO</v>
      </c>
      <c r="F92" s="26" t="str">
        <f ca="1">+$F$11</f>
        <v>OBJETO</v>
      </c>
      <c r="G92" s="26" t="str">
        <f ca="1">+$G$11</f>
        <v>CONTRATISTA</v>
      </c>
      <c r="H92" s="319"/>
      <c r="I92" s="319"/>
      <c r="J92" s="319"/>
      <c r="K92" s="319"/>
      <c r="L92" s="319"/>
      <c r="M92" s="319"/>
      <c r="N92" s="319"/>
      <c r="O92" s="347"/>
      <c r="Q92" s="327"/>
      <c r="S92" s="330"/>
    </row>
    <row r="93" spans="1:20" s="27" customFormat="1" ht="62.25" customHeight="1" x14ac:dyDescent="0.2">
      <c r="A93" s="95"/>
      <c r="B93" s="96">
        <v>1</v>
      </c>
      <c r="C93" s="86" t="s">
        <v>57</v>
      </c>
      <c r="D93" s="86" t="s">
        <v>58</v>
      </c>
      <c r="E93" s="87" t="s">
        <v>59</v>
      </c>
      <c r="F93" s="87" t="s">
        <v>60</v>
      </c>
      <c r="G93" s="86" t="s">
        <v>57</v>
      </c>
      <c r="H93" s="30">
        <v>52</v>
      </c>
      <c r="I93" s="31" t="s">
        <v>16</v>
      </c>
      <c r="J93" s="32">
        <v>1259.8599999999999</v>
      </c>
      <c r="K93" s="100">
        <v>1</v>
      </c>
      <c r="L93" s="34">
        <f>IF(OR(H93="",I93&lt;&gt;"SI",I93="NO",J93="",J93=0,K93="",K93=0,Q93&lt;&gt;"SI",N93&lt;&gt;"SI"),0,J93*K93)</f>
        <v>1259.8599999999999</v>
      </c>
      <c r="M93" s="34" t="str">
        <f>+IF(C93&lt;&gt;"",IF(L93&gt;=$H$6,"SI","NO"),"")</f>
        <v>SI</v>
      </c>
      <c r="N93" s="35" t="s">
        <v>16</v>
      </c>
      <c r="O93" s="36"/>
      <c r="Q93" s="37" t="str">
        <f>+IF(C93="","",IF(AND(H93&lt;&gt;"",I93="SI",J93&lt;&gt;"",J93&gt;0,K93&lt;&gt;"",K93&gt;0),"SI","NO"))</f>
        <v>SI</v>
      </c>
      <c r="S93" s="37" t="str">
        <f>+IF(C93&lt;&gt;"",IF(AND(M93="SI",N93="SI",Q93="SI"),"HÁBIL","NO HÁBIL"),"")</f>
        <v>HÁBIL</v>
      </c>
    </row>
    <row r="94" spans="1:20" s="27" customFormat="1" ht="12.75" x14ac:dyDescent="0.2">
      <c r="A94" s="97"/>
      <c r="B94" s="10"/>
      <c r="C94" s="39"/>
      <c r="D94" s="39"/>
      <c r="E94" s="46"/>
      <c r="F94" s="46"/>
      <c r="G94" s="39"/>
      <c r="H94" s="40"/>
      <c r="I94" s="41"/>
      <c r="J94" s="42"/>
      <c r="K94" s="43"/>
      <c r="L94" s="44">
        <f t="shared" ref="L94:L96" si="9">IF(OR(H94="",I94&lt;&gt;"SI",I94="NO",J94="",J94=0,K94="",K94=0,Q94&lt;&gt;"SI",N94&lt;&gt;"SI"),0,J94*K94)</f>
        <v>0</v>
      </c>
      <c r="M94" s="44" t="str">
        <f>+IF(C94&lt;&gt;"",IF(L94&gt;=$H$6,"SI","NO"),"")</f>
        <v/>
      </c>
      <c r="N94" s="41"/>
      <c r="O94" s="45"/>
      <c r="Q94" s="37" t="str">
        <f>+IF(C94="","",IF(AND(H94&lt;&gt;"",I94="SI",J94&lt;&gt;"",J94&gt;0,K94&lt;&gt;"",K94&gt;0),"SI","NO"))</f>
        <v/>
      </c>
      <c r="S94" s="37" t="str">
        <f>+IF(C94&lt;&gt;"",IF(AND(M94="SI",N94="SI",Q94="SI"),"HÁBIL","NO HÁBIL"),"")</f>
        <v/>
      </c>
    </row>
    <row r="95" spans="1:20" s="27" customFormat="1" ht="12.75" x14ac:dyDescent="0.2">
      <c r="A95" s="97"/>
      <c r="B95" s="10"/>
      <c r="C95" s="39"/>
      <c r="D95" s="39"/>
      <c r="E95" s="46"/>
      <c r="F95" s="46"/>
      <c r="G95" s="39"/>
      <c r="H95" s="40"/>
      <c r="I95" s="41"/>
      <c r="J95" s="42"/>
      <c r="K95" s="43"/>
      <c r="L95" s="44">
        <f t="shared" si="9"/>
        <v>0</v>
      </c>
      <c r="M95" s="44" t="str">
        <f>+IF(C95&lt;&gt;"",IF(L95&gt;=$H$6,"SI","NO"),"")</f>
        <v/>
      </c>
      <c r="N95" s="41"/>
      <c r="O95" s="45"/>
      <c r="Q95" s="37" t="str">
        <f>+IF(C95="","",IF(AND(H95&lt;&gt;"",I95="SI",J95&lt;&gt;"",J95&gt;0,K95&lt;&gt;"",K95&gt;0),"SI","NO"))</f>
        <v/>
      </c>
      <c r="S95" s="37" t="str">
        <f>+IF(C95&lt;&gt;"",IF(AND(M95="SI",N95="SI",Q95="SI"),"HÁBIL","NO HÁBIL"),"")</f>
        <v/>
      </c>
    </row>
    <row r="96" spans="1:20" s="27" customFormat="1" ht="13.5" thickBot="1" x14ac:dyDescent="0.25">
      <c r="A96" s="98"/>
      <c r="B96" s="99"/>
      <c r="C96" s="48"/>
      <c r="D96" s="48"/>
      <c r="E96" s="49"/>
      <c r="F96" s="49"/>
      <c r="G96" s="48"/>
      <c r="H96" s="50"/>
      <c r="I96" s="51"/>
      <c r="J96" s="14"/>
      <c r="K96" s="52"/>
      <c r="L96" s="53">
        <f t="shared" si="9"/>
        <v>0</v>
      </c>
      <c r="M96" s="53" t="str">
        <f>+IF(C96&lt;&gt;"",IF(L96&gt;=$H$6,"SI","NO"),"")</f>
        <v/>
      </c>
      <c r="N96" s="51"/>
      <c r="O96" s="54"/>
      <c r="Q96" s="55" t="str">
        <f>+IF(C96="","",IF(AND(H96&lt;&gt;"",I96="SI",J96&lt;&gt;"",J96&gt;0,K96&lt;&gt;"",K96&gt;0),"SI","NO"))</f>
        <v/>
      </c>
      <c r="S96" s="55" t="str">
        <f>+IF(C96&lt;&gt;"",IF(AND(M96="SI",N96="SI",Q96="SI"),"HÁBIL","NO HÁBIL"),"")</f>
        <v/>
      </c>
    </row>
    <row r="97" spans="1:20" ht="21" customHeight="1" thickBot="1" x14ac:dyDescent="0.25">
      <c r="A97" s="56">
        <f>+$B90</f>
        <v>10</v>
      </c>
      <c r="B97" s="57" t="str">
        <f>"A"&amp;B90</f>
        <v>A10</v>
      </c>
      <c r="C97" s="340" t="str">
        <f>+$C$16</f>
        <v>PROPONENTE HÁBIL / NO HÁBIL</v>
      </c>
      <c r="D97" s="341"/>
      <c r="E97" s="341"/>
      <c r="F97" s="341"/>
      <c r="G97" s="341"/>
      <c r="H97" s="342"/>
      <c r="I97" s="83" t="str">
        <f>IF(S93="","",IF(OR(S93="HÁBIL",S94="HÁBIL",S95="HÁBIL",S96="HÁBIL"),"HÁBIL","NO HÁBIL"))</f>
        <v>HÁBIL</v>
      </c>
      <c r="J97" s="59"/>
      <c r="K97" s="27"/>
      <c r="L97" s="27"/>
      <c r="M97" s="27"/>
      <c r="N97" s="60"/>
      <c r="O97" s="1"/>
      <c r="P97" s="61"/>
      <c r="Q97" s="61"/>
      <c r="R97" s="61"/>
      <c r="S97" s="61"/>
      <c r="T97" s="61"/>
    </row>
    <row r="98" spans="1:20" ht="9.75" customHeight="1" thickBot="1" x14ac:dyDescent="0.25">
      <c r="M98" s="84"/>
      <c r="O98" s="21"/>
    </row>
    <row r="99" spans="1:20" ht="36.75" customHeight="1" thickBot="1" x14ac:dyDescent="0.25">
      <c r="B99" s="23">
        <f>1+B90</f>
        <v>11</v>
      </c>
      <c r="C99" s="336" t="s">
        <v>61</v>
      </c>
      <c r="D99" s="337"/>
      <c r="E99" s="337"/>
      <c r="F99" s="337"/>
      <c r="G99" s="337"/>
      <c r="H99" s="337"/>
      <c r="I99" s="338"/>
      <c r="J99" s="24" t="str">
        <f>+IF(C99="","",$J$9)</f>
        <v>INTEGRANTES</v>
      </c>
      <c r="K99" s="339" t="s">
        <v>890</v>
      </c>
      <c r="L99" s="339"/>
      <c r="M99" s="339"/>
      <c r="N99" s="25">
        <f>+B99</f>
        <v>11</v>
      </c>
      <c r="O99" s="323" t="str">
        <f ca="1">+$O$9</f>
        <v>OBSERVACIONES</v>
      </c>
      <c r="Q99" s="325" t="str">
        <f ca="1">+$Q$9</f>
        <v>¿EL CONTRATO CUMPLE CON LOS REQUERIMIENTOS ADICIONALES DE EXPERIENCIA  EN EL PLIEGO?
 (INSCRIPCIÓN EN RUP - CÓDIGO UNSPSC - VALOR EN RUP - % DE PARTICIPACIÓN)
(SI / NO)</v>
      </c>
      <c r="S99" s="328" t="str">
        <f ca="1">+$S$9</f>
        <v>PROPONENTE HÁBIL/NO HÁBIL</v>
      </c>
    </row>
    <row r="100" spans="1:20" ht="42" customHeight="1" x14ac:dyDescent="0.2">
      <c r="B100" s="331" t="str">
        <f ca="1">+$B$10</f>
        <v>ITEM</v>
      </c>
      <c r="C100" s="318" t="str">
        <f ca="1">+$C$10</f>
        <v>PROPONENTE 
/ 
INTEGRANTE OFERENTE PLURAL</v>
      </c>
      <c r="D100" s="333" t="str">
        <f ca="1">+$D$10</f>
        <v>INFORMACIÓN DEL CONTRATO</v>
      </c>
      <c r="E100" s="334"/>
      <c r="F100" s="334"/>
      <c r="G100" s="335"/>
      <c r="H100" s="318" t="str">
        <f>+H91</f>
        <v>CONSECUTIVO RUP</v>
      </c>
      <c r="I100" s="318" t="str">
        <f ca="1">+$I$10</f>
        <v>¿SE ENCUENTRA INSCRITO EN EL RUP Y CUMPLE CÓDIGOS UNSPSC?</v>
      </c>
      <c r="J100" s="318" t="str">
        <f ca="1">+$J$10</f>
        <v xml:space="preserve">VALOR EN RUP (SMMLV) </v>
      </c>
      <c r="K100" s="318" t="str">
        <f ca="1">+$K$10</f>
        <v>% PARTIC en el RUP</v>
      </c>
      <c r="L100" s="318" t="str">
        <f ca="1">+$L$10</f>
        <v>VALOR DEL CONTRATO TERMINADO (SMMLV) en el   RUP</v>
      </c>
      <c r="M100" s="318" t="str">
        <f ca="1">+$M$10</f>
        <v>VALOR CERTIFICADO CONTRATO &gt; VEH</v>
      </c>
      <c r="N100" s="318" t="str">
        <f ca="1">+$N$10</f>
        <v>VALIDACIÓN DE OBJETO Y/O ALCANCE
(SI/NO)
(INTERVENTORIA DE OBRA CIVIL)</v>
      </c>
      <c r="O100" s="324"/>
      <c r="Q100" s="326"/>
      <c r="S100" s="329">
        <f ca="1">+$S$10</f>
        <v>0</v>
      </c>
    </row>
    <row r="101" spans="1:20" ht="38.25" customHeight="1" thickBot="1" x14ac:dyDescent="0.25">
      <c r="B101" s="332"/>
      <c r="C101" s="319"/>
      <c r="D101" s="26" t="str">
        <f ca="1">+$D$11</f>
        <v>ENTIDAD</v>
      </c>
      <c r="E101" s="26" t="str">
        <f ca="1">+$E$11</f>
        <v>No. DE CONTRATO</v>
      </c>
      <c r="F101" s="26" t="str">
        <f ca="1">+$F$11</f>
        <v>OBJETO</v>
      </c>
      <c r="G101" s="26" t="str">
        <f ca="1">+$G$11</f>
        <v>CONTRATISTA</v>
      </c>
      <c r="H101" s="319"/>
      <c r="I101" s="319"/>
      <c r="J101" s="319"/>
      <c r="K101" s="319"/>
      <c r="L101" s="319"/>
      <c r="M101" s="319"/>
      <c r="N101" s="319"/>
      <c r="O101" s="324"/>
      <c r="Q101" s="327"/>
      <c r="S101" s="330"/>
    </row>
    <row r="102" spans="1:20" s="27" customFormat="1" ht="309" customHeight="1" x14ac:dyDescent="0.2">
      <c r="B102" s="28">
        <v>1</v>
      </c>
      <c r="C102" s="86" t="s">
        <v>61</v>
      </c>
      <c r="D102" s="86" t="s">
        <v>62</v>
      </c>
      <c r="E102" s="87" t="s">
        <v>63</v>
      </c>
      <c r="F102" s="87" t="s">
        <v>64</v>
      </c>
      <c r="G102" s="86" t="s">
        <v>61</v>
      </c>
      <c r="H102" s="30">
        <v>67</v>
      </c>
      <c r="I102" s="31" t="s">
        <v>16</v>
      </c>
      <c r="J102" s="32">
        <v>1825.87</v>
      </c>
      <c r="K102" s="33">
        <v>1</v>
      </c>
      <c r="L102" s="34">
        <f>IF(OR(H102="",I102&lt;&gt;"SI",I102="NO",J102="",J102=0,K102="",K102=0,Q102&lt;&gt;"SI",N102&lt;&gt;"SI"),0,J102*K102)</f>
        <v>1825.87</v>
      </c>
      <c r="M102" s="34" t="str">
        <f>+IF(C102&lt;&gt;"",IF(L102&gt;=$H$6,"SI","NO"),"")</f>
        <v>SI</v>
      </c>
      <c r="N102" s="35" t="s">
        <v>16</v>
      </c>
      <c r="O102" s="36"/>
      <c r="Q102" s="37" t="str">
        <f>+IF(C102="","",IF(AND(H102&lt;&gt;"",I102="SI",J102&lt;&gt;"",J102&gt;0,K102&lt;&gt;"",K102&gt;0),"SI","NO"))</f>
        <v>SI</v>
      </c>
      <c r="S102" s="37" t="str">
        <f>+IF(C102&lt;&gt;"",IF(AND(M102="SI",N102="SI",Q102="SI"),"HÁBIL","NO HÁBIL"),"")</f>
        <v>HÁBIL</v>
      </c>
    </row>
    <row r="103" spans="1:20" s="27" customFormat="1" ht="12.75" x14ac:dyDescent="0.2">
      <c r="B103" s="38"/>
      <c r="C103" s="39"/>
      <c r="D103" s="39"/>
      <c r="E103" s="46"/>
      <c r="F103" s="46"/>
      <c r="G103" s="39"/>
      <c r="H103" s="40"/>
      <c r="I103" s="41"/>
      <c r="J103" s="42"/>
      <c r="K103" s="43"/>
      <c r="L103" s="44">
        <f t="shared" ref="L103:L105" si="10">IF(OR(H103="",I103&lt;&gt;"SI",I103="NO",J103="",J103=0,K103="",K103=0,Q103&lt;&gt;"SI",N103&lt;&gt;"SI"),0,J103*K103)</f>
        <v>0</v>
      </c>
      <c r="M103" s="44" t="str">
        <f>+IF(C103&lt;&gt;"",IF(L103&gt;=$H$6,"SI","NO"),"")</f>
        <v/>
      </c>
      <c r="N103" s="41"/>
      <c r="O103" s="45"/>
      <c r="Q103" s="37" t="str">
        <f>+IF(C103="","",IF(AND(H103&lt;&gt;"",I103="SI",J103&lt;&gt;"",J103&gt;0,K103&lt;&gt;"",K103&gt;0),"SI","NO"))</f>
        <v/>
      </c>
      <c r="S103" s="37" t="str">
        <f>+IF(C103&lt;&gt;"",IF(AND(M103="SI",N103="SI",Q103="SI"),"HÁBIL","NO HÁBIL"),"")</f>
        <v/>
      </c>
    </row>
    <row r="104" spans="1:20" s="27" customFormat="1" ht="12.75" x14ac:dyDescent="0.2">
      <c r="B104" s="38"/>
      <c r="C104" s="39"/>
      <c r="D104" s="39"/>
      <c r="E104" s="46"/>
      <c r="F104" s="46"/>
      <c r="G104" s="39"/>
      <c r="H104" s="40"/>
      <c r="I104" s="41"/>
      <c r="J104" s="42"/>
      <c r="K104" s="43"/>
      <c r="L104" s="44">
        <f t="shared" si="10"/>
        <v>0</v>
      </c>
      <c r="M104" s="44" t="str">
        <f>+IF(C104&lt;&gt;"",IF(L104&gt;=$H$6,"SI","NO"),"")</f>
        <v/>
      </c>
      <c r="N104" s="41"/>
      <c r="O104" s="45"/>
      <c r="Q104" s="37" t="str">
        <f>+IF(C104="","",IF(AND(H104&lt;&gt;"",I104="SI",J104&lt;&gt;"",J104&gt;0,K104&lt;&gt;"",K104&gt;0),"SI","NO"))</f>
        <v/>
      </c>
      <c r="S104" s="37" t="str">
        <f>+IF(C104&lt;&gt;"",IF(AND(M104="SI",N104="SI",Q104="SI"),"HÁBIL","NO HÁBIL"),"")</f>
        <v/>
      </c>
    </row>
    <row r="105" spans="1:20" s="27" customFormat="1" ht="13.5" thickBot="1" x14ac:dyDescent="0.25">
      <c r="B105" s="47"/>
      <c r="C105" s="48"/>
      <c r="D105" s="48"/>
      <c r="E105" s="49"/>
      <c r="F105" s="49"/>
      <c r="G105" s="48"/>
      <c r="H105" s="50"/>
      <c r="I105" s="51"/>
      <c r="J105" s="14"/>
      <c r="K105" s="52"/>
      <c r="L105" s="53">
        <f t="shared" si="10"/>
        <v>0</v>
      </c>
      <c r="M105" s="53" t="str">
        <f>+IF(C105&lt;&gt;"",IF(L105&gt;=$H$6,"SI","NO"),"")</f>
        <v/>
      </c>
      <c r="N105" s="51"/>
      <c r="O105" s="54"/>
      <c r="Q105" s="55" t="str">
        <f>+IF(C105="","",IF(AND(H105&lt;&gt;"",I105="SI",J105&lt;&gt;"",J105&gt;0,K105&lt;&gt;"",K105&gt;0),"SI","NO"))</f>
        <v/>
      </c>
      <c r="S105" s="55" t="str">
        <f>+IF(C105&lt;&gt;"",IF(AND(M105="SI",N105="SI",Q105="SI"),"HÁBIL","NO HÁBIL"),"")</f>
        <v/>
      </c>
    </row>
    <row r="106" spans="1:20" ht="25.5" customHeight="1" thickBot="1" x14ac:dyDescent="0.25">
      <c r="A106" s="56">
        <f>+$B99</f>
        <v>11</v>
      </c>
      <c r="B106" s="57" t="str">
        <f>"A"&amp;B99</f>
        <v>A11</v>
      </c>
      <c r="C106" s="340" t="str">
        <f>+$C$16</f>
        <v>PROPONENTE HÁBIL / NO HÁBIL</v>
      </c>
      <c r="D106" s="341"/>
      <c r="E106" s="341"/>
      <c r="F106" s="341"/>
      <c r="G106" s="341"/>
      <c r="H106" s="342"/>
      <c r="I106" s="58" t="str">
        <f>IF(S102="","",IF(OR(S102="HÁBIL",S103="HÁBIL",S104="HÁBIL",S105="HÁBIL"),"HÁBIL","NO HÁBIL"))</f>
        <v>HÁBIL</v>
      </c>
      <c r="J106" s="59"/>
      <c r="K106" s="27"/>
      <c r="L106" s="27"/>
      <c r="M106" s="27"/>
      <c r="N106" s="60"/>
      <c r="O106" s="1"/>
      <c r="P106" s="61"/>
      <c r="Q106" s="61"/>
      <c r="R106" s="61"/>
      <c r="S106" s="61"/>
      <c r="T106" s="61"/>
    </row>
    <row r="107" spans="1:20" ht="9.75" customHeight="1" thickBot="1" x14ac:dyDescent="0.25">
      <c r="M107" s="84"/>
      <c r="O107" s="21"/>
    </row>
    <row r="108" spans="1:20" ht="36.75" customHeight="1" thickBot="1" x14ac:dyDescent="0.25">
      <c r="B108" s="23">
        <f>1+B99</f>
        <v>12</v>
      </c>
      <c r="C108" s="336" t="s">
        <v>65</v>
      </c>
      <c r="D108" s="337"/>
      <c r="E108" s="337"/>
      <c r="F108" s="337"/>
      <c r="G108" s="337"/>
      <c r="H108" s="337"/>
      <c r="I108" s="338"/>
      <c r="J108" s="24" t="str">
        <f>+IF(C108="","",$J$9)</f>
        <v>INTEGRANTES</v>
      </c>
      <c r="K108" s="339" t="s">
        <v>890</v>
      </c>
      <c r="L108" s="339"/>
      <c r="M108" s="339"/>
      <c r="N108" s="25">
        <f>+B108</f>
        <v>12</v>
      </c>
      <c r="O108" s="323" t="str">
        <f ca="1">+$O$9</f>
        <v>OBSERVACIONES</v>
      </c>
      <c r="Q108" s="325" t="str">
        <f ca="1">+$Q$9</f>
        <v>¿EL CONTRATO CUMPLE CON LOS REQUERIMIENTOS ADICIONALES DE EXPERIENCIA  EN EL PLIEGO?
 (INSCRIPCIÓN EN RUP - CÓDIGO UNSPSC - VALOR EN RUP - % DE PARTICIPACIÓN)
(SI / NO)</v>
      </c>
      <c r="S108" s="328" t="str">
        <f ca="1">+$S$9</f>
        <v>PROPONENTE HÁBIL/NO HÁBIL</v>
      </c>
    </row>
    <row r="109" spans="1:20" ht="42" customHeight="1" x14ac:dyDescent="0.2">
      <c r="B109" s="331" t="str">
        <f ca="1">+$B$10</f>
        <v>ITEM</v>
      </c>
      <c r="C109" s="318" t="str">
        <f ca="1">+$C$10</f>
        <v>PROPONENTE 
/ 
INTEGRANTE OFERENTE PLURAL</v>
      </c>
      <c r="D109" s="333" t="str">
        <f ca="1">+$D$10</f>
        <v>INFORMACIÓN DEL CONTRATO</v>
      </c>
      <c r="E109" s="334"/>
      <c r="F109" s="334"/>
      <c r="G109" s="335"/>
      <c r="H109" s="318" t="str">
        <f>+H100</f>
        <v>CONSECUTIVO RUP</v>
      </c>
      <c r="I109" s="318" t="str">
        <f ca="1">+$I$10</f>
        <v>¿SE ENCUENTRA INSCRITO EN EL RUP Y CUMPLE CÓDIGOS UNSPSC?</v>
      </c>
      <c r="J109" s="318" t="str">
        <f ca="1">+$J$10</f>
        <v xml:space="preserve">VALOR EN RUP (SMMLV) </v>
      </c>
      <c r="K109" s="318" t="str">
        <f ca="1">+$K$10</f>
        <v>% PARTIC en el RUP</v>
      </c>
      <c r="L109" s="318" t="str">
        <f ca="1">+$L$10</f>
        <v>VALOR DEL CONTRATO TERMINADO (SMMLV) en el   RUP</v>
      </c>
      <c r="M109" s="318" t="str">
        <f ca="1">+$M$10</f>
        <v>VALOR CERTIFICADO CONTRATO &gt; VEH</v>
      </c>
      <c r="N109" s="318" t="str">
        <f ca="1">+$N$10</f>
        <v>VALIDACIÓN DE OBJETO Y/O ALCANCE
(SI/NO)
(INTERVENTORIA DE OBRA CIVIL)</v>
      </c>
      <c r="O109" s="324"/>
      <c r="Q109" s="326"/>
      <c r="S109" s="329">
        <f ca="1">+$S$10</f>
        <v>0</v>
      </c>
    </row>
    <row r="110" spans="1:20" ht="38.25" customHeight="1" thickBot="1" x14ac:dyDescent="0.25">
      <c r="B110" s="332"/>
      <c r="C110" s="319"/>
      <c r="D110" s="26" t="str">
        <f ca="1">+$D$11</f>
        <v>ENTIDAD</v>
      </c>
      <c r="E110" s="26" t="str">
        <f ca="1">+$E$11</f>
        <v>No. DE CONTRATO</v>
      </c>
      <c r="F110" s="26" t="str">
        <f ca="1">+$F$11</f>
        <v>OBJETO</v>
      </c>
      <c r="G110" s="26" t="str">
        <f ca="1">+$G$11</f>
        <v>CONTRATISTA</v>
      </c>
      <c r="H110" s="319"/>
      <c r="I110" s="319"/>
      <c r="J110" s="319"/>
      <c r="K110" s="319"/>
      <c r="L110" s="319"/>
      <c r="M110" s="319"/>
      <c r="N110" s="319"/>
      <c r="O110" s="324"/>
      <c r="Q110" s="327"/>
      <c r="S110" s="330"/>
    </row>
    <row r="111" spans="1:20" s="27" customFormat="1" ht="76.5" customHeight="1" x14ac:dyDescent="0.2">
      <c r="B111" s="28">
        <v>1</v>
      </c>
      <c r="C111" s="86" t="s">
        <v>65</v>
      </c>
      <c r="D111" s="86" t="s">
        <v>66</v>
      </c>
      <c r="E111" s="87" t="s">
        <v>67</v>
      </c>
      <c r="F111" s="87" t="s">
        <v>68</v>
      </c>
      <c r="G111" s="86" t="s">
        <v>65</v>
      </c>
      <c r="H111" s="30">
        <v>2</v>
      </c>
      <c r="I111" s="31" t="s">
        <v>16</v>
      </c>
      <c r="J111" s="32">
        <v>13669.29</v>
      </c>
      <c r="K111" s="33">
        <v>1</v>
      </c>
      <c r="L111" s="34">
        <f>IF(OR(H111="",I111&lt;&gt;"SI",I111="NO",J111="",J111=0,K111="",K111=0,Q111&lt;&gt;"SI",N111&lt;&gt;"SI"),0,J111*K111)</f>
        <v>13669.29</v>
      </c>
      <c r="M111" s="34" t="str">
        <f>+IF(C111&lt;&gt;"",IF(L111&gt;=$H$6,"SI","NO"),"")</f>
        <v>SI</v>
      </c>
      <c r="N111" s="35" t="s">
        <v>16</v>
      </c>
      <c r="O111" s="36"/>
      <c r="Q111" s="37" t="str">
        <f>+IF(C111="","",IF(AND(H111&lt;&gt;"",I111="SI",J111&lt;&gt;"",J111&gt;0,K111&lt;&gt;"",K111&gt;0),"SI","NO"))</f>
        <v>SI</v>
      </c>
      <c r="S111" s="37" t="str">
        <f>+IF(C111&lt;&gt;"",IF(AND(M111="SI",N111="SI",Q111="SI"),"HÁBIL","NO HÁBIL"),"")</f>
        <v>HÁBIL</v>
      </c>
    </row>
    <row r="112" spans="1:20" s="27" customFormat="1" ht="12.75" x14ac:dyDescent="0.2">
      <c r="B112" s="38"/>
      <c r="C112" s="39"/>
      <c r="D112" s="39"/>
      <c r="E112" s="46"/>
      <c r="F112" s="46"/>
      <c r="G112" s="39"/>
      <c r="H112" s="40"/>
      <c r="I112" s="41"/>
      <c r="J112" s="42"/>
      <c r="K112" s="43"/>
      <c r="L112" s="44">
        <f t="shared" ref="L112:L114" si="11">IF(OR(H112="",I112&lt;&gt;"SI",I112="NO",J112="",J112=0,K112="",K112=0,Q112&lt;&gt;"SI",N112&lt;&gt;"SI"),0,J112*K112)</f>
        <v>0</v>
      </c>
      <c r="M112" s="44" t="str">
        <f>+IF(C112&lt;&gt;"",IF(L112&gt;=$H$6,"SI","NO"),"")</f>
        <v/>
      </c>
      <c r="N112" s="41"/>
      <c r="O112" s="45"/>
      <c r="Q112" s="37" t="str">
        <f>+IF(C112="","",IF(AND(H112&lt;&gt;"",I112="SI",J112&lt;&gt;"",J112&gt;0,K112&lt;&gt;"",K112&gt;0),"SI","NO"))</f>
        <v/>
      </c>
      <c r="S112" s="37" t="str">
        <f>+IF(C112&lt;&gt;"",IF(AND(M112="SI",N112="SI",Q112="SI"),"HÁBIL","NO HÁBIL"),"")</f>
        <v/>
      </c>
    </row>
    <row r="113" spans="1:20" s="27" customFormat="1" ht="12.75" x14ac:dyDescent="0.2">
      <c r="B113" s="38"/>
      <c r="C113" s="39"/>
      <c r="D113" s="39"/>
      <c r="E113" s="46"/>
      <c r="F113" s="46"/>
      <c r="G113" s="39"/>
      <c r="H113" s="40"/>
      <c r="I113" s="41"/>
      <c r="J113" s="42"/>
      <c r="K113" s="43"/>
      <c r="L113" s="44">
        <f t="shared" si="11"/>
        <v>0</v>
      </c>
      <c r="M113" s="44" t="str">
        <f>+IF(C113&lt;&gt;"",IF(L113&gt;=$H$6,"SI","NO"),"")</f>
        <v/>
      </c>
      <c r="N113" s="41"/>
      <c r="O113" s="45"/>
      <c r="Q113" s="37" t="str">
        <f>+IF(C113="","",IF(AND(H113&lt;&gt;"",I113="SI",J113&lt;&gt;"",J113&gt;0,K113&lt;&gt;"",K113&gt;0),"SI","NO"))</f>
        <v/>
      </c>
      <c r="S113" s="37" t="str">
        <f>+IF(C113&lt;&gt;"",IF(AND(M113="SI",N113="SI",Q113="SI"),"HÁBIL","NO HÁBIL"),"")</f>
        <v/>
      </c>
    </row>
    <row r="114" spans="1:20" s="27" customFormat="1" ht="13.5" thickBot="1" x14ac:dyDescent="0.25">
      <c r="B114" s="47"/>
      <c r="C114" s="48"/>
      <c r="D114" s="48"/>
      <c r="E114" s="49"/>
      <c r="F114" s="49"/>
      <c r="G114" s="48"/>
      <c r="H114" s="50"/>
      <c r="I114" s="51"/>
      <c r="J114" s="14"/>
      <c r="K114" s="52"/>
      <c r="L114" s="53">
        <f t="shared" si="11"/>
        <v>0</v>
      </c>
      <c r="M114" s="53" t="str">
        <f>+IF(C114&lt;&gt;"",IF(L114&gt;=$H$6,"SI","NO"),"")</f>
        <v/>
      </c>
      <c r="N114" s="51"/>
      <c r="O114" s="54"/>
      <c r="Q114" s="55" t="str">
        <f>+IF(C114="","",IF(AND(H114&lt;&gt;"",I114="SI",J114&lt;&gt;"",J114&gt;0,K114&lt;&gt;"",K114&gt;0),"SI","NO"))</f>
        <v/>
      </c>
      <c r="S114" s="55" t="str">
        <f>+IF(C114&lt;&gt;"",IF(AND(M114="SI",N114="SI",Q114="SI"),"HÁBIL","NO HÁBIL"),"")</f>
        <v/>
      </c>
    </row>
    <row r="115" spans="1:20" ht="24" customHeight="1" thickBot="1" x14ac:dyDescent="0.25">
      <c r="A115" s="56">
        <f>+$B108</f>
        <v>12</v>
      </c>
      <c r="B115" s="57" t="str">
        <f>"A"&amp;B108</f>
        <v>A12</v>
      </c>
      <c r="C115" s="340" t="str">
        <f>+$C$16</f>
        <v>PROPONENTE HÁBIL / NO HÁBIL</v>
      </c>
      <c r="D115" s="341"/>
      <c r="E115" s="341"/>
      <c r="F115" s="341"/>
      <c r="G115" s="341"/>
      <c r="H115" s="342"/>
      <c r="I115" s="58" t="str">
        <f>IF(S111="","",IF(OR(S111="HÁBIL",S112="HÁBIL",S113="HÁBIL",S114="HÁBIL"),"HÁBIL","NO HÁBIL"))</f>
        <v>HÁBIL</v>
      </c>
      <c r="J115" s="59"/>
      <c r="K115" s="27"/>
      <c r="L115" s="27"/>
      <c r="M115" s="27"/>
      <c r="N115" s="60"/>
      <c r="O115" s="1"/>
      <c r="P115" s="61"/>
      <c r="Q115" s="61"/>
      <c r="R115" s="61"/>
      <c r="S115" s="61"/>
      <c r="T115" s="61"/>
    </row>
    <row r="116" spans="1:20" ht="9.75" customHeight="1" thickBot="1" x14ac:dyDescent="0.25">
      <c r="M116" s="84"/>
      <c r="O116" s="21"/>
    </row>
    <row r="117" spans="1:20" ht="36.75" customHeight="1" thickBot="1" x14ac:dyDescent="0.25">
      <c r="B117" s="23">
        <f>1+B108</f>
        <v>13</v>
      </c>
      <c r="C117" s="336" t="s">
        <v>899</v>
      </c>
      <c r="D117" s="337"/>
      <c r="E117" s="337"/>
      <c r="F117" s="337"/>
      <c r="G117" s="337"/>
      <c r="H117" s="337"/>
      <c r="I117" s="338"/>
      <c r="J117" s="24" t="str">
        <f>+IF(C117="","",$J$9)</f>
        <v>INTEGRANTES</v>
      </c>
      <c r="K117" s="339" t="s">
        <v>900</v>
      </c>
      <c r="L117" s="339"/>
      <c r="M117" s="339"/>
      <c r="N117" s="25">
        <f>+B117</f>
        <v>13</v>
      </c>
      <c r="O117" s="323" t="str">
        <f ca="1">+$O$9</f>
        <v>OBSERVACIONES</v>
      </c>
      <c r="Q117" s="325" t="str">
        <f ca="1">+$Q$9</f>
        <v>¿EL CONTRATO CUMPLE CON LOS REQUERIMIENTOS ADICIONALES DE EXPERIENCIA  EN EL PLIEGO?
 (INSCRIPCIÓN EN RUP - CÓDIGO UNSPSC - VALOR EN RUP - % DE PARTICIPACIÓN)
(SI / NO)</v>
      </c>
      <c r="S117" s="328" t="str">
        <f ca="1">+$S$9</f>
        <v>PROPONENTE HÁBIL/NO HÁBIL</v>
      </c>
    </row>
    <row r="118" spans="1:20" ht="42" customHeight="1" x14ac:dyDescent="0.2">
      <c r="B118" s="331" t="str">
        <f ca="1">+$B$10</f>
        <v>ITEM</v>
      </c>
      <c r="C118" s="318" t="str">
        <f ca="1">+$C$10</f>
        <v>PROPONENTE 
/ 
INTEGRANTE OFERENTE PLURAL</v>
      </c>
      <c r="D118" s="333" t="str">
        <f ca="1">+$D$10</f>
        <v>INFORMACIÓN DEL CONTRATO</v>
      </c>
      <c r="E118" s="334"/>
      <c r="F118" s="334"/>
      <c r="G118" s="335"/>
      <c r="H118" s="318" t="str">
        <f>+H109</f>
        <v>CONSECUTIVO RUP</v>
      </c>
      <c r="I118" s="318" t="str">
        <f ca="1">+$I$10</f>
        <v>¿SE ENCUENTRA INSCRITO EN EL RUP Y CUMPLE CÓDIGOS UNSPSC?</v>
      </c>
      <c r="J118" s="318" t="str">
        <f ca="1">+$J$10</f>
        <v xml:space="preserve">VALOR EN RUP (SMMLV) </v>
      </c>
      <c r="K118" s="318" t="str">
        <f ca="1">+$K$10</f>
        <v>% PARTIC en el RUP</v>
      </c>
      <c r="L118" s="318" t="str">
        <f ca="1">+$L$10</f>
        <v>VALOR DEL CONTRATO TERMINADO (SMMLV) en el   RUP</v>
      </c>
      <c r="M118" s="318" t="str">
        <f ca="1">+$M$10</f>
        <v>VALOR CERTIFICADO CONTRATO &gt; VEH</v>
      </c>
      <c r="N118" s="318" t="str">
        <f ca="1">+$N$10</f>
        <v>VALIDACIÓN DE OBJETO Y/O ALCANCE
(SI/NO)
(INTERVENTORIA DE OBRA CIVIL)</v>
      </c>
      <c r="O118" s="324"/>
      <c r="Q118" s="326"/>
      <c r="S118" s="329">
        <f ca="1">+$S$10</f>
        <v>0</v>
      </c>
    </row>
    <row r="119" spans="1:20" ht="38.25" customHeight="1" thickBot="1" x14ac:dyDescent="0.25">
      <c r="B119" s="332"/>
      <c r="C119" s="319"/>
      <c r="D119" s="26" t="str">
        <f ca="1">+$D$11</f>
        <v>ENTIDAD</v>
      </c>
      <c r="E119" s="26" t="str">
        <f ca="1">+$E$11</f>
        <v>No. DE CONTRATO</v>
      </c>
      <c r="F119" s="26" t="str">
        <f ca="1">+$F$11</f>
        <v>OBJETO</v>
      </c>
      <c r="G119" s="26" t="str">
        <f ca="1">+$G$11</f>
        <v>CONTRATISTA</v>
      </c>
      <c r="H119" s="319"/>
      <c r="I119" s="319"/>
      <c r="J119" s="319"/>
      <c r="K119" s="319"/>
      <c r="L119" s="319"/>
      <c r="M119" s="319"/>
      <c r="N119" s="319"/>
      <c r="O119" s="324"/>
      <c r="Q119" s="327"/>
      <c r="S119" s="330"/>
    </row>
    <row r="120" spans="1:20" s="27" customFormat="1" ht="36.75" customHeight="1" x14ac:dyDescent="0.2">
      <c r="B120" s="28">
        <v>1</v>
      </c>
      <c r="C120" s="86" t="s">
        <v>69</v>
      </c>
      <c r="D120" s="343" t="s">
        <v>43</v>
      </c>
      <c r="E120" s="345" t="s">
        <v>70</v>
      </c>
      <c r="F120" s="345" t="s">
        <v>71</v>
      </c>
      <c r="G120" s="86" t="s">
        <v>72</v>
      </c>
      <c r="H120" s="30">
        <v>96</v>
      </c>
      <c r="I120" s="31" t="s">
        <v>16</v>
      </c>
      <c r="J120" s="32">
        <v>3258.42</v>
      </c>
      <c r="K120" s="33">
        <v>0.5</v>
      </c>
      <c r="L120" s="34">
        <f>IF(OR(H120="",I120&lt;&gt;"SI",I120="NO",J120="",J120=0,K120="",K120=0,Q120&lt;&gt;"SI",N120&lt;&gt;"SI"),0,J120*K120)</f>
        <v>1629.21</v>
      </c>
      <c r="M120" s="34" t="str">
        <f>+IF(C120&lt;&gt;"",IF(L120&gt;=$H$6,"SI","NO"),"")</f>
        <v>SI</v>
      </c>
      <c r="N120" s="35" t="s">
        <v>16</v>
      </c>
      <c r="O120" s="36"/>
      <c r="Q120" s="37" t="str">
        <f>+IF(C120="","",IF(AND(H120&lt;&gt;"",I120="SI",J120&lt;&gt;"",J120&gt;0,K120&lt;&gt;"",K120&gt;0),"SI","NO"))</f>
        <v>SI</v>
      </c>
      <c r="S120" s="37" t="str">
        <f>+IF(C120&lt;&gt;"",IF(AND(M120="SI",N120="SI",Q120="SI"),"HÁBIL","NO HÁBIL"),"")</f>
        <v>HÁBIL</v>
      </c>
    </row>
    <row r="121" spans="1:20" s="27" customFormat="1" ht="36.75" customHeight="1" x14ac:dyDescent="0.2">
      <c r="B121" s="38">
        <v>1</v>
      </c>
      <c r="C121" s="39" t="s">
        <v>73</v>
      </c>
      <c r="D121" s="344"/>
      <c r="E121" s="346"/>
      <c r="F121" s="346"/>
      <c r="G121" s="39" t="s">
        <v>72</v>
      </c>
      <c r="H121" s="40">
        <v>279</v>
      </c>
      <c r="I121" s="41" t="s">
        <v>16</v>
      </c>
      <c r="J121" s="42">
        <v>3258.42</v>
      </c>
      <c r="K121" s="43">
        <v>0.5</v>
      </c>
      <c r="L121" s="44">
        <f t="shared" ref="L121:L123" si="12">IF(OR(H121="",I121&lt;&gt;"SI",I121="NO",J121="",J121=0,K121="",K121=0,Q121&lt;&gt;"SI",N121&lt;&gt;"SI"),0,J121*K121)</f>
        <v>1629.21</v>
      </c>
      <c r="M121" s="44" t="str">
        <f>+IF(C121&lt;&gt;"",IF(L121&gt;=$H$6,"SI","NO"),"")</f>
        <v>SI</v>
      </c>
      <c r="N121" s="41" t="s">
        <v>16</v>
      </c>
      <c r="O121" s="45"/>
      <c r="Q121" s="37" t="str">
        <f>+IF(C121="","",IF(AND(H121&lt;&gt;"",I121="SI",J121&lt;&gt;"",J121&gt;0,K121&lt;&gt;"",K121&gt;0),"SI","NO"))</f>
        <v>SI</v>
      </c>
      <c r="S121" s="37" t="str">
        <f>+IF(C121&lt;&gt;"",IF(AND(M121="SI",N121="SI",Q121="SI"),"HÁBIL","NO HÁBIL"),"")</f>
        <v>HÁBIL</v>
      </c>
    </row>
    <row r="122" spans="1:20" s="27" customFormat="1" ht="12.75" x14ac:dyDescent="0.2">
      <c r="B122" s="38"/>
      <c r="C122" s="39"/>
      <c r="D122" s="39"/>
      <c r="E122" s="46"/>
      <c r="F122" s="46"/>
      <c r="G122" s="39"/>
      <c r="H122" s="40"/>
      <c r="I122" s="41"/>
      <c r="J122" s="42"/>
      <c r="K122" s="43"/>
      <c r="L122" s="44">
        <f t="shared" si="12"/>
        <v>0</v>
      </c>
      <c r="M122" s="44" t="str">
        <f>+IF(C122&lt;&gt;"",IF(L122&gt;=$H$6,"SI","NO"),"")</f>
        <v/>
      </c>
      <c r="N122" s="41"/>
      <c r="O122" s="45"/>
      <c r="Q122" s="37" t="str">
        <f>+IF(C122="","",IF(AND(H122&lt;&gt;"",I122="SI",J122&lt;&gt;"",J122&gt;0,K122&lt;&gt;"",K122&gt;0),"SI","NO"))</f>
        <v/>
      </c>
      <c r="S122" s="37" t="str">
        <f>+IF(C122&lt;&gt;"",IF(AND(M122="SI",N122="SI",Q122="SI"),"HÁBIL","NO HÁBIL"),"")</f>
        <v/>
      </c>
    </row>
    <row r="123" spans="1:20" s="27" customFormat="1" ht="13.5" thickBot="1" x14ac:dyDescent="0.25">
      <c r="B123" s="47"/>
      <c r="C123" s="48"/>
      <c r="D123" s="48"/>
      <c r="E123" s="49"/>
      <c r="F123" s="49"/>
      <c r="G123" s="48"/>
      <c r="H123" s="50"/>
      <c r="I123" s="51"/>
      <c r="J123" s="14"/>
      <c r="K123" s="52"/>
      <c r="L123" s="53">
        <f t="shared" si="12"/>
        <v>0</v>
      </c>
      <c r="M123" s="53" t="str">
        <f>+IF(C123&lt;&gt;"",IF(L123&gt;=$H$6,"SI","NO"),"")</f>
        <v/>
      </c>
      <c r="N123" s="51"/>
      <c r="O123" s="54"/>
      <c r="Q123" s="55" t="str">
        <f>+IF(C123="","",IF(AND(H123&lt;&gt;"",I123="SI",J123&lt;&gt;"",J123&gt;0,K123&lt;&gt;"",K123&gt;0),"SI","NO"))</f>
        <v/>
      </c>
      <c r="S123" s="55" t="str">
        <f>+IF(C123&lt;&gt;"",IF(AND(M123="SI",N123="SI",Q123="SI"),"HÁBIL","NO HÁBIL"),"")</f>
        <v/>
      </c>
    </row>
    <row r="124" spans="1:20" ht="24.75" customHeight="1" thickBot="1" x14ac:dyDescent="0.25">
      <c r="A124" s="56">
        <f>+$B117</f>
        <v>13</v>
      </c>
      <c r="B124" s="57" t="str">
        <f>"A"&amp;B117</f>
        <v>A13</v>
      </c>
      <c r="C124" s="340" t="str">
        <f>+$C$16</f>
        <v>PROPONENTE HÁBIL / NO HÁBIL</v>
      </c>
      <c r="D124" s="341"/>
      <c r="E124" s="341"/>
      <c r="F124" s="341"/>
      <c r="G124" s="341"/>
      <c r="H124" s="342"/>
      <c r="I124" s="58" t="str">
        <f>IF(S120="","",IF(OR(S120="HÁBIL",S121="HÁBIL",S122="HÁBIL",S123="HÁBIL"),"HÁBIL","NO HÁBIL"))</f>
        <v>HÁBIL</v>
      </c>
      <c r="J124" s="59"/>
      <c r="K124" s="27"/>
      <c r="L124" s="27"/>
      <c r="M124" s="27"/>
      <c r="N124" s="60"/>
      <c r="O124" s="1"/>
      <c r="P124" s="61"/>
      <c r="Q124" s="61"/>
      <c r="R124" s="61"/>
      <c r="S124" s="61"/>
      <c r="T124" s="61"/>
    </row>
    <row r="125" spans="1:20" ht="9.75" customHeight="1" thickBot="1" x14ac:dyDescent="0.25">
      <c r="M125" s="84"/>
      <c r="O125" s="21"/>
    </row>
    <row r="126" spans="1:20" ht="36.75" customHeight="1" thickBot="1" x14ac:dyDescent="0.25">
      <c r="B126" s="23">
        <f>1+B117</f>
        <v>14</v>
      </c>
      <c r="C126" s="336" t="s">
        <v>901</v>
      </c>
      <c r="D126" s="337"/>
      <c r="E126" s="337"/>
      <c r="F126" s="337"/>
      <c r="G126" s="337"/>
      <c r="H126" s="337"/>
      <c r="I126" s="338"/>
      <c r="J126" s="24" t="str">
        <f>+IF(C126="","",$J$9)</f>
        <v>INTEGRANTES</v>
      </c>
      <c r="K126" s="339" t="s">
        <v>902</v>
      </c>
      <c r="L126" s="339"/>
      <c r="M126" s="339"/>
      <c r="N126" s="25">
        <f>+B126</f>
        <v>14</v>
      </c>
      <c r="O126" s="323" t="str">
        <f ca="1">+$O$9</f>
        <v>OBSERVACIONES</v>
      </c>
      <c r="Q126" s="325" t="str">
        <f ca="1">+$Q$9</f>
        <v>¿EL CONTRATO CUMPLE CON LOS REQUERIMIENTOS ADICIONALES DE EXPERIENCIA  EN EL PLIEGO?
 (INSCRIPCIÓN EN RUP - CÓDIGO UNSPSC - VALOR EN RUP - % DE PARTICIPACIÓN)
(SI / NO)</v>
      </c>
      <c r="S126" s="328" t="str">
        <f ca="1">+$S$9</f>
        <v>PROPONENTE HÁBIL/NO HÁBIL</v>
      </c>
    </row>
    <row r="127" spans="1:20" ht="42" customHeight="1" x14ac:dyDescent="0.2">
      <c r="B127" s="331" t="str">
        <f ca="1">+$B$10</f>
        <v>ITEM</v>
      </c>
      <c r="C127" s="318" t="str">
        <f ca="1">+$C$10</f>
        <v>PROPONENTE 
/ 
INTEGRANTE OFERENTE PLURAL</v>
      </c>
      <c r="D127" s="333" t="str">
        <f ca="1">+$D$10</f>
        <v>INFORMACIÓN DEL CONTRATO</v>
      </c>
      <c r="E127" s="334"/>
      <c r="F127" s="334"/>
      <c r="G127" s="335"/>
      <c r="H127" s="318" t="str">
        <f>+H118</f>
        <v>CONSECUTIVO RUP</v>
      </c>
      <c r="I127" s="318" t="str">
        <f ca="1">+$I$10</f>
        <v>¿SE ENCUENTRA INSCRITO EN EL RUP Y CUMPLE CÓDIGOS UNSPSC?</v>
      </c>
      <c r="J127" s="318" t="str">
        <f ca="1">+$J$10</f>
        <v xml:space="preserve">VALOR EN RUP (SMMLV) </v>
      </c>
      <c r="K127" s="318" t="str">
        <f ca="1">+$K$10</f>
        <v>% PARTIC en el RUP</v>
      </c>
      <c r="L127" s="318" t="str">
        <f ca="1">+$L$10</f>
        <v>VALOR DEL CONTRATO TERMINADO (SMMLV) en el   RUP</v>
      </c>
      <c r="M127" s="318" t="str">
        <f ca="1">+$M$10</f>
        <v>VALOR CERTIFICADO CONTRATO &gt; VEH</v>
      </c>
      <c r="N127" s="318" t="str">
        <f ca="1">+$N$10</f>
        <v>VALIDACIÓN DE OBJETO Y/O ALCANCE
(SI/NO)
(INTERVENTORIA DE OBRA CIVIL)</v>
      </c>
      <c r="O127" s="324"/>
      <c r="Q127" s="326"/>
      <c r="S127" s="329">
        <f ca="1">+$S$10</f>
        <v>0</v>
      </c>
    </row>
    <row r="128" spans="1:20" ht="38.25" customHeight="1" thickBot="1" x14ac:dyDescent="0.25">
      <c r="B128" s="332"/>
      <c r="C128" s="319"/>
      <c r="D128" s="26" t="str">
        <f ca="1">+$D$11</f>
        <v>ENTIDAD</v>
      </c>
      <c r="E128" s="26" t="str">
        <f ca="1">+$E$11</f>
        <v>No. DE CONTRATO</v>
      </c>
      <c r="F128" s="26" t="str">
        <f ca="1">+$F$11</f>
        <v>OBJETO</v>
      </c>
      <c r="G128" s="26" t="str">
        <f ca="1">+$G$11</f>
        <v>CONTRATISTA</v>
      </c>
      <c r="H128" s="319"/>
      <c r="I128" s="319"/>
      <c r="J128" s="319"/>
      <c r="K128" s="319"/>
      <c r="L128" s="319"/>
      <c r="M128" s="319"/>
      <c r="N128" s="319"/>
      <c r="O128" s="324"/>
      <c r="Q128" s="327"/>
      <c r="S128" s="330"/>
    </row>
    <row r="129" spans="1:21" s="27" customFormat="1" ht="96" customHeight="1" x14ac:dyDescent="0.2">
      <c r="B129" s="28">
        <v>1</v>
      </c>
      <c r="C129" s="86" t="s">
        <v>74</v>
      </c>
      <c r="D129" s="86" t="s">
        <v>75</v>
      </c>
      <c r="E129" s="87" t="s">
        <v>76</v>
      </c>
      <c r="F129" s="87" t="s">
        <v>77</v>
      </c>
      <c r="G129" s="86" t="s">
        <v>78</v>
      </c>
      <c r="H129" s="30">
        <v>7</v>
      </c>
      <c r="I129" s="31" t="s">
        <v>16</v>
      </c>
      <c r="J129" s="32">
        <v>5337.09</v>
      </c>
      <c r="K129" s="33">
        <v>0.5</v>
      </c>
      <c r="L129" s="34">
        <f>IF(OR(H129="",I129&lt;&gt;"SI",I129="NO",J129="",J129=0,K129="",K129=0,Q129&lt;&gt;"SI",N129&lt;&gt;"SI"),0,J129*K129)</f>
        <v>2668.5450000000001</v>
      </c>
      <c r="M129" s="34" t="str">
        <f>+IF(C129&lt;&gt;"",IF(L129&gt;=$H$6,"SI","NO"),"")</f>
        <v>SI</v>
      </c>
      <c r="N129" s="35" t="s">
        <v>16</v>
      </c>
      <c r="O129" s="36"/>
      <c r="Q129" s="37" t="str">
        <f>+IF(C129="","",IF(AND(H129&lt;&gt;"",I129="SI",J129&lt;&gt;"",J129&gt;0,K129&lt;&gt;"",K129&gt;0),"SI","NO"))</f>
        <v>SI</v>
      </c>
      <c r="S129" s="37" t="str">
        <f>+IF(C129&lt;&gt;"",IF(AND(M129="SI",N129="SI",Q129="SI"),"HÁBIL","NO HÁBIL"),"")</f>
        <v>HÁBIL</v>
      </c>
    </row>
    <row r="130" spans="1:21" s="27" customFormat="1" ht="12.75" x14ac:dyDescent="0.2">
      <c r="B130" s="38"/>
      <c r="C130" s="39"/>
      <c r="D130" s="39"/>
      <c r="E130" s="46"/>
      <c r="F130" s="46"/>
      <c r="G130" s="39"/>
      <c r="H130" s="40"/>
      <c r="I130" s="41"/>
      <c r="J130" s="42"/>
      <c r="K130" s="43"/>
      <c r="L130" s="44">
        <f t="shared" ref="L130:L132" si="13">IF(OR(H130="",I130&lt;&gt;"SI",I130="NO",J130="",J130=0,K130="",K130=0,Q130&lt;&gt;"SI",N130&lt;&gt;"SI"),0,J130*K130)</f>
        <v>0</v>
      </c>
      <c r="M130" s="44" t="str">
        <f>+IF(C130&lt;&gt;"",IF(L130&gt;=$H$6,"SI","NO"),"")</f>
        <v/>
      </c>
      <c r="N130" s="41"/>
      <c r="O130" s="45"/>
      <c r="Q130" s="37" t="str">
        <f>+IF(C130="","",IF(AND(H130&lt;&gt;"",I130="SI",J130&lt;&gt;"",J130&gt;0,K130&lt;&gt;"",K130&gt;0),"SI","NO"))</f>
        <v/>
      </c>
      <c r="S130" s="37" t="str">
        <f>+IF(C130&lt;&gt;"",IF(AND(M130="SI",N130="SI",Q130="SI"),"HÁBIL","NO HÁBIL"),"")</f>
        <v/>
      </c>
    </row>
    <row r="131" spans="1:21" s="27" customFormat="1" ht="12.75" x14ac:dyDescent="0.2">
      <c r="B131" s="38"/>
      <c r="C131" s="39"/>
      <c r="D131" s="39"/>
      <c r="E131" s="46"/>
      <c r="F131" s="46"/>
      <c r="G131" s="39"/>
      <c r="H131" s="40"/>
      <c r="I131" s="41"/>
      <c r="J131" s="42"/>
      <c r="K131" s="43"/>
      <c r="L131" s="44">
        <f t="shared" si="13"/>
        <v>0</v>
      </c>
      <c r="M131" s="44" t="str">
        <f>+IF(C131&lt;&gt;"",IF(L131&gt;=$H$6,"SI","NO"),"")</f>
        <v/>
      </c>
      <c r="N131" s="41"/>
      <c r="O131" s="45"/>
      <c r="Q131" s="37" t="str">
        <f>+IF(C131="","",IF(AND(H131&lt;&gt;"",I131="SI",J131&lt;&gt;"",J131&gt;0,K131&lt;&gt;"",K131&gt;0),"SI","NO"))</f>
        <v/>
      </c>
      <c r="S131" s="37" t="str">
        <f>+IF(C131&lt;&gt;"",IF(AND(M131="SI",N131="SI",Q131="SI"),"HÁBIL","NO HÁBIL"),"")</f>
        <v/>
      </c>
    </row>
    <row r="132" spans="1:21" s="27" customFormat="1" ht="13.5" thickBot="1" x14ac:dyDescent="0.25">
      <c r="B132" s="47"/>
      <c r="C132" s="48"/>
      <c r="D132" s="48"/>
      <c r="E132" s="49"/>
      <c r="F132" s="49"/>
      <c r="G132" s="48"/>
      <c r="H132" s="50"/>
      <c r="I132" s="51"/>
      <c r="J132" s="14"/>
      <c r="K132" s="52"/>
      <c r="L132" s="53">
        <f t="shared" si="13"/>
        <v>0</v>
      </c>
      <c r="M132" s="53" t="str">
        <f>+IF(C132&lt;&gt;"",IF(L132&gt;=$H$6,"SI","NO"),"")</f>
        <v/>
      </c>
      <c r="N132" s="51"/>
      <c r="O132" s="54"/>
      <c r="Q132" s="55" t="str">
        <f>+IF(C132="","",IF(AND(H132&lt;&gt;"",I132="SI",J132&lt;&gt;"",J132&gt;0,K132&lt;&gt;"",K132&gt;0),"SI","NO"))</f>
        <v/>
      </c>
      <c r="S132" s="55" t="str">
        <f>+IF(C132&lt;&gt;"",IF(AND(M132="SI",N132="SI",Q132="SI"),"HÁBIL","NO HÁBIL"),"")</f>
        <v/>
      </c>
    </row>
    <row r="133" spans="1:21" ht="21" customHeight="1" thickBot="1" x14ac:dyDescent="0.25">
      <c r="A133" s="56">
        <f>+$B126</f>
        <v>14</v>
      </c>
      <c r="B133" s="57" t="str">
        <f>"A"&amp;B126</f>
        <v>A14</v>
      </c>
      <c r="C133" s="340" t="str">
        <f>+$C$16</f>
        <v>PROPONENTE HÁBIL / NO HÁBIL</v>
      </c>
      <c r="D133" s="341"/>
      <c r="E133" s="341"/>
      <c r="F133" s="341"/>
      <c r="G133" s="341"/>
      <c r="H133" s="342"/>
      <c r="I133" s="58" t="str">
        <f>IF(S129="","",IF(OR(S129="HÁBIL",S130="HÁBIL",S131="HÁBIL",S132="HÁBIL"),"HÁBIL","NO HÁBIL"))</f>
        <v>HÁBIL</v>
      </c>
      <c r="J133" s="59"/>
      <c r="K133" s="27"/>
      <c r="L133" s="27"/>
      <c r="M133" s="27"/>
      <c r="N133" s="60"/>
      <c r="O133" s="1"/>
      <c r="P133" s="61"/>
      <c r="Q133" s="61"/>
      <c r="R133" s="61"/>
      <c r="S133" s="61"/>
      <c r="T133" s="61"/>
    </row>
    <row r="134" spans="1:21" ht="9.75" customHeight="1" thickBot="1" x14ac:dyDescent="0.25">
      <c r="M134" s="84"/>
      <c r="O134" s="21"/>
    </row>
    <row r="135" spans="1:21" ht="36.75" customHeight="1" thickBot="1" x14ac:dyDescent="0.25">
      <c r="B135" s="23">
        <f>1+B126</f>
        <v>15</v>
      </c>
      <c r="C135" s="336" t="s">
        <v>903</v>
      </c>
      <c r="D135" s="337"/>
      <c r="E135" s="337"/>
      <c r="F135" s="337"/>
      <c r="G135" s="337"/>
      <c r="H135" s="337"/>
      <c r="I135" s="338"/>
      <c r="J135" s="24" t="str">
        <f>+IF(C135="","",$J$9)</f>
        <v>INTEGRANTES</v>
      </c>
      <c r="K135" s="339" t="s">
        <v>904</v>
      </c>
      <c r="L135" s="339"/>
      <c r="M135" s="339"/>
      <c r="N135" s="25">
        <f>+B135</f>
        <v>15</v>
      </c>
      <c r="O135" s="323" t="str">
        <f ca="1">+$O$9</f>
        <v>OBSERVACIONES</v>
      </c>
      <c r="Q135" s="325" t="str">
        <f ca="1">+$Q$9</f>
        <v>¿EL CONTRATO CUMPLE CON LOS REQUERIMIENTOS ADICIONALES DE EXPERIENCIA  EN EL PLIEGO?
 (INSCRIPCIÓN EN RUP - CÓDIGO UNSPSC - VALOR EN RUP - % DE PARTICIPACIÓN)
(SI / NO)</v>
      </c>
      <c r="S135" s="328" t="str">
        <f ca="1">+$S$9</f>
        <v>PROPONENTE HÁBIL/NO HÁBIL</v>
      </c>
    </row>
    <row r="136" spans="1:21" ht="42" customHeight="1" x14ac:dyDescent="0.2">
      <c r="B136" s="331" t="str">
        <f ca="1">+$B$10</f>
        <v>ITEM</v>
      </c>
      <c r="C136" s="318" t="str">
        <f ca="1">+$C$10</f>
        <v>PROPONENTE 
/ 
INTEGRANTE OFERENTE PLURAL</v>
      </c>
      <c r="D136" s="333" t="str">
        <f ca="1">+$D$10</f>
        <v>INFORMACIÓN DEL CONTRATO</v>
      </c>
      <c r="E136" s="334"/>
      <c r="F136" s="334"/>
      <c r="G136" s="335"/>
      <c r="H136" s="318" t="str">
        <f>+H127</f>
        <v>CONSECUTIVO RUP</v>
      </c>
      <c r="I136" s="318" t="str">
        <f ca="1">+$I$10</f>
        <v>¿SE ENCUENTRA INSCRITO EN EL RUP Y CUMPLE CÓDIGOS UNSPSC?</v>
      </c>
      <c r="J136" s="318" t="str">
        <f ca="1">+$J$10</f>
        <v xml:space="preserve">VALOR EN RUP (SMMLV) </v>
      </c>
      <c r="K136" s="318" t="str">
        <f ca="1">+$K$10</f>
        <v>% PARTIC en el RUP</v>
      </c>
      <c r="L136" s="318" t="str">
        <f ca="1">+$L$10</f>
        <v>VALOR DEL CONTRATO TERMINADO (SMMLV) en el   RUP</v>
      </c>
      <c r="M136" s="318" t="str">
        <f ca="1">+$M$10</f>
        <v>VALOR CERTIFICADO CONTRATO &gt; VEH</v>
      </c>
      <c r="N136" s="318" t="str">
        <f ca="1">+$N$10</f>
        <v>VALIDACIÓN DE OBJETO Y/O ALCANCE
(SI/NO)
(INTERVENTORIA DE OBRA CIVIL)</v>
      </c>
      <c r="O136" s="324"/>
      <c r="Q136" s="326"/>
      <c r="S136" s="329">
        <f ca="1">+$S$10</f>
        <v>0</v>
      </c>
    </row>
    <row r="137" spans="1:21" ht="38.25" customHeight="1" thickBot="1" x14ac:dyDescent="0.25">
      <c r="B137" s="332"/>
      <c r="C137" s="319"/>
      <c r="D137" s="26" t="str">
        <f ca="1">+$D$11</f>
        <v>ENTIDAD</v>
      </c>
      <c r="E137" s="26" t="str">
        <f ca="1">+$E$11</f>
        <v>No. DE CONTRATO</v>
      </c>
      <c r="F137" s="26" t="str">
        <f ca="1">+$F$11</f>
        <v>OBJETO</v>
      </c>
      <c r="G137" s="26" t="str">
        <f ca="1">+$G$11</f>
        <v>CONTRATISTA</v>
      </c>
      <c r="H137" s="319"/>
      <c r="I137" s="319"/>
      <c r="J137" s="319"/>
      <c r="K137" s="319"/>
      <c r="L137" s="319"/>
      <c r="M137" s="319"/>
      <c r="N137" s="319"/>
      <c r="O137" s="324"/>
      <c r="Q137" s="327"/>
      <c r="S137" s="330"/>
    </row>
    <row r="138" spans="1:21" s="27" customFormat="1" ht="62.25" customHeight="1" x14ac:dyDescent="0.2">
      <c r="B138" s="28">
        <v>1</v>
      </c>
      <c r="C138" s="86" t="s">
        <v>79</v>
      </c>
      <c r="D138" s="86" t="s">
        <v>80</v>
      </c>
      <c r="E138" s="87" t="s">
        <v>81</v>
      </c>
      <c r="F138" s="87" t="s">
        <v>82</v>
      </c>
      <c r="G138" s="86" t="s">
        <v>79</v>
      </c>
      <c r="H138" s="30">
        <v>3</v>
      </c>
      <c r="I138" s="31" t="s">
        <v>16</v>
      </c>
      <c r="J138" s="32">
        <v>1848.67</v>
      </c>
      <c r="K138" s="33">
        <v>1</v>
      </c>
      <c r="L138" s="34">
        <f>IF(OR(H138="",I138&lt;&gt;"SI",I138="NO",J138="",J138=0,K138="",K138=0,Q138&lt;&gt;"SI",N138&lt;&gt;"SI"),0,J138*K138)</f>
        <v>1848.67</v>
      </c>
      <c r="M138" s="34" t="str">
        <f>+IF(C138&lt;&gt;"",IF(L138&gt;=$H$6,"SI","NO"),"")</f>
        <v>SI</v>
      </c>
      <c r="N138" s="35" t="s">
        <v>16</v>
      </c>
      <c r="O138" s="36"/>
      <c r="Q138" s="37" t="str">
        <f>+IF(C138="","",IF(AND(H138&lt;&gt;"",I138="SI",J138&lt;&gt;"",J138&gt;0,K138&lt;&gt;"",K138&gt;0),"SI","NO"))</f>
        <v>SI</v>
      </c>
      <c r="S138" s="37" t="str">
        <f>+IF(C138&lt;&gt;"",IF(AND(M138="SI",N138="SI",Q138="SI"),"HÁBIL","NO HÁBIL"),"")</f>
        <v>HÁBIL</v>
      </c>
      <c r="U138" s="27" t="s">
        <v>83</v>
      </c>
    </row>
    <row r="139" spans="1:21" s="27" customFormat="1" ht="12.75" x14ac:dyDescent="0.2">
      <c r="B139" s="38"/>
      <c r="C139" s="39"/>
      <c r="D139" s="39"/>
      <c r="E139" s="46"/>
      <c r="F139" s="46"/>
      <c r="G139" s="39"/>
      <c r="H139" s="40"/>
      <c r="I139" s="41"/>
      <c r="J139" s="42"/>
      <c r="K139" s="43"/>
      <c r="L139" s="44">
        <f t="shared" ref="L139:L141" si="14">IF(OR(H139="",I139&lt;&gt;"SI",I139="NO",J139="",J139=0,K139="",K139=0,Q139&lt;&gt;"SI",N139&lt;&gt;"SI"),0,J139*K139)</f>
        <v>0</v>
      </c>
      <c r="M139" s="44" t="str">
        <f>+IF(C139&lt;&gt;"",IF(L139&gt;=$H$6,"SI","NO"),"")</f>
        <v/>
      </c>
      <c r="N139" s="41"/>
      <c r="O139" s="45"/>
      <c r="Q139" s="37" t="str">
        <f>+IF(C139="","",IF(AND(H139&lt;&gt;"",I139="SI",J139&lt;&gt;"",J139&gt;0,K139&lt;&gt;"",K139&gt;0),"SI","NO"))</f>
        <v/>
      </c>
      <c r="S139" s="37" t="str">
        <f>+IF(C139&lt;&gt;"",IF(AND(M139="SI",N139="SI",Q139="SI"),"HÁBIL","NO HÁBIL"),"")</f>
        <v/>
      </c>
    </row>
    <row r="140" spans="1:21" s="27" customFormat="1" ht="12.75" x14ac:dyDescent="0.2">
      <c r="B140" s="38"/>
      <c r="C140" s="39"/>
      <c r="D140" s="39"/>
      <c r="E140" s="46"/>
      <c r="F140" s="46"/>
      <c r="G140" s="39"/>
      <c r="H140" s="40"/>
      <c r="I140" s="41"/>
      <c r="J140" s="42"/>
      <c r="K140" s="43"/>
      <c r="L140" s="44">
        <f t="shared" si="14"/>
        <v>0</v>
      </c>
      <c r="M140" s="44" t="str">
        <f>+IF(C140&lt;&gt;"",IF(L140&gt;=$H$6,"SI","NO"),"")</f>
        <v/>
      </c>
      <c r="N140" s="41"/>
      <c r="O140" s="45"/>
      <c r="Q140" s="37" t="str">
        <f>+IF(C140="","",IF(AND(H140&lt;&gt;"",I140="SI",J140&lt;&gt;"",J140&gt;0,K140&lt;&gt;"",K140&gt;0),"SI","NO"))</f>
        <v/>
      </c>
      <c r="S140" s="37" t="str">
        <f>+IF(C140&lt;&gt;"",IF(AND(M140="SI",N140="SI",Q140="SI"),"HÁBIL","NO HÁBIL"),"")</f>
        <v/>
      </c>
    </row>
    <row r="141" spans="1:21" s="27" customFormat="1" ht="13.5" thickBot="1" x14ac:dyDescent="0.25">
      <c r="B141" s="47"/>
      <c r="C141" s="48"/>
      <c r="D141" s="48"/>
      <c r="E141" s="49"/>
      <c r="F141" s="49"/>
      <c r="G141" s="48"/>
      <c r="H141" s="50"/>
      <c r="I141" s="51"/>
      <c r="J141" s="14"/>
      <c r="K141" s="52"/>
      <c r="L141" s="53">
        <f t="shared" si="14"/>
        <v>0</v>
      </c>
      <c r="M141" s="53" t="str">
        <f>+IF(C141&lt;&gt;"",IF(L141&gt;=$H$6,"SI","NO"),"")</f>
        <v/>
      </c>
      <c r="N141" s="51"/>
      <c r="O141" s="54"/>
      <c r="Q141" s="55" t="str">
        <f>+IF(C141="","",IF(AND(H141&lt;&gt;"",I141="SI",J141&lt;&gt;"",J141&gt;0,K141&lt;&gt;"",K141&gt;0),"SI","NO"))</f>
        <v/>
      </c>
      <c r="S141" s="55" t="str">
        <f>+IF(C141&lt;&gt;"",IF(AND(M141="SI",N141="SI",Q141="SI"),"HÁBIL","NO HÁBIL"),"")</f>
        <v/>
      </c>
    </row>
    <row r="142" spans="1:21" ht="21.75" customHeight="1" thickBot="1" x14ac:dyDescent="0.25">
      <c r="A142" s="56">
        <f>+$B135</f>
        <v>15</v>
      </c>
      <c r="B142" s="57" t="str">
        <f>"A"&amp;B135</f>
        <v>A15</v>
      </c>
      <c r="C142" s="340" t="str">
        <f>+$C$16</f>
        <v>PROPONENTE HÁBIL / NO HÁBIL</v>
      </c>
      <c r="D142" s="341"/>
      <c r="E142" s="341"/>
      <c r="F142" s="341"/>
      <c r="G142" s="341"/>
      <c r="H142" s="342"/>
      <c r="I142" s="58" t="str">
        <f>IF(S138="","",IF(OR(S138="HÁBIL",S139="HÁBIL",S140="HÁBIL",S141="HÁBIL"),"HÁBIL","NO HÁBIL"))</f>
        <v>HÁBIL</v>
      </c>
      <c r="J142" s="59"/>
      <c r="K142" s="27"/>
      <c r="L142" s="27"/>
      <c r="M142" s="27"/>
      <c r="N142" s="60"/>
      <c r="O142" s="1"/>
      <c r="P142" s="61"/>
      <c r="Q142" s="61"/>
      <c r="R142" s="61"/>
      <c r="S142" s="61"/>
      <c r="T142" s="61"/>
    </row>
    <row r="143" spans="1:21" ht="9.75" customHeight="1" thickBot="1" x14ac:dyDescent="0.25">
      <c r="M143" s="84"/>
      <c r="O143" s="21"/>
    </row>
    <row r="144" spans="1:21" ht="36.75" customHeight="1" thickBot="1" x14ac:dyDescent="0.25">
      <c r="B144" s="23">
        <f>1+B135</f>
        <v>16</v>
      </c>
      <c r="C144" s="336" t="s">
        <v>905</v>
      </c>
      <c r="D144" s="337"/>
      <c r="E144" s="337"/>
      <c r="F144" s="337"/>
      <c r="G144" s="337"/>
      <c r="H144" s="337"/>
      <c r="I144" s="338"/>
      <c r="J144" s="24" t="str">
        <f>+IF(C144="","",$J$9)</f>
        <v>INTEGRANTES</v>
      </c>
      <c r="K144" s="339" t="s">
        <v>906</v>
      </c>
      <c r="L144" s="339"/>
      <c r="M144" s="339"/>
      <c r="N144" s="25">
        <f>+B144</f>
        <v>16</v>
      </c>
      <c r="O144" s="323" t="str">
        <f ca="1">+$O$9</f>
        <v>OBSERVACIONES</v>
      </c>
      <c r="Q144" s="325" t="str">
        <f ca="1">+$Q$9</f>
        <v>¿EL CONTRATO CUMPLE CON LOS REQUERIMIENTOS ADICIONALES DE EXPERIENCIA  EN EL PLIEGO?
 (INSCRIPCIÓN EN RUP - CÓDIGO UNSPSC - VALOR EN RUP - % DE PARTICIPACIÓN)
(SI / NO)</v>
      </c>
      <c r="S144" s="328" t="str">
        <f ca="1">+$S$9</f>
        <v>PROPONENTE HÁBIL/NO HÁBIL</v>
      </c>
    </row>
    <row r="145" spans="1:20" ht="42" customHeight="1" x14ac:dyDescent="0.2">
      <c r="B145" s="331" t="str">
        <f ca="1">+$B$10</f>
        <v>ITEM</v>
      </c>
      <c r="C145" s="318" t="str">
        <f ca="1">+$C$10</f>
        <v>PROPONENTE 
/ 
INTEGRANTE OFERENTE PLURAL</v>
      </c>
      <c r="D145" s="333" t="str">
        <f ca="1">+$D$10</f>
        <v>INFORMACIÓN DEL CONTRATO</v>
      </c>
      <c r="E145" s="334"/>
      <c r="F145" s="334"/>
      <c r="G145" s="335"/>
      <c r="H145" s="318" t="str">
        <f>+H136</f>
        <v>CONSECUTIVO RUP</v>
      </c>
      <c r="I145" s="318" t="str">
        <f ca="1">+$I$10</f>
        <v>¿SE ENCUENTRA INSCRITO EN EL RUP Y CUMPLE CÓDIGOS UNSPSC?</v>
      </c>
      <c r="J145" s="318" t="str">
        <f ca="1">+$J$10</f>
        <v xml:space="preserve">VALOR EN RUP (SMMLV) </v>
      </c>
      <c r="K145" s="318" t="str">
        <f ca="1">+$K$10</f>
        <v>% PARTIC en el RUP</v>
      </c>
      <c r="L145" s="318" t="str">
        <f ca="1">+$L$10</f>
        <v>VALOR DEL CONTRATO TERMINADO (SMMLV) en el   RUP</v>
      </c>
      <c r="M145" s="318" t="str">
        <f ca="1">+$M$10</f>
        <v>VALOR CERTIFICADO CONTRATO &gt; VEH</v>
      </c>
      <c r="N145" s="318" t="str">
        <f ca="1">+$N$10</f>
        <v>VALIDACIÓN DE OBJETO Y/O ALCANCE
(SI/NO)
(INTERVENTORIA DE OBRA CIVIL)</v>
      </c>
      <c r="O145" s="324"/>
      <c r="Q145" s="326"/>
      <c r="S145" s="329">
        <f ca="1">+$S$10</f>
        <v>0</v>
      </c>
    </row>
    <row r="146" spans="1:20" ht="38.25" customHeight="1" thickBot="1" x14ac:dyDescent="0.25">
      <c r="B146" s="332"/>
      <c r="C146" s="319"/>
      <c r="D146" s="26" t="str">
        <f ca="1">+$D$11</f>
        <v>ENTIDAD</v>
      </c>
      <c r="E146" s="26" t="str">
        <f ca="1">+$E$11</f>
        <v>No. DE CONTRATO</v>
      </c>
      <c r="F146" s="26" t="str">
        <f ca="1">+$F$11</f>
        <v>OBJETO</v>
      </c>
      <c r="G146" s="26" t="str">
        <f ca="1">+$G$11</f>
        <v>CONTRATISTA</v>
      </c>
      <c r="H146" s="319"/>
      <c r="I146" s="319"/>
      <c r="J146" s="319"/>
      <c r="K146" s="319"/>
      <c r="L146" s="319"/>
      <c r="M146" s="319"/>
      <c r="N146" s="319"/>
      <c r="O146" s="324"/>
      <c r="Q146" s="327"/>
      <c r="S146" s="330"/>
    </row>
    <row r="147" spans="1:20" s="27" customFormat="1" ht="72" customHeight="1" x14ac:dyDescent="0.2">
      <c r="B147" s="101">
        <v>1</v>
      </c>
      <c r="C147" s="102" t="s">
        <v>84</v>
      </c>
      <c r="D147" s="102" t="s">
        <v>85</v>
      </c>
      <c r="E147" s="103" t="s">
        <v>86</v>
      </c>
      <c r="F147" s="103" t="s">
        <v>87</v>
      </c>
      <c r="G147" s="102" t="s">
        <v>88</v>
      </c>
      <c r="H147" s="104">
        <v>8</v>
      </c>
      <c r="I147" s="105" t="s">
        <v>16</v>
      </c>
      <c r="J147" s="106">
        <v>1521.75</v>
      </c>
      <c r="K147" s="107">
        <v>0.85</v>
      </c>
      <c r="L147" s="34">
        <f>IF(OR(H147="",I147&lt;&gt;"SI",I147="NO",J147="",J147=0,K147="",K147=0,Q147&lt;&gt;"SI",N147&lt;&gt;"SI"),0,J147*K147)</f>
        <v>1293.4875</v>
      </c>
      <c r="M147" s="108" t="str">
        <f>+IF(C147&lt;&gt;"",IF(L147&gt;=$H$6,"SI","NO"),"")</f>
        <v>SI</v>
      </c>
      <c r="N147" s="35" t="s">
        <v>16</v>
      </c>
      <c r="O147" s="109"/>
      <c r="Q147" s="37" t="str">
        <f>+IF(C147="","",IF(AND(H147&lt;&gt;"",I147="SI",J147&lt;&gt;"",J147&gt;0,K147&lt;&gt;"",K147&gt;0),"SI","NO"))</f>
        <v>SI</v>
      </c>
      <c r="S147" s="37" t="str">
        <f>+IF(C147&lt;&gt;"",IF(AND(M147="SI",N147="SI",Q147="SI"),"HÁBIL","NO HÁBIL"),"")</f>
        <v>HÁBIL</v>
      </c>
    </row>
    <row r="148" spans="1:20" s="27" customFormat="1" ht="12.75" x14ac:dyDescent="0.2">
      <c r="B148" s="110"/>
      <c r="C148" s="111"/>
      <c r="D148" s="111"/>
      <c r="E148" s="112"/>
      <c r="F148" s="112"/>
      <c r="G148" s="111"/>
      <c r="H148" s="113"/>
      <c r="I148" s="114"/>
      <c r="J148" s="115"/>
      <c r="K148" s="116"/>
      <c r="L148" s="44">
        <f t="shared" ref="L148:L150" si="15">IF(OR(H148="",I148&lt;&gt;"SI",I148="NO",J148="",J148=0,K148="",K148=0,Q148&lt;&gt;"SI",N148&lt;&gt;"SI"),0,J148*K148)</f>
        <v>0</v>
      </c>
      <c r="M148" s="117" t="str">
        <f>+IF(C148&lt;&gt;"",IF(L148&gt;=$H$6,"SI","NO"),"")</f>
        <v/>
      </c>
      <c r="N148" s="114"/>
      <c r="O148" s="118"/>
      <c r="Q148" s="37" t="str">
        <f>+IF(C148="","",IF(AND(H148&lt;&gt;"",I148="SI",J148&lt;&gt;"",J148&gt;0,K148&lt;&gt;"",K148&gt;0),"SI","NO"))</f>
        <v/>
      </c>
      <c r="S148" s="37" t="str">
        <f>+IF(C148&lt;&gt;"",IF(AND(M148="SI",N148="SI",Q148="SI"),"HÁBIL","NO HÁBIL"),"")</f>
        <v/>
      </c>
    </row>
    <row r="149" spans="1:20" s="27" customFormat="1" ht="12.75" x14ac:dyDescent="0.2">
      <c r="B149" s="110"/>
      <c r="C149" s="111"/>
      <c r="D149" s="111"/>
      <c r="E149" s="112"/>
      <c r="F149" s="112"/>
      <c r="G149" s="111"/>
      <c r="H149" s="113"/>
      <c r="I149" s="114"/>
      <c r="J149" s="115"/>
      <c r="K149" s="116"/>
      <c r="L149" s="44">
        <f t="shared" si="15"/>
        <v>0</v>
      </c>
      <c r="M149" s="117" t="str">
        <f>+IF(C149&lt;&gt;"",IF(L149&gt;=$H$6,"SI","NO"),"")</f>
        <v/>
      </c>
      <c r="N149" s="114"/>
      <c r="O149" s="118"/>
      <c r="Q149" s="37" t="str">
        <f>+IF(C149="","",IF(AND(H149&lt;&gt;"",I149="SI",J149&lt;&gt;"",J149&gt;0,K149&lt;&gt;"",K149&gt;0),"SI","NO"))</f>
        <v/>
      </c>
      <c r="S149" s="37" t="str">
        <f>+IF(C149&lt;&gt;"",IF(AND(M149="SI",N149="SI",Q149="SI"),"HÁBIL","NO HÁBIL"),"")</f>
        <v/>
      </c>
    </row>
    <row r="150" spans="1:20" s="27" customFormat="1" ht="13.5" thickBot="1" x14ac:dyDescent="0.25">
      <c r="B150" s="119"/>
      <c r="C150" s="120"/>
      <c r="D150" s="120"/>
      <c r="E150" s="121"/>
      <c r="F150" s="121"/>
      <c r="G150" s="120"/>
      <c r="H150" s="122"/>
      <c r="I150" s="123"/>
      <c r="J150" s="124"/>
      <c r="K150" s="125"/>
      <c r="L150" s="53">
        <f t="shared" si="15"/>
        <v>0</v>
      </c>
      <c r="M150" s="126" t="str">
        <f>+IF(C150&lt;&gt;"",IF(L150&gt;=$H$6,"SI","NO"),"")</f>
        <v/>
      </c>
      <c r="N150" s="123"/>
      <c r="O150" s="127"/>
      <c r="Q150" s="55" t="str">
        <f>+IF(C150="","",IF(AND(H150&lt;&gt;"",I150="SI",J150&lt;&gt;"",J150&gt;0,K150&lt;&gt;"",K150&gt;0),"SI","NO"))</f>
        <v/>
      </c>
      <c r="S150" s="55" t="str">
        <f>+IF(C150&lt;&gt;"",IF(AND(M150="SI",N150="SI",Q150="SI"),"HÁBIL","NO HÁBIL"),"")</f>
        <v/>
      </c>
    </row>
    <row r="151" spans="1:20" ht="21" customHeight="1" thickBot="1" x14ac:dyDescent="0.25">
      <c r="A151" s="56">
        <f>+$B144</f>
        <v>16</v>
      </c>
      <c r="B151" s="57" t="str">
        <f>"A"&amp;B144</f>
        <v>A16</v>
      </c>
      <c r="C151" s="340" t="str">
        <f>+$C$16</f>
        <v>PROPONENTE HÁBIL / NO HÁBIL</v>
      </c>
      <c r="D151" s="341"/>
      <c r="E151" s="341"/>
      <c r="F151" s="341"/>
      <c r="G151" s="341"/>
      <c r="H151" s="342"/>
      <c r="I151" s="58" t="str">
        <f>IF(S147="","",IF(OR(S147="HÁBIL",S148="HÁBIL",S149="HÁBIL",S150="HÁBIL"),"HÁBIL","NO HÁBIL"))</f>
        <v>HÁBIL</v>
      </c>
      <c r="J151" s="59"/>
      <c r="K151" s="27"/>
      <c r="L151" s="27"/>
      <c r="M151" s="27"/>
      <c r="N151" s="60"/>
      <c r="O151" s="1"/>
      <c r="P151" s="61"/>
      <c r="Q151" s="61"/>
      <c r="R151" s="61"/>
      <c r="S151" s="61"/>
      <c r="T151" s="61"/>
    </row>
    <row r="152" spans="1:20" ht="12" thickBot="1" x14ac:dyDescent="0.25"/>
    <row r="153" spans="1:20" ht="50.25" customHeight="1" thickBot="1" x14ac:dyDescent="0.25">
      <c r="B153" s="23">
        <f>1+B144</f>
        <v>17</v>
      </c>
      <c r="C153" s="336" t="s">
        <v>907</v>
      </c>
      <c r="D153" s="337"/>
      <c r="E153" s="337"/>
      <c r="F153" s="337"/>
      <c r="G153" s="337"/>
      <c r="H153" s="337"/>
      <c r="I153" s="338"/>
      <c r="J153" s="24" t="str">
        <f>+IF(C153="","",$J$9)</f>
        <v>INTEGRANTES</v>
      </c>
      <c r="K153" s="339" t="s">
        <v>908</v>
      </c>
      <c r="L153" s="339"/>
      <c r="M153" s="339"/>
      <c r="N153" s="25">
        <f>+B153</f>
        <v>17</v>
      </c>
      <c r="O153" s="323" t="str">
        <f ca="1">+$O$9</f>
        <v>OBSERVACIONES</v>
      </c>
      <c r="Q153" s="325" t="str">
        <f ca="1">+$Q$9</f>
        <v>¿EL CONTRATO CUMPLE CON LOS REQUERIMIENTOS ADICIONALES DE EXPERIENCIA  EN EL PLIEGO?
 (INSCRIPCIÓN EN RUP - CÓDIGO UNSPSC - VALOR EN RUP - % DE PARTICIPACIÓN)
(SI / NO)</v>
      </c>
      <c r="S153" s="328" t="str">
        <f ca="1">+$S$9</f>
        <v>PROPONENTE HÁBIL/NO HÁBIL</v>
      </c>
    </row>
    <row r="154" spans="1:20" ht="42" customHeight="1" x14ac:dyDescent="0.2">
      <c r="B154" s="331" t="str">
        <f ca="1">+$B$10</f>
        <v>ITEM</v>
      </c>
      <c r="C154" s="318" t="str">
        <f ca="1">+$C$10</f>
        <v>PROPONENTE 
/ 
INTEGRANTE OFERENTE PLURAL</v>
      </c>
      <c r="D154" s="333" t="str">
        <f ca="1">+$D$10</f>
        <v>INFORMACIÓN DEL CONTRATO</v>
      </c>
      <c r="E154" s="334"/>
      <c r="F154" s="334"/>
      <c r="G154" s="335"/>
      <c r="H154" s="318" t="str">
        <f>+H145</f>
        <v>CONSECUTIVO RUP</v>
      </c>
      <c r="I154" s="318" t="str">
        <f ca="1">+$I$10</f>
        <v>¿SE ENCUENTRA INSCRITO EN EL RUP Y CUMPLE CÓDIGOS UNSPSC?</v>
      </c>
      <c r="J154" s="318" t="str">
        <f ca="1">+$J$10</f>
        <v xml:space="preserve">VALOR EN RUP (SMMLV) </v>
      </c>
      <c r="K154" s="318" t="str">
        <f ca="1">+$K$10</f>
        <v>% PARTIC en el RUP</v>
      </c>
      <c r="L154" s="318" t="str">
        <f ca="1">+$L$10</f>
        <v>VALOR DEL CONTRATO TERMINADO (SMMLV) en el   RUP</v>
      </c>
      <c r="M154" s="318" t="str">
        <f ca="1">+$M$10</f>
        <v>VALOR CERTIFICADO CONTRATO &gt; VEH</v>
      </c>
      <c r="N154" s="318" t="str">
        <f ca="1">+$N$10</f>
        <v>VALIDACIÓN DE OBJETO Y/O ALCANCE
(SI/NO)
(INTERVENTORIA DE OBRA CIVIL)</v>
      </c>
      <c r="O154" s="324"/>
      <c r="Q154" s="326"/>
      <c r="S154" s="329">
        <f ca="1">+$S$10</f>
        <v>0</v>
      </c>
    </row>
    <row r="155" spans="1:20" ht="38.25" customHeight="1" thickBot="1" x14ac:dyDescent="0.25">
      <c r="B155" s="332"/>
      <c r="C155" s="319"/>
      <c r="D155" s="26" t="str">
        <f ca="1">+$D$11</f>
        <v>ENTIDAD</v>
      </c>
      <c r="E155" s="26" t="str">
        <f ca="1">+$E$11</f>
        <v>No. DE CONTRATO</v>
      </c>
      <c r="F155" s="26" t="str">
        <f ca="1">+$F$11</f>
        <v>OBJETO</v>
      </c>
      <c r="G155" s="26" t="str">
        <f ca="1">+$G$11</f>
        <v>CONTRATISTA</v>
      </c>
      <c r="H155" s="319"/>
      <c r="I155" s="319"/>
      <c r="J155" s="319"/>
      <c r="K155" s="319"/>
      <c r="L155" s="319"/>
      <c r="M155" s="319"/>
      <c r="N155" s="319"/>
      <c r="O155" s="324"/>
      <c r="Q155" s="327"/>
      <c r="S155" s="330"/>
    </row>
    <row r="156" spans="1:20" s="27" customFormat="1" ht="79.5" customHeight="1" x14ac:dyDescent="0.2">
      <c r="B156" s="101">
        <v>1</v>
      </c>
      <c r="C156" s="102" t="s">
        <v>89</v>
      </c>
      <c r="D156" s="102" t="s">
        <v>80</v>
      </c>
      <c r="E156" s="103" t="s">
        <v>90</v>
      </c>
      <c r="F156" s="103" t="s">
        <v>91</v>
      </c>
      <c r="G156" s="102" t="s">
        <v>89</v>
      </c>
      <c r="H156" s="104">
        <v>14</v>
      </c>
      <c r="I156" s="105" t="s">
        <v>16</v>
      </c>
      <c r="J156" s="106">
        <v>679.31</v>
      </c>
      <c r="K156" s="107">
        <v>1</v>
      </c>
      <c r="L156" s="34">
        <f>IF(OR(H156="",I156&lt;&gt;"SI",I156="NO",J156="",J156=0,K156="",K156=0,Q156&lt;&gt;"SI",N156&lt;&gt;"SI"),0,J156*K156)</f>
        <v>679.31</v>
      </c>
      <c r="M156" s="108" t="str">
        <f>+IF(C156&lt;&gt;"",IF(L156&gt;=$H$6,"SI","NO"),"")</f>
        <v>SI</v>
      </c>
      <c r="N156" s="35" t="s">
        <v>16</v>
      </c>
      <c r="O156" s="109"/>
      <c r="Q156" s="37" t="str">
        <f>+IF(C156="","",IF(AND(H156&lt;&gt;"",I156="SI",J156&lt;&gt;"",J156&gt;0,K156&lt;&gt;"",K156&gt;0),"SI","NO"))</f>
        <v>SI</v>
      </c>
      <c r="S156" s="37" t="str">
        <f>+IF(C156&lt;&gt;"",IF(AND(M156="SI",N156="SI",Q156="SI"),"HÁBIL","NO HÁBIL"),"")</f>
        <v>HÁBIL</v>
      </c>
    </row>
    <row r="157" spans="1:20" s="27" customFormat="1" ht="12.75" x14ac:dyDescent="0.2">
      <c r="B157" s="110"/>
      <c r="C157" s="111"/>
      <c r="D157" s="111"/>
      <c r="E157" s="112"/>
      <c r="F157" s="112"/>
      <c r="G157" s="111"/>
      <c r="H157" s="113"/>
      <c r="I157" s="114"/>
      <c r="J157" s="115"/>
      <c r="K157" s="116"/>
      <c r="L157" s="44">
        <f t="shared" ref="L157:L159" si="16">IF(OR(H157="",I157&lt;&gt;"SI",I157="NO",J157="",J157=0,K157="",K157=0,Q157&lt;&gt;"SI",N157&lt;&gt;"SI"),0,J157*K157)</f>
        <v>0</v>
      </c>
      <c r="M157" s="117" t="str">
        <f>+IF(C157&lt;&gt;"",IF(L157&gt;=$H$6,"SI","NO"),"")</f>
        <v/>
      </c>
      <c r="N157" s="114"/>
      <c r="O157" s="118"/>
      <c r="Q157" s="37" t="str">
        <f>+IF(C157="","",IF(AND(H157&lt;&gt;"",I157="SI",J157&lt;&gt;"",J157&gt;0,K157&lt;&gt;"",K157&gt;0),"SI","NO"))</f>
        <v/>
      </c>
      <c r="S157" s="37" t="str">
        <f>+IF(C157&lt;&gt;"",IF(AND(M157="SI",N157="SI",Q157="SI"),"HÁBIL","NO HÁBIL"),"")</f>
        <v/>
      </c>
    </row>
    <row r="158" spans="1:20" s="27" customFormat="1" ht="12.75" x14ac:dyDescent="0.2">
      <c r="B158" s="110"/>
      <c r="C158" s="111"/>
      <c r="D158" s="111"/>
      <c r="E158" s="112"/>
      <c r="F158" s="112"/>
      <c r="G158" s="111"/>
      <c r="H158" s="113"/>
      <c r="I158" s="114"/>
      <c r="J158" s="115"/>
      <c r="K158" s="116"/>
      <c r="L158" s="44">
        <f t="shared" si="16"/>
        <v>0</v>
      </c>
      <c r="M158" s="117" t="str">
        <f>+IF(C158&lt;&gt;"",IF(L158&gt;=$H$6,"SI","NO"),"")</f>
        <v/>
      </c>
      <c r="N158" s="114"/>
      <c r="O158" s="118"/>
      <c r="Q158" s="37" t="str">
        <f>+IF(C158="","",IF(AND(H158&lt;&gt;"",I158="SI",J158&lt;&gt;"",J158&gt;0,K158&lt;&gt;"",K158&gt;0),"SI","NO"))</f>
        <v/>
      </c>
      <c r="S158" s="37" t="str">
        <f>+IF(C158&lt;&gt;"",IF(AND(M158="SI",N158="SI",Q158="SI"),"HÁBIL","NO HÁBIL"),"")</f>
        <v/>
      </c>
    </row>
    <row r="159" spans="1:20" s="27" customFormat="1" ht="13.5" thickBot="1" x14ac:dyDescent="0.25">
      <c r="B159" s="119"/>
      <c r="C159" s="120"/>
      <c r="D159" s="120"/>
      <c r="E159" s="121"/>
      <c r="F159" s="121"/>
      <c r="G159" s="120"/>
      <c r="H159" s="122"/>
      <c r="I159" s="123"/>
      <c r="J159" s="124"/>
      <c r="K159" s="125"/>
      <c r="L159" s="53">
        <f t="shared" si="16"/>
        <v>0</v>
      </c>
      <c r="M159" s="126" t="str">
        <f>+IF(C159&lt;&gt;"",IF(L159&gt;=$H$6,"SI","NO"),"")</f>
        <v/>
      </c>
      <c r="N159" s="123"/>
      <c r="O159" s="127"/>
      <c r="Q159" s="55" t="str">
        <f>+IF(C159="","",IF(AND(H159&lt;&gt;"",I159="SI",J159&lt;&gt;"",J159&gt;0,K159&lt;&gt;"",K159&gt;0),"SI","NO"))</f>
        <v/>
      </c>
      <c r="S159" s="55" t="str">
        <f>+IF(C159&lt;&gt;"",IF(AND(M159="SI",N159="SI",Q159="SI"),"HÁBIL","NO HÁBIL"),"")</f>
        <v/>
      </c>
    </row>
    <row r="160" spans="1:20" ht="24" customHeight="1" thickBot="1" x14ac:dyDescent="0.25">
      <c r="A160" s="56">
        <f>+$B153</f>
        <v>17</v>
      </c>
      <c r="B160" s="57" t="str">
        <f>"A"&amp;B153</f>
        <v>A17</v>
      </c>
      <c r="C160" s="340" t="str">
        <f>+$C$16</f>
        <v>PROPONENTE HÁBIL / NO HÁBIL</v>
      </c>
      <c r="D160" s="341"/>
      <c r="E160" s="341"/>
      <c r="F160" s="341"/>
      <c r="G160" s="341"/>
      <c r="H160" s="342"/>
      <c r="I160" s="58" t="str">
        <f>IF(S156="","",IF(OR(S156="HÁBIL",S157="HÁBIL",S158="HÁBIL",S159="HÁBIL"),"HÁBIL","NO HÁBIL"))</f>
        <v>HÁBIL</v>
      </c>
      <c r="J160" s="59"/>
      <c r="K160" s="27"/>
      <c r="L160" s="27"/>
      <c r="M160" s="27"/>
      <c r="N160" s="60"/>
      <c r="O160" s="1"/>
      <c r="P160" s="61"/>
      <c r="Q160" s="61"/>
      <c r="R160" s="61"/>
      <c r="S160" s="61"/>
      <c r="T160" s="61"/>
    </row>
    <row r="161" spans="1:20" ht="12" thickBot="1" x14ac:dyDescent="0.25"/>
    <row r="162" spans="1:20" ht="36.75" customHeight="1" thickBot="1" x14ac:dyDescent="0.25">
      <c r="B162" s="23">
        <f>1+B153</f>
        <v>18</v>
      </c>
      <c r="C162" s="336" t="s">
        <v>909</v>
      </c>
      <c r="D162" s="337"/>
      <c r="E162" s="337"/>
      <c r="F162" s="337"/>
      <c r="G162" s="337"/>
      <c r="H162" s="337"/>
      <c r="I162" s="338"/>
      <c r="J162" s="24" t="str">
        <f>+IF(C162="","",$J$9)</f>
        <v>INTEGRANTES</v>
      </c>
      <c r="K162" s="339" t="s">
        <v>910</v>
      </c>
      <c r="L162" s="339"/>
      <c r="M162" s="339"/>
      <c r="N162" s="25">
        <f>+B162</f>
        <v>18</v>
      </c>
      <c r="O162" s="323" t="str">
        <f ca="1">+$O$9</f>
        <v>OBSERVACIONES</v>
      </c>
      <c r="Q162" s="325" t="str">
        <f ca="1">+$Q$9</f>
        <v>¿EL CONTRATO CUMPLE CON LOS REQUERIMIENTOS ADICIONALES DE EXPERIENCIA  EN EL PLIEGO?
 (INSCRIPCIÓN EN RUP - CÓDIGO UNSPSC - VALOR EN RUP - % DE PARTICIPACIÓN)
(SI / NO)</v>
      </c>
      <c r="S162" s="328" t="str">
        <f ca="1">+$S$9</f>
        <v>PROPONENTE HÁBIL/NO HÁBIL</v>
      </c>
    </row>
    <row r="163" spans="1:20" ht="42" customHeight="1" x14ac:dyDescent="0.2">
      <c r="B163" s="331" t="str">
        <f ca="1">+$B$10</f>
        <v>ITEM</v>
      </c>
      <c r="C163" s="318" t="str">
        <f ca="1">+$C$10</f>
        <v>PROPONENTE 
/ 
INTEGRANTE OFERENTE PLURAL</v>
      </c>
      <c r="D163" s="333" t="str">
        <f ca="1">+$D$10</f>
        <v>INFORMACIÓN DEL CONTRATO</v>
      </c>
      <c r="E163" s="334"/>
      <c r="F163" s="334"/>
      <c r="G163" s="335"/>
      <c r="H163" s="318" t="str">
        <f>+H154</f>
        <v>CONSECUTIVO RUP</v>
      </c>
      <c r="I163" s="318" t="str">
        <f ca="1">+$I$10</f>
        <v>¿SE ENCUENTRA INSCRITO EN EL RUP Y CUMPLE CÓDIGOS UNSPSC?</v>
      </c>
      <c r="J163" s="318" t="str">
        <f ca="1">+$J$10</f>
        <v xml:space="preserve">VALOR EN RUP (SMMLV) </v>
      </c>
      <c r="K163" s="318" t="str">
        <f ca="1">+$K$10</f>
        <v>% PARTIC en el RUP</v>
      </c>
      <c r="L163" s="318" t="str">
        <f ca="1">+$L$10</f>
        <v>VALOR DEL CONTRATO TERMINADO (SMMLV) en el   RUP</v>
      </c>
      <c r="M163" s="318" t="str">
        <f ca="1">+$M$10</f>
        <v>VALOR CERTIFICADO CONTRATO &gt; VEH</v>
      </c>
      <c r="N163" s="318" t="str">
        <f ca="1">+$N$10</f>
        <v>VALIDACIÓN DE OBJETO Y/O ALCANCE
(SI/NO)
(INTERVENTORIA DE OBRA CIVIL)</v>
      </c>
      <c r="O163" s="324"/>
      <c r="Q163" s="326"/>
      <c r="S163" s="329">
        <f ca="1">+$S$10</f>
        <v>0</v>
      </c>
    </row>
    <row r="164" spans="1:20" ht="38.25" customHeight="1" thickBot="1" x14ac:dyDescent="0.25">
      <c r="B164" s="332"/>
      <c r="C164" s="319"/>
      <c r="D164" s="26" t="str">
        <f ca="1">+$D$11</f>
        <v>ENTIDAD</v>
      </c>
      <c r="E164" s="26" t="str">
        <f ca="1">+$E$11</f>
        <v>No. DE CONTRATO</v>
      </c>
      <c r="F164" s="26" t="str">
        <f ca="1">+$F$11</f>
        <v>OBJETO</v>
      </c>
      <c r="G164" s="26" t="str">
        <f ca="1">+$G$11</f>
        <v>CONTRATISTA</v>
      </c>
      <c r="H164" s="319"/>
      <c r="I164" s="319"/>
      <c r="J164" s="319"/>
      <c r="K164" s="319"/>
      <c r="L164" s="319"/>
      <c r="M164" s="319"/>
      <c r="N164" s="319"/>
      <c r="O164" s="324"/>
      <c r="Q164" s="327"/>
      <c r="S164" s="330"/>
    </row>
    <row r="165" spans="1:20" s="27" customFormat="1" ht="159" customHeight="1" x14ac:dyDescent="0.2">
      <c r="B165" s="101">
        <v>1</v>
      </c>
      <c r="C165" s="102" t="s">
        <v>92</v>
      </c>
      <c r="D165" s="102" t="s">
        <v>93</v>
      </c>
      <c r="E165" s="103" t="s">
        <v>94</v>
      </c>
      <c r="F165" s="103" t="s">
        <v>95</v>
      </c>
      <c r="G165" s="102" t="s">
        <v>96</v>
      </c>
      <c r="H165" s="104">
        <v>17</v>
      </c>
      <c r="I165" s="105" t="s">
        <v>16</v>
      </c>
      <c r="J165" s="106">
        <v>29095.119999999999</v>
      </c>
      <c r="K165" s="107">
        <v>0.5</v>
      </c>
      <c r="L165" s="34">
        <f>IF(OR(H165="",I165&lt;&gt;"SI",I165="NO",J165="",J165=0,K165="",K165=0,Q165&lt;&gt;"SI",N165&lt;&gt;"SI"),0,J165*K165)</f>
        <v>14547.56</v>
      </c>
      <c r="M165" s="108" t="str">
        <f>+IF(C165&lt;&gt;"",IF(L165&gt;=$H$6,"SI","NO"),"")</f>
        <v>SI</v>
      </c>
      <c r="N165" s="35" t="s">
        <v>16</v>
      </c>
      <c r="O165" s="109"/>
      <c r="Q165" s="37" t="str">
        <f>+IF(C165="","",IF(AND(H165&lt;&gt;"",I165="SI",J165&lt;&gt;"",J165&gt;0,K165&lt;&gt;"",K165&gt;0),"SI","NO"))</f>
        <v>SI</v>
      </c>
      <c r="S165" s="37" t="str">
        <f>+IF(C165&lt;&gt;"",IF(AND(M165="SI",N165="SI",Q165="SI"),"HÁBIL","NO HÁBIL"),"")</f>
        <v>HÁBIL</v>
      </c>
    </row>
    <row r="166" spans="1:20" s="27" customFormat="1" ht="12.75" x14ac:dyDescent="0.2">
      <c r="B166" s="110"/>
      <c r="C166" s="111"/>
      <c r="D166" s="111"/>
      <c r="E166" s="112"/>
      <c r="F166" s="112"/>
      <c r="G166" s="111"/>
      <c r="H166" s="113"/>
      <c r="I166" s="114"/>
      <c r="J166" s="115"/>
      <c r="K166" s="116"/>
      <c r="L166" s="44">
        <f t="shared" ref="L166:L168" si="17">IF(OR(H166="",I166&lt;&gt;"SI",I166="NO",J166="",J166=0,K166="",K166=0,Q166&lt;&gt;"SI",N166&lt;&gt;"SI"),0,J166*K166)</f>
        <v>0</v>
      </c>
      <c r="M166" s="117" t="str">
        <f>+IF(C166&lt;&gt;"",IF(L166&gt;=$H$6,"SI","NO"),"")</f>
        <v/>
      </c>
      <c r="N166" s="114"/>
      <c r="O166" s="118"/>
      <c r="Q166" s="37" t="str">
        <f>+IF(C166="","",IF(AND(H166&lt;&gt;"",I166="SI",J166&lt;&gt;"",J166&gt;0,K166&lt;&gt;"",K166&gt;0),"SI","NO"))</f>
        <v/>
      </c>
      <c r="S166" s="37" t="str">
        <f>+IF(C166&lt;&gt;"",IF(AND(M166="SI",N166="SI",Q166="SI"),"HÁBIL","NO HÁBIL"),"")</f>
        <v/>
      </c>
    </row>
    <row r="167" spans="1:20" s="27" customFormat="1" ht="12.75" x14ac:dyDescent="0.2">
      <c r="B167" s="110"/>
      <c r="C167" s="111"/>
      <c r="D167" s="111"/>
      <c r="E167" s="112"/>
      <c r="F167" s="112"/>
      <c r="G167" s="111"/>
      <c r="H167" s="113"/>
      <c r="I167" s="114"/>
      <c r="J167" s="115"/>
      <c r="K167" s="116"/>
      <c r="L167" s="44">
        <f t="shared" si="17"/>
        <v>0</v>
      </c>
      <c r="M167" s="117" t="str">
        <f>+IF(C167&lt;&gt;"",IF(L167&gt;=$H$6,"SI","NO"),"")</f>
        <v/>
      </c>
      <c r="N167" s="114"/>
      <c r="O167" s="118"/>
      <c r="Q167" s="37" t="str">
        <f>+IF(C167="","",IF(AND(H167&lt;&gt;"",I167="SI",J167&lt;&gt;"",J167&gt;0,K167&lt;&gt;"",K167&gt;0),"SI","NO"))</f>
        <v/>
      </c>
      <c r="S167" s="37" t="str">
        <f>+IF(C167&lt;&gt;"",IF(AND(M167="SI",N167="SI",Q167="SI"),"HÁBIL","NO HÁBIL"),"")</f>
        <v/>
      </c>
    </row>
    <row r="168" spans="1:20" s="27" customFormat="1" ht="13.5" thickBot="1" x14ac:dyDescent="0.25">
      <c r="B168" s="119"/>
      <c r="C168" s="120"/>
      <c r="D168" s="120"/>
      <c r="E168" s="121"/>
      <c r="F168" s="121"/>
      <c r="G168" s="120"/>
      <c r="H168" s="122"/>
      <c r="I168" s="123"/>
      <c r="J168" s="124"/>
      <c r="K168" s="125"/>
      <c r="L168" s="53">
        <f t="shared" si="17"/>
        <v>0</v>
      </c>
      <c r="M168" s="126" t="str">
        <f>+IF(C168&lt;&gt;"",IF(L168&gt;=$H$6,"SI","NO"),"")</f>
        <v/>
      </c>
      <c r="N168" s="123"/>
      <c r="O168" s="127"/>
      <c r="Q168" s="55" t="str">
        <f>+IF(C168="","",IF(AND(H168&lt;&gt;"",I168="SI",J168&lt;&gt;"",J168&gt;0,K168&lt;&gt;"",K168&gt;0),"SI","NO"))</f>
        <v/>
      </c>
      <c r="S168" s="55" t="str">
        <f>+IF(C168&lt;&gt;"",IF(AND(M168="SI",N168="SI",Q168="SI"),"HÁBIL","NO HÁBIL"),"")</f>
        <v/>
      </c>
    </row>
    <row r="169" spans="1:20" ht="36" customHeight="1" thickBot="1" x14ac:dyDescent="0.25">
      <c r="A169" s="56">
        <f>+$B162</f>
        <v>18</v>
      </c>
      <c r="B169" s="57" t="str">
        <f>"A"&amp;B162</f>
        <v>A18</v>
      </c>
      <c r="C169" s="340" t="str">
        <f>+$C$16</f>
        <v>PROPONENTE HÁBIL / NO HÁBIL</v>
      </c>
      <c r="D169" s="341"/>
      <c r="E169" s="341"/>
      <c r="F169" s="341"/>
      <c r="G169" s="341"/>
      <c r="H169" s="342"/>
      <c r="I169" s="58" t="str">
        <f>IF(S165="","",IF(OR(S165="HÁBIL",S166="HÁBIL",S167="HÁBIL",S168="HÁBIL"),"HÁBIL","NO HÁBIL"))</f>
        <v>HÁBIL</v>
      </c>
      <c r="J169" s="59"/>
      <c r="K169" s="27"/>
      <c r="L169" s="27"/>
      <c r="M169" s="27"/>
      <c r="N169" s="60"/>
      <c r="O169" s="1"/>
      <c r="P169" s="61"/>
      <c r="Q169" s="61"/>
      <c r="R169" s="61"/>
      <c r="S169" s="61"/>
      <c r="T169" s="61"/>
    </row>
    <row r="170" spans="1:20" ht="12" thickBot="1" x14ac:dyDescent="0.25"/>
    <row r="171" spans="1:20" ht="61.5" customHeight="1" thickBot="1" x14ac:dyDescent="0.25">
      <c r="B171" s="23">
        <f>1+B162</f>
        <v>19</v>
      </c>
      <c r="C171" s="336" t="s">
        <v>911</v>
      </c>
      <c r="D171" s="337"/>
      <c r="E171" s="337"/>
      <c r="F171" s="337"/>
      <c r="G171" s="337"/>
      <c r="H171" s="337"/>
      <c r="I171" s="338"/>
      <c r="J171" s="24" t="str">
        <f>+IF(C171="","",$J$9)</f>
        <v>INTEGRANTES</v>
      </c>
      <c r="K171" s="339" t="s">
        <v>912</v>
      </c>
      <c r="L171" s="339"/>
      <c r="M171" s="339"/>
      <c r="N171" s="25">
        <f>+B171</f>
        <v>19</v>
      </c>
      <c r="O171" s="323" t="str">
        <f ca="1">+$O$9</f>
        <v>OBSERVACIONES</v>
      </c>
      <c r="Q171" s="325" t="str">
        <f ca="1">+$Q$9</f>
        <v>¿EL CONTRATO CUMPLE CON LOS REQUERIMIENTOS ADICIONALES DE EXPERIENCIA  EN EL PLIEGO?
 (INSCRIPCIÓN EN RUP - CÓDIGO UNSPSC - VALOR EN RUP - % DE PARTICIPACIÓN)
(SI / NO)</v>
      </c>
      <c r="S171" s="328" t="str">
        <f ca="1">+$S$9</f>
        <v>PROPONENTE HÁBIL/NO HÁBIL</v>
      </c>
    </row>
    <row r="172" spans="1:20" ht="42" customHeight="1" x14ac:dyDescent="0.2">
      <c r="B172" s="331" t="str">
        <f ca="1">+$B$10</f>
        <v>ITEM</v>
      </c>
      <c r="C172" s="318" t="str">
        <f ca="1">+$C$10</f>
        <v>PROPONENTE 
/ 
INTEGRANTE OFERENTE PLURAL</v>
      </c>
      <c r="D172" s="333" t="str">
        <f ca="1">+$D$10</f>
        <v>INFORMACIÓN DEL CONTRATO</v>
      </c>
      <c r="E172" s="334"/>
      <c r="F172" s="334"/>
      <c r="G172" s="335"/>
      <c r="H172" s="318" t="str">
        <f>+H163</f>
        <v>CONSECUTIVO RUP</v>
      </c>
      <c r="I172" s="318" t="str">
        <f ca="1">+$I$10</f>
        <v>¿SE ENCUENTRA INSCRITO EN EL RUP Y CUMPLE CÓDIGOS UNSPSC?</v>
      </c>
      <c r="J172" s="318" t="str">
        <f ca="1">+$J$10</f>
        <v xml:space="preserve">VALOR EN RUP (SMMLV) </v>
      </c>
      <c r="K172" s="318" t="str">
        <f ca="1">+$K$10</f>
        <v>% PARTIC en el RUP</v>
      </c>
      <c r="L172" s="318" t="str">
        <f ca="1">+$L$10</f>
        <v>VALOR DEL CONTRATO TERMINADO (SMMLV) en el   RUP</v>
      </c>
      <c r="M172" s="318" t="str">
        <f ca="1">+$M$10</f>
        <v>VALOR CERTIFICADO CONTRATO &gt; VEH</v>
      </c>
      <c r="N172" s="318" t="str">
        <f ca="1">+$N$10</f>
        <v>VALIDACIÓN DE OBJETO Y/O ALCANCE
(SI/NO)
(INTERVENTORIA DE OBRA CIVIL)</v>
      </c>
      <c r="O172" s="324"/>
      <c r="Q172" s="326"/>
      <c r="S172" s="329">
        <f ca="1">+$S$10</f>
        <v>0</v>
      </c>
    </row>
    <row r="173" spans="1:20" ht="38.25" customHeight="1" thickBot="1" x14ac:dyDescent="0.25">
      <c r="B173" s="332"/>
      <c r="C173" s="319"/>
      <c r="D173" s="26" t="str">
        <f ca="1">+$D$11</f>
        <v>ENTIDAD</v>
      </c>
      <c r="E173" s="26" t="str">
        <f ca="1">+$E$11</f>
        <v>No. DE CONTRATO</v>
      </c>
      <c r="F173" s="26" t="str">
        <f ca="1">+$F$11</f>
        <v>OBJETO</v>
      </c>
      <c r="G173" s="26" t="str">
        <f ca="1">+$G$11</f>
        <v>CONTRATISTA</v>
      </c>
      <c r="H173" s="319"/>
      <c r="I173" s="319"/>
      <c r="J173" s="319"/>
      <c r="K173" s="319"/>
      <c r="L173" s="319"/>
      <c r="M173" s="319"/>
      <c r="N173" s="319"/>
      <c r="O173" s="324"/>
      <c r="Q173" s="327"/>
      <c r="S173" s="330"/>
    </row>
    <row r="174" spans="1:20" s="27" customFormat="1" ht="81" customHeight="1" x14ac:dyDescent="0.2">
      <c r="B174" s="28">
        <v>1</v>
      </c>
      <c r="C174" s="86" t="s">
        <v>97</v>
      </c>
      <c r="D174" s="86" t="s">
        <v>98</v>
      </c>
      <c r="E174" s="87" t="s">
        <v>99</v>
      </c>
      <c r="F174" s="87" t="s">
        <v>100</v>
      </c>
      <c r="G174" s="86" t="s">
        <v>101</v>
      </c>
      <c r="H174" s="30">
        <v>34</v>
      </c>
      <c r="I174" s="31" t="s">
        <v>16</v>
      </c>
      <c r="J174" s="32">
        <v>3588.8</v>
      </c>
      <c r="K174" s="33">
        <v>0.3</v>
      </c>
      <c r="L174" s="34">
        <f>IF(OR(H174="",I174&lt;&gt;"SI",I174="NO",J174="",J174=0,K174="",K174=0,Q174&lt;&gt;"SI",N174&lt;&gt;"SI"),0,J174*K174)</f>
        <v>1076.6400000000001</v>
      </c>
      <c r="M174" s="34" t="str">
        <f>+IF(C174&lt;&gt;"",IF(L174&gt;=$H$6,"SI","NO"),"")</f>
        <v>SI</v>
      </c>
      <c r="N174" s="35" t="s">
        <v>16</v>
      </c>
      <c r="O174" s="36"/>
      <c r="Q174" s="37" t="str">
        <f>+IF(C174="","",IF(AND(H174&lt;&gt;"",I174="SI",J174&lt;&gt;"",J174&gt;0,K174&lt;&gt;"",K174&gt;0),"SI","NO"))</f>
        <v>SI</v>
      </c>
      <c r="S174" s="37" t="str">
        <f>+IF(C174&lt;&gt;"",IF(AND(M174="SI",N174="SI",Q174="SI"),"HÁBIL","NO HÁBIL"),"")</f>
        <v>HÁBIL</v>
      </c>
    </row>
    <row r="175" spans="1:20" s="27" customFormat="1" ht="12.75" x14ac:dyDescent="0.2">
      <c r="B175" s="38"/>
      <c r="C175" s="39"/>
      <c r="D175" s="39"/>
      <c r="E175" s="46"/>
      <c r="F175" s="46"/>
      <c r="G175" s="39"/>
      <c r="H175" s="40"/>
      <c r="I175" s="41"/>
      <c r="J175" s="42"/>
      <c r="K175" s="43"/>
      <c r="L175" s="44">
        <f t="shared" ref="L175:L177" si="18">IF(OR(H175="",I175&lt;&gt;"SI",I175="NO",J175="",J175=0,K175="",K175=0,Q175&lt;&gt;"SI",N175&lt;&gt;"SI"),0,J175*K175)</f>
        <v>0</v>
      </c>
      <c r="M175" s="44" t="str">
        <f>+IF(C175&lt;&gt;"",IF(L175&gt;=$H$6,"SI","NO"),"")</f>
        <v/>
      </c>
      <c r="N175" s="41"/>
      <c r="O175" s="45"/>
      <c r="Q175" s="37" t="str">
        <f>+IF(C175="","",IF(AND(H175&lt;&gt;"",I175="SI",J175&lt;&gt;"",J175&gt;0,K175&lt;&gt;"",K175&gt;0),"SI","NO"))</f>
        <v/>
      </c>
      <c r="S175" s="37" t="str">
        <f>+IF(C175&lt;&gt;"",IF(AND(M175="SI",N175="SI",Q175="SI"),"HÁBIL","NO HÁBIL"),"")</f>
        <v/>
      </c>
    </row>
    <row r="176" spans="1:20" s="27" customFormat="1" ht="12.75" x14ac:dyDescent="0.2">
      <c r="B176" s="38"/>
      <c r="C176" s="39"/>
      <c r="D176" s="39"/>
      <c r="E176" s="46"/>
      <c r="F176" s="46"/>
      <c r="G176" s="39"/>
      <c r="H176" s="40"/>
      <c r="I176" s="41"/>
      <c r="J176" s="42"/>
      <c r="K176" s="43"/>
      <c r="L176" s="44">
        <f t="shared" si="18"/>
        <v>0</v>
      </c>
      <c r="M176" s="44" t="str">
        <f>+IF(C176&lt;&gt;"",IF(L176&gt;=$H$6,"SI","NO"),"")</f>
        <v/>
      </c>
      <c r="N176" s="41"/>
      <c r="O176" s="45"/>
      <c r="Q176" s="37" t="str">
        <f>+IF(C176="","",IF(AND(H176&lt;&gt;"",I176="SI",J176&lt;&gt;"",J176&gt;0,K176&lt;&gt;"",K176&gt;0),"SI","NO"))</f>
        <v/>
      </c>
      <c r="S176" s="37" t="str">
        <f>+IF(C176&lt;&gt;"",IF(AND(M176="SI",N176="SI",Q176="SI"),"HÁBIL","NO HÁBIL"),"")</f>
        <v/>
      </c>
    </row>
    <row r="177" spans="1:20" s="27" customFormat="1" ht="13.5" thickBot="1" x14ac:dyDescent="0.25">
      <c r="B177" s="47"/>
      <c r="C177" s="48"/>
      <c r="D177" s="48"/>
      <c r="E177" s="49"/>
      <c r="F177" s="49"/>
      <c r="G177" s="48"/>
      <c r="H177" s="50"/>
      <c r="I177" s="51"/>
      <c r="J177" s="14"/>
      <c r="K177" s="52"/>
      <c r="L177" s="53">
        <f t="shared" si="18"/>
        <v>0</v>
      </c>
      <c r="M177" s="53" t="str">
        <f>+IF(C177&lt;&gt;"",IF(L177&gt;=$H$6,"SI","NO"),"")</f>
        <v/>
      </c>
      <c r="N177" s="51"/>
      <c r="O177" s="54"/>
      <c r="Q177" s="55" t="str">
        <f>+IF(C177="","",IF(AND(H177&lt;&gt;"",I177="SI",J177&lt;&gt;"",J177&gt;0,K177&lt;&gt;"",K177&gt;0),"SI","NO"))</f>
        <v/>
      </c>
      <c r="S177" s="55" t="str">
        <f>+IF(C177&lt;&gt;"",IF(AND(M177="SI",N177="SI",Q177="SI"),"HÁBIL","NO HÁBIL"),"")</f>
        <v/>
      </c>
    </row>
    <row r="178" spans="1:20" ht="24" customHeight="1" thickBot="1" x14ac:dyDescent="0.25">
      <c r="A178" s="56">
        <f>+$B171</f>
        <v>19</v>
      </c>
      <c r="B178" s="57" t="str">
        <f>"A"&amp;B171</f>
        <v>A19</v>
      </c>
      <c r="C178" s="340" t="str">
        <f>+$C$16</f>
        <v>PROPONENTE HÁBIL / NO HÁBIL</v>
      </c>
      <c r="D178" s="341"/>
      <c r="E178" s="341"/>
      <c r="F178" s="341"/>
      <c r="G178" s="341"/>
      <c r="H178" s="342"/>
      <c r="I178" s="58" t="str">
        <f>IF(S174="","",IF(OR(S174="HÁBIL",S175="HÁBIL",S176="HÁBIL",S177="HÁBIL"),"HÁBIL","NO HÁBIL"))</f>
        <v>HÁBIL</v>
      </c>
      <c r="J178" s="59"/>
      <c r="K178" s="27"/>
      <c r="L178" s="27"/>
      <c r="M178" s="27"/>
      <c r="N178" s="60"/>
      <c r="O178" s="1"/>
      <c r="P178" s="61"/>
      <c r="Q178" s="61"/>
      <c r="R178" s="61"/>
      <c r="S178" s="61"/>
      <c r="T178" s="61"/>
    </row>
    <row r="179" spans="1:20" ht="12" thickBot="1" x14ac:dyDescent="0.25"/>
    <row r="180" spans="1:20" ht="49.5" customHeight="1" thickBot="1" x14ac:dyDescent="0.25">
      <c r="B180" s="23">
        <f>1+B171</f>
        <v>20</v>
      </c>
      <c r="C180" s="336" t="s">
        <v>913</v>
      </c>
      <c r="D180" s="337"/>
      <c r="E180" s="337"/>
      <c r="F180" s="337"/>
      <c r="G180" s="337"/>
      <c r="H180" s="337"/>
      <c r="I180" s="338"/>
      <c r="J180" s="24" t="str">
        <f>+IF(C180="","",$J$9)</f>
        <v>INTEGRANTES</v>
      </c>
      <c r="K180" s="339" t="s">
        <v>914</v>
      </c>
      <c r="L180" s="339"/>
      <c r="M180" s="339"/>
      <c r="N180" s="25">
        <f>+B180</f>
        <v>20</v>
      </c>
      <c r="O180" s="323" t="str">
        <f ca="1">+$O$9</f>
        <v>OBSERVACIONES</v>
      </c>
      <c r="Q180" s="325" t="str">
        <f ca="1">+$Q$9</f>
        <v>¿EL CONTRATO CUMPLE CON LOS REQUERIMIENTOS ADICIONALES DE EXPERIENCIA  EN EL PLIEGO?
 (INSCRIPCIÓN EN RUP - CÓDIGO UNSPSC - VALOR EN RUP - % DE PARTICIPACIÓN)
(SI / NO)</v>
      </c>
      <c r="S180" s="328" t="str">
        <f ca="1">+$S$9</f>
        <v>PROPONENTE HÁBIL/NO HÁBIL</v>
      </c>
    </row>
    <row r="181" spans="1:20" ht="42" customHeight="1" x14ac:dyDescent="0.2">
      <c r="B181" s="331" t="str">
        <f ca="1">+$B$10</f>
        <v>ITEM</v>
      </c>
      <c r="C181" s="318" t="str">
        <f ca="1">+$C$10</f>
        <v>PROPONENTE 
/ 
INTEGRANTE OFERENTE PLURAL</v>
      </c>
      <c r="D181" s="333" t="str">
        <f ca="1">+$D$10</f>
        <v>INFORMACIÓN DEL CONTRATO</v>
      </c>
      <c r="E181" s="334"/>
      <c r="F181" s="334"/>
      <c r="G181" s="335"/>
      <c r="H181" s="318" t="str">
        <f>+H172</f>
        <v>CONSECUTIVO RUP</v>
      </c>
      <c r="I181" s="318" t="str">
        <f ca="1">+$I$10</f>
        <v>¿SE ENCUENTRA INSCRITO EN EL RUP Y CUMPLE CÓDIGOS UNSPSC?</v>
      </c>
      <c r="J181" s="318" t="str">
        <f ca="1">+$J$10</f>
        <v xml:space="preserve">VALOR EN RUP (SMMLV) </v>
      </c>
      <c r="K181" s="318" t="str">
        <f ca="1">+$K$10</f>
        <v>% PARTIC en el RUP</v>
      </c>
      <c r="L181" s="318" t="str">
        <f ca="1">+$L$10</f>
        <v>VALOR DEL CONTRATO TERMINADO (SMMLV) en el   RUP</v>
      </c>
      <c r="M181" s="318" t="str">
        <f ca="1">+$M$10</f>
        <v>VALOR CERTIFICADO CONTRATO &gt; VEH</v>
      </c>
      <c r="N181" s="318" t="str">
        <f ca="1">+$N$10</f>
        <v>VALIDACIÓN DE OBJETO Y/O ALCANCE
(SI/NO)
(INTERVENTORIA DE OBRA CIVIL)</v>
      </c>
      <c r="O181" s="324"/>
      <c r="Q181" s="326"/>
      <c r="S181" s="329">
        <f ca="1">+$S$10</f>
        <v>0</v>
      </c>
    </row>
    <row r="182" spans="1:20" ht="38.25" customHeight="1" thickBot="1" x14ac:dyDescent="0.25">
      <c r="B182" s="332"/>
      <c r="C182" s="319"/>
      <c r="D182" s="26" t="str">
        <f ca="1">+$D$11</f>
        <v>ENTIDAD</v>
      </c>
      <c r="E182" s="26" t="str">
        <f ca="1">+$E$11</f>
        <v>No. DE CONTRATO</v>
      </c>
      <c r="F182" s="26" t="str">
        <f ca="1">+$F$11</f>
        <v>OBJETO</v>
      </c>
      <c r="G182" s="26" t="str">
        <f ca="1">+$G$11</f>
        <v>CONTRATISTA</v>
      </c>
      <c r="H182" s="319"/>
      <c r="I182" s="319"/>
      <c r="J182" s="319"/>
      <c r="K182" s="319"/>
      <c r="L182" s="319"/>
      <c r="M182" s="319"/>
      <c r="N182" s="319"/>
      <c r="O182" s="324"/>
      <c r="Q182" s="327"/>
      <c r="S182" s="330"/>
    </row>
    <row r="183" spans="1:20" s="27" customFormat="1" ht="75.75" customHeight="1" x14ac:dyDescent="0.2">
      <c r="B183" s="28">
        <v>1</v>
      </c>
      <c r="C183" s="86" t="s">
        <v>102</v>
      </c>
      <c r="D183" s="86" t="s">
        <v>103</v>
      </c>
      <c r="E183" s="87" t="s">
        <v>104</v>
      </c>
      <c r="F183" s="87" t="s">
        <v>105</v>
      </c>
      <c r="G183" s="86" t="s">
        <v>106</v>
      </c>
      <c r="H183" s="30">
        <v>85</v>
      </c>
      <c r="I183" s="31" t="s">
        <v>16</v>
      </c>
      <c r="J183" s="32">
        <v>1515.44</v>
      </c>
      <c r="K183" s="33">
        <v>0.75</v>
      </c>
      <c r="L183" s="34">
        <f>IF(OR(H183="",I183&lt;&gt;"SI",I183="NO",J183="",J183=0,K183="",K183=0,Q183&lt;&gt;"SI",N183&lt;&gt;"SI"),0,J183*K183)</f>
        <v>1136.58</v>
      </c>
      <c r="M183" s="34" t="str">
        <f>+IF(C183&lt;&gt;"",IF(L183&gt;=$H$6,"SI","NO"),"")</f>
        <v>SI</v>
      </c>
      <c r="N183" s="35" t="s">
        <v>16</v>
      </c>
      <c r="O183" s="36"/>
      <c r="Q183" s="37" t="str">
        <f>+IF(C183="","",IF(AND(H183&lt;&gt;"",I183="SI",J183&lt;&gt;"",J183&gt;0,K183&lt;&gt;"",K183&gt;0),"SI","NO"))</f>
        <v>SI</v>
      </c>
      <c r="S183" s="37" t="str">
        <f>+IF(C183&lt;&gt;"",IF(AND(M183="SI",N183="SI",Q183="SI"),"HÁBIL","NO HÁBIL"),"")</f>
        <v>HÁBIL</v>
      </c>
    </row>
    <row r="184" spans="1:20" s="27" customFormat="1" ht="12.75" x14ac:dyDescent="0.2">
      <c r="B184" s="38"/>
      <c r="C184" s="39"/>
      <c r="D184" s="39"/>
      <c r="E184" s="46"/>
      <c r="F184" s="46"/>
      <c r="G184" s="39"/>
      <c r="H184" s="40"/>
      <c r="I184" s="41"/>
      <c r="J184" s="42"/>
      <c r="K184" s="43"/>
      <c r="L184" s="44">
        <f t="shared" ref="L184:L186" si="19">IF(OR(H184="",I184&lt;&gt;"SI",I184="NO",J184="",J184=0,K184="",K184=0,Q184&lt;&gt;"SI",N184&lt;&gt;"SI"),0,J184*K184)</f>
        <v>0</v>
      </c>
      <c r="M184" s="44" t="str">
        <f>+IF(C184&lt;&gt;"",IF(L184&gt;=$H$6,"SI","NO"),"")</f>
        <v/>
      </c>
      <c r="N184" s="41"/>
      <c r="O184" s="45"/>
      <c r="Q184" s="37" t="str">
        <f>+IF(C184="","",IF(AND(H184&lt;&gt;"",I184="SI",J184&lt;&gt;"",J184&gt;0,K184&lt;&gt;"",K184&gt;0),"SI","NO"))</f>
        <v/>
      </c>
      <c r="S184" s="37" t="str">
        <f>+IF(C184&lt;&gt;"",IF(AND(M184="SI",N184="SI",Q184="SI"),"HÁBIL","NO HÁBIL"),"")</f>
        <v/>
      </c>
    </row>
    <row r="185" spans="1:20" s="27" customFormat="1" ht="12.75" x14ac:dyDescent="0.2">
      <c r="B185" s="38"/>
      <c r="C185" s="39"/>
      <c r="D185" s="39"/>
      <c r="E185" s="46"/>
      <c r="F185" s="46"/>
      <c r="G185" s="39"/>
      <c r="H185" s="40"/>
      <c r="I185" s="41"/>
      <c r="J185" s="42"/>
      <c r="K185" s="43"/>
      <c r="L185" s="44">
        <f t="shared" si="19"/>
        <v>0</v>
      </c>
      <c r="M185" s="44" t="str">
        <f>+IF(C185&lt;&gt;"",IF(L185&gt;=$H$6,"SI","NO"),"")</f>
        <v/>
      </c>
      <c r="N185" s="41"/>
      <c r="O185" s="45"/>
      <c r="Q185" s="37" t="str">
        <f>+IF(C185="","",IF(AND(H185&lt;&gt;"",I185="SI",J185&lt;&gt;"",J185&gt;0,K185&lt;&gt;"",K185&gt;0),"SI","NO"))</f>
        <v/>
      </c>
      <c r="S185" s="37" t="str">
        <f>+IF(C185&lt;&gt;"",IF(AND(M185="SI",N185="SI",Q185="SI"),"HÁBIL","NO HÁBIL"),"")</f>
        <v/>
      </c>
    </row>
    <row r="186" spans="1:20" s="27" customFormat="1" ht="13.5" thickBot="1" x14ac:dyDescent="0.25">
      <c r="B186" s="47"/>
      <c r="C186" s="48"/>
      <c r="D186" s="48"/>
      <c r="E186" s="49"/>
      <c r="F186" s="49"/>
      <c r="G186" s="48"/>
      <c r="H186" s="50"/>
      <c r="I186" s="51"/>
      <c r="J186" s="14"/>
      <c r="K186" s="52"/>
      <c r="L186" s="53">
        <f t="shared" si="19"/>
        <v>0</v>
      </c>
      <c r="M186" s="53" t="str">
        <f>+IF(C186&lt;&gt;"",IF(L186&gt;=$H$6,"SI","NO"),"")</f>
        <v/>
      </c>
      <c r="N186" s="51"/>
      <c r="O186" s="54"/>
      <c r="Q186" s="55" t="str">
        <f>+IF(C186="","",IF(AND(H186&lt;&gt;"",I186="SI",J186&lt;&gt;"",J186&gt;0,K186&lt;&gt;"",K186&gt;0),"SI","NO"))</f>
        <v/>
      </c>
      <c r="S186" s="55" t="str">
        <f>+IF(C186&lt;&gt;"",IF(AND(M186="SI",N186="SI",Q186="SI"),"HÁBIL","NO HÁBIL"),"")</f>
        <v/>
      </c>
    </row>
    <row r="187" spans="1:20" ht="24.75" customHeight="1" thickBot="1" x14ac:dyDescent="0.25">
      <c r="A187" s="56">
        <f>+$B180</f>
        <v>20</v>
      </c>
      <c r="B187" s="57" t="str">
        <f>"A"&amp;B180</f>
        <v>A20</v>
      </c>
      <c r="C187" s="340" t="str">
        <f>+$C$16</f>
        <v>PROPONENTE HÁBIL / NO HÁBIL</v>
      </c>
      <c r="D187" s="341"/>
      <c r="E187" s="341"/>
      <c r="F187" s="341"/>
      <c r="G187" s="341"/>
      <c r="H187" s="342"/>
      <c r="I187" s="58" t="str">
        <f>IF(S183="","",IF(OR(S183="HÁBIL",S184="HÁBIL",S185="HÁBIL",S186="HÁBIL"),"HÁBIL","NO HÁBIL"))</f>
        <v>HÁBIL</v>
      </c>
      <c r="J187" s="59"/>
      <c r="K187" s="27"/>
      <c r="L187" s="27"/>
      <c r="M187" s="27"/>
      <c r="N187" s="60"/>
      <c r="O187" s="1"/>
      <c r="P187" s="61"/>
      <c r="Q187" s="61"/>
      <c r="R187" s="61"/>
      <c r="S187" s="61"/>
      <c r="T187" s="61"/>
    </row>
    <row r="188" spans="1:20" ht="12" thickBot="1" x14ac:dyDescent="0.25"/>
    <row r="189" spans="1:20" ht="45.75" customHeight="1" thickBot="1" x14ac:dyDescent="0.25">
      <c r="B189" s="23">
        <f>1+B180</f>
        <v>21</v>
      </c>
      <c r="C189" s="336" t="s">
        <v>915</v>
      </c>
      <c r="D189" s="337"/>
      <c r="E189" s="337"/>
      <c r="F189" s="337"/>
      <c r="G189" s="337"/>
      <c r="H189" s="337"/>
      <c r="I189" s="338"/>
      <c r="J189" s="24" t="str">
        <f>+IF(C189="","",$J$9)</f>
        <v>INTEGRANTES</v>
      </c>
      <c r="K189" s="339" t="s">
        <v>916</v>
      </c>
      <c r="L189" s="339"/>
      <c r="M189" s="339"/>
      <c r="N189" s="25">
        <f>+B189</f>
        <v>21</v>
      </c>
      <c r="O189" s="323" t="str">
        <f ca="1">+$O$9</f>
        <v>OBSERVACIONES</v>
      </c>
      <c r="Q189" s="325" t="str">
        <f ca="1">+$Q$9</f>
        <v>¿EL CONTRATO CUMPLE CON LOS REQUERIMIENTOS ADICIONALES DE EXPERIENCIA  EN EL PLIEGO?
 (INSCRIPCIÓN EN RUP - CÓDIGO UNSPSC - VALOR EN RUP - % DE PARTICIPACIÓN)
(SI / NO)</v>
      </c>
      <c r="S189" s="328" t="str">
        <f ca="1">+$S$9</f>
        <v>PROPONENTE HÁBIL/NO HÁBIL</v>
      </c>
    </row>
    <row r="190" spans="1:20" ht="42" customHeight="1" x14ac:dyDescent="0.2">
      <c r="B190" s="331" t="str">
        <f ca="1">+$B$10</f>
        <v>ITEM</v>
      </c>
      <c r="C190" s="318" t="str">
        <f ca="1">+$C$10</f>
        <v>PROPONENTE 
/ 
INTEGRANTE OFERENTE PLURAL</v>
      </c>
      <c r="D190" s="333" t="str">
        <f ca="1">+$D$10</f>
        <v>INFORMACIÓN DEL CONTRATO</v>
      </c>
      <c r="E190" s="334"/>
      <c r="F190" s="334"/>
      <c r="G190" s="335"/>
      <c r="H190" s="318" t="str">
        <f>+H181</f>
        <v>CONSECUTIVO RUP</v>
      </c>
      <c r="I190" s="318" t="str">
        <f ca="1">+$I$10</f>
        <v>¿SE ENCUENTRA INSCRITO EN EL RUP Y CUMPLE CÓDIGOS UNSPSC?</v>
      </c>
      <c r="J190" s="318" t="str">
        <f ca="1">+$J$10</f>
        <v xml:space="preserve">VALOR EN RUP (SMMLV) </v>
      </c>
      <c r="K190" s="318" t="str">
        <f ca="1">+$K$10</f>
        <v>% PARTIC en el RUP</v>
      </c>
      <c r="L190" s="318" t="str">
        <f ca="1">+$L$10</f>
        <v>VALOR DEL CONTRATO TERMINADO (SMMLV) en el   RUP</v>
      </c>
      <c r="M190" s="318" t="str">
        <f ca="1">+$M$10</f>
        <v>VALOR CERTIFICADO CONTRATO &gt; VEH</v>
      </c>
      <c r="N190" s="318" t="str">
        <f ca="1">+$N$10</f>
        <v>VALIDACIÓN DE OBJETO Y/O ALCANCE
(SI/NO)
(INTERVENTORIA DE OBRA CIVIL)</v>
      </c>
      <c r="O190" s="324"/>
      <c r="Q190" s="326"/>
      <c r="S190" s="329">
        <f ca="1">+$S$10</f>
        <v>0</v>
      </c>
    </row>
    <row r="191" spans="1:20" ht="38.25" customHeight="1" thickBot="1" x14ac:dyDescent="0.25">
      <c r="B191" s="332"/>
      <c r="C191" s="319"/>
      <c r="D191" s="26" t="str">
        <f ca="1">+$D$11</f>
        <v>ENTIDAD</v>
      </c>
      <c r="E191" s="26" t="str">
        <f ca="1">+$E$11</f>
        <v>No. DE CONTRATO</v>
      </c>
      <c r="F191" s="26" t="str">
        <f ca="1">+$F$11</f>
        <v>OBJETO</v>
      </c>
      <c r="G191" s="26" t="str">
        <f ca="1">+$G$11</f>
        <v>CONTRATISTA</v>
      </c>
      <c r="H191" s="319"/>
      <c r="I191" s="319"/>
      <c r="J191" s="319"/>
      <c r="K191" s="319"/>
      <c r="L191" s="319"/>
      <c r="M191" s="319"/>
      <c r="N191" s="319"/>
      <c r="O191" s="324"/>
      <c r="Q191" s="327"/>
      <c r="S191" s="330"/>
    </row>
    <row r="192" spans="1:20" s="27" customFormat="1" ht="84" customHeight="1" x14ac:dyDescent="0.2">
      <c r="B192" s="101">
        <v>1</v>
      </c>
      <c r="C192" s="102" t="s">
        <v>107</v>
      </c>
      <c r="D192" s="102" t="s">
        <v>108</v>
      </c>
      <c r="E192" s="103" t="s">
        <v>109</v>
      </c>
      <c r="F192" s="103" t="s">
        <v>110</v>
      </c>
      <c r="G192" s="102" t="s">
        <v>111</v>
      </c>
      <c r="H192" s="104">
        <v>139</v>
      </c>
      <c r="I192" s="105" t="s">
        <v>16</v>
      </c>
      <c r="J192" s="106">
        <v>2760.26</v>
      </c>
      <c r="K192" s="107">
        <v>0.4</v>
      </c>
      <c r="L192" s="34">
        <f>IF(OR(H192="",I192&lt;&gt;"SI",I192="NO",J192="",J192=0,K192="",K192=0,Q192&lt;&gt;"SI",N192&lt;&gt;"SI"),0,J192*K192)</f>
        <v>1104.104</v>
      </c>
      <c r="M192" s="108" t="str">
        <f>+IF(C192&lt;&gt;"",IF(L192&gt;=$H$6,"SI","NO"),"")</f>
        <v>SI</v>
      </c>
      <c r="N192" s="35" t="s">
        <v>16</v>
      </c>
      <c r="O192" s="109"/>
      <c r="Q192" s="37" t="str">
        <f>+IF(C192="","",IF(AND(H192&lt;&gt;"",I192="SI",J192&lt;&gt;"",J192&gt;0,K192&lt;&gt;"",K192&gt;0),"SI","NO"))</f>
        <v>SI</v>
      </c>
      <c r="S192" s="37" t="str">
        <f>+IF(C192&lt;&gt;"",IF(AND(M192="SI",N192="SI",Q192="SI"),"HÁBIL","NO HÁBIL"),"")</f>
        <v>HÁBIL</v>
      </c>
    </row>
    <row r="193" spans="1:20" s="27" customFormat="1" ht="12.75" x14ac:dyDescent="0.2">
      <c r="B193" s="110"/>
      <c r="C193" s="111"/>
      <c r="D193" s="111"/>
      <c r="E193" s="112"/>
      <c r="F193" s="112"/>
      <c r="G193" s="111"/>
      <c r="H193" s="113"/>
      <c r="I193" s="114"/>
      <c r="J193" s="115"/>
      <c r="K193" s="116"/>
      <c r="L193" s="44">
        <f t="shared" ref="L193:L195" si="20">IF(OR(H193="",I193&lt;&gt;"SI",I193="NO",J193="",J193=0,K193="",K193=0,Q193&lt;&gt;"SI",N193&lt;&gt;"SI"),0,J193*K193)</f>
        <v>0</v>
      </c>
      <c r="M193" s="117" t="str">
        <f>+IF(C193&lt;&gt;"",IF(L193&gt;=$H$6,"SI","NO"),"")</f>
        <v/>
      </c>
      <c r="N193" s="114"/>
      <c r="O193" s="118"/>
      <c r="Q193" s="37" t="str">
        <f>+IF(C193="","",IF(AND(H193&lt;&gt;"",I193="SI",J193&lt;&gt;"",J193&gt;0,K193&lt;&gt;"",K193&gt;0),"SI","NO"))</f>
        <v/>
      </c>
      <c r="S193" s="37" t="str">
        <f>+IF(C193&lt;&gt;"",IF(AND(M193="SI",N193="SI",Q193="SI"),"HÁBIL","NO HÁBIL"),"")</f>
        <v/>
      </c>
    </row>
    <row r="194" spans="1:20" s="27" customFormat="1" ht="12.75" x14ac:dyDescent="0.2">
      <c r="B194" s="110"/>
      <c r="C194" s="111"/>
      <c r="D194" s="111"/>
      <c r="E194" s="112"/>
      <c r="F194" s="112"/>
      <c r="G194" s="111"/>
      <c r="H194" s="113"/>
      <c r="I194" s="114"/>
      <c r="J194" s="115"/>
      <c r="K194" s="116"/>
      <c r="L194" s="44">
        <f t="shared" si="20"/>
        <v>0</v>
      </c>
      <c r="M194" s="117" t="str">
        <f>+IF(C194&lt;&gt;"",IF(L194&gt;=$H$6,"SI","NO"),"")</f>
        <v/>
      </c>
      <c r="N194" s="114"/>
      <c r="O194" s="118"/>
      <c r="Q194" s="37" t="str">
        <f>+IF(C194="","",IF(AND(H194&lt;&gt;"",I194="SI",J194&lt;&gt;"",J194&gt;0,K194&lt;&gt;"",K194&gt;0),"SI","NO"))</f>
        <v/>
      </c>
      <c r="S194" s="37" t="str">
        <f>+IF(C194&lt;&gt;"",IF(AND(M194="SI",N194="SI",Q194="SI"),"HÁBIL","NO HÁBIL"),"")</f>
        <v/>
      </c>
    </row>
    <row r="195" spans="1:20" s="27" customFormat="1" ht="13.5" thickBot="1" x14ac:dyDescent="0.25">
      <c r="B195" s="119"/>
      <c r="C195" s="120"/>
      <c r="D195" s="120"/>
      <c r="E195" s="121"/>
      <c r="F195" s="121"/>
      <c r="G195" s="120"/>
      <c r="H195" s="122"/>
      <c r="I195" s="123"/>
      <c r="J195" s="124"/>
      <c r="K195" s="125"/>
      <c r="L195" s="53">
        <f t="shared" si="20"/>
        <v>0</v>
      </c>
      <c r="M195" s="126" t="str">
        <f>+IF(C195&lt;&gt;"",IF(L195&gt;=$H$6,"SI","NO"),"")</f>
        <v/>
      </c>
      <c r="N195" s="123"/>
      <c r="O195" s="127"/>
      <c r="Q195" s="55" t="str">
        <f>+IF(C195="","",IF(AND(H195&lt;&gt;"",I195="SI",J195&lt;&gt;"",J195&gt;0,K195&lt;&gt;"",K195&gt;0),"SI","NO"))</f>
        <v/>
      </c>
      <c r="S195" s="55" t="str">
        <f>+IF(C195&lt;&gt;"",IF(AND(M195="SI",N195="SI",Q195="SI"),"HÁBIL","NO HÁBIL"),"")</f>
        <v/>
      </c>
    </row>
    <row r="196" spans="1:20" ht="22.5" customHeight="1" thickBot="1" x14ac:dyDescent="0.25">
      <c r="A196" s="56">
        <f>+$B189</f>
        <v>21</v>
      </c>
      <c r="B196" s="57" t="str">
        <f>"A"&amp;B189</f>
        <v>A21</v>
      </c>
      <c r="C196" s="340" t="str">
        <f>+$C$16</f>
        <v>PROPONENTE HÁBIL / NO HÁBIL</v>
      </c>
      <c r="D196" s="341"/>
      <c r="E196" s="341"/>
      <c r="F196" s="341"/>
      <c r="G196" s="341"/>
      <c r="H196" s="342"/>
      <c r="I196" s="58" t="str">
        <f>IF(S192="","",IF(OR(S192="HÁBIL",S193="HÁBIL",S194="HÁBIL",S195="HÁBIL"),"HÁBIL","NO HÁBIL"))</f>
        <v>HÁBIL</v>
      </c>
      <c r="J196" s="59"/>
      <c r="K196" s="27"/>
      <c r="L196" s="27"/>
      <c r="M196" s="27"/>
      <c r="N196" s="60"/>
      <c r="O196" s="1"/>
      <c r="P196" s="61"/>
      <c r="Q196" s="61"/>
      <c r="R196" s="61"/>
      <c r="S196" s="61"/>
      <c r="T196" s="61"/>
    </row>
    <row r="197" spans="1:20" ht="12" thickBot="1" x14ac:dyDescent="0.25"/>
    <row r="198" spans="1:20" ht="36.75" customHeight="1" thickBot="1" x14ac:dyDescent="0.25">
      <c r="B198" s="23">
        <f>1+B189</f>
        <v>22</v>
      </c>
      <c r="C198" s="336" t="s">
        <v>917</v>
      </c>
      <c r="D198" s="337"/>
      <c r="E198" s="337"/>
      <c r="F198" s="337"/>
      <c r="G198" s="337"/>
      <c r="H198" s="337"/>
      <c r="I198" s="338"/>
      <c r="J198" s="24" t="str">
        <f>+IF(C198="","",$J$9)</f>
        <v>INTEGRANTES</v>
      </c>
      <c r="K198" s="339" t="s">
        <v>918</v>
      </c>
      <c r="L198" s="339"/>
      <c r="M198" s="339"/>
      <c r="N198" s="25">
        <f>+B198</f>
        <v>22</v>
      </c>
      <c r="O198" s="323" t="str">
        <f ca="1">+$O$9</f>
        <v>OBSERVACIONES</v>
      </c>
      <c r="Q198" s="325" t="str">
        <f ca="1">+$Q$9</f>
        <v>¿EL CONTRATO CUMPLE CON LOS REQUERIMIENTOS ADICIONALES DE EXPERIENCIA  EN EL PLIEGO?
 (INSCRIPCIÓN EN RUP - CÓDIGO UNSPSC - VALOR EN RUP - % DE PARTICIPACIÓN)
(SI / NO)</v>
      </c>
      <c r="S198" s="328" t="str">
        <f ca="1">+$S$9</f>
        <v>PROPONENTE HÁBIL/NO HÁBIL</v>
      </c>
    </row>
    <row r="199" spans="1:20" ht="42" customHeight="1" x14ac:dyDescent="0.2">
      <c r="B199" s="331" t="str">
        <f ca="1">+$B$10</f>
        <v>ITEM</v>
      </c>
      <c r="C199" s="318" t="str">
        <f ca="1">+$C$10</f>
        <v>PROPONENTE 
/ 
INTEGRANTE OFERENTE PLURAL</v>
      </c>
      <c r="D199" s="333" t="str">
        <f ca="1">+$D$10</f>
        <v>INFORMACIÓN DEL CONTRATO</v>
      </c>
      <c r="E199" s="334"/>
      <c r="F199" s="334"/>
      <c r="G199" s="335"/>
      <c r="H199" s="318" t="str">
        <f>+H190</f>
        <v>CONSECUTIVO RUP</v>
      </c>
      <c r="I199" s="318" t="str">
        <f ca="1">+$I$10</f>
        <v>¿SE ENCUENTRA INSCRITO EN EL RUP Y CUMPLE CÓDIGOS UNSPSC?</v>
      </c>
      <c r="J199" s="318" t="str">
        <f ca="1">+$J$10</f>
        <v xml:space="preserve">VALOR EN RUP (SMMLV) </v>
      </c>
      <c r="K199" s="318" t="str">
        <f ca="1">+$K$10</f>
        <v>% PARTIC en el RUP</v>
      </c>
      <c r="L199" s="318" t="str">
        <f ca="1">+$L$10</f>
        <v>VALOR DEL CONTRATO TERMINADO (SMMLV) en el   RUP</v>
      </c>
      <c r="M199" s="318" t="str">
        <f ca="1">+$M$10</f>
        <v>VALOR CERTIFICADO CONTRATO &gt; VEH</v>
      </c>
      <c r="N199" s="318" t="str">
        <f ca="1">+$N$10</f>
        <v>VALIDACIÓN DE OBJETO Y/O ALCANCE
(SI/NO)
(INTERVENTORIA DE OBRA CIVIL)</v>
      </c>
      <c r="O199" s="324"/>
      <c r="Q199" s="326"/>
      <c r="S199" s="329">
        <f ca="1">+$S$10</f>
        <v>0</v>
      </c>
    </row>
    <row r="200" spans="1:20" ht="38.25" customHeight="1" thickBot="1" x14ac:dyDescent="0.25">
      <c r="B200" s="332"/>
      <c r="C200" s="319"/>
      <c r="D200" s="26" t="str">
        <f ca="1">+$D$11</f>
        <v>ENTIDAD</v>
      </c>
      <c r="E200" s="26" t="str">
        <f ca="1">+$E$11</f>
        <v>No. DE CONTRATO</v>
      </c>
      <c r="F200" s="26" t="str">
        <f ca="1">+$F$11</f>
        <v>OBJETO</v>
      </c>
      <c r="G200" s="26" t="str">
        <f ca="1">+$G$11</f>
        <v>CONTRATISTA</v>
      </c>
      <c r="H200" s="319"/>
      <c r="I200" s="319"/>
      <c r="J200" s="319"/>
      <c r="K200" s="319"/>
      <c r="L200" s="319"/>
      <c r="M200" s="319"/>
      <c r="N200" s="319"/>
      <c r="O200" s="324"/>
      <c r="Q200" s="327"/>
      <c r="S200" s="330"/>
    </row>
    <row r="201" spans="1:20" s="27" customFormat="1" ht="77.25" customHeight="1" x14ac:dyDescent="0.2">
      <c r="B201" s="101">
        <v>1</v>
      </c>
      <c r="C201" s="102" t="s">
        <v>112</v>
      </c>
      <c r="D201" s="102" t="s">
        <v>43</v>
      </c>
      <c r="E201" s="103" t="s">
        <v>113</v>
      </c>
      <c r="F201" s="103" t="s">
        <v>114</v>
      </c>
      <c r="G201" s="102" t="s">
        <v>115</v>
      </c>
      <c r="H201" s="104">
        <v>128</v>
      </c>
      <c r="I201" s="105" t="s">
        <v>16</v>
      </c>
      <c r="J201" s="106">
        <v>2661.19</v>
      </c>
      <c r="K201" s="107">
        <v>0.2</v>
      </c>
      <c r="L201" s="34">
        <f>IF(OR(H201="",I201&lt;&gt;"SI",I201="NO",J201="",J201=0,K201="",K201=0,Q201&lt;&gt;"SI",N201&lt;&gt;"SI"),0,J201*K201)</f>
        <v>532.23800000000006</v>
      </c>
      <c r="M201" s="108" t="str">
        <f>+IF(C201&lt;&gt;"",IF(L201&gt;=$H$6,"SI","NO"),"")</f>
        <v>SI</v>
      </c>
      <c r="N201" s="35" t="s">
        <v>16</v>
      </c>
      <c r="O201" s="109"/>
      <c r="Q201" s="37" t="str">
        <f>+IF(C201="","",IF(AND(H201&lt;&gt;"",I201="SI",J201&lt;&gt;"",J201&gt;0,K201&lt;&gt;"",K201&gt;0),"SI","NO"))</f>
        <v>SI</v>
      </c>
      <c r="S201" s="37" t="str">
        <f>+IF(C201&lt;&gt;"",IF(AND(M201="SI",N201="SI",Q201="SI"),"HÁBIL","NO HÁBIL"),"")</f>
        <v>HÁBIL</v>
      </c>
    </row>
    <row r="202" spans="1:20" s="27" customFormat="1" ht="12.75" x14ac:dyDescent="0.2">
      <c r="B202" s="110"/>
      <c r="C202" s="111"/>
      <c r="D202" s="111"/>
      <c r="E202" s="112"/>
      <c r="F202" s="112"/>
      <c r="G202" s="111"/>
      <c r="H202" s="113"/>
      <c r="I202" s="114"/>
      <c r="J202" s="115"/>
      <c r="K202" s="116"/>
      <c r="L202" s="44">
        <f t="shared" ref="L202:L204" si="21">IF(OR(H202="",I202&lt;&gt;"SI",I202="NO",J202="",J202=0,K202="",K202=0,Q202&lt;&gt;"SI",N202&lt;&gt;"SI"),0,J202*K202)</f>
        <v>0</v>
      </c>
      <c r="M202" s="117" t="str">
        <f>+IF(C202&lt;&gt;"",IF(L202&gt;=$H$6,"SI","NO"),"")</f>
        <v/>
      </c>
      <c r="N202" s="114"/>
      <c r="O202" s="118"/>
      <c r="Q202" s="37" t="str">
        <f>+IF(C202="","",IF(AND(H202&lt;&gt;"",I202="SI",J202&lt;&gt;"",J202&gt;0,K202&lt;&gt;"",K202&gt;0),"SI","NO"))</f>
        <v/>
      </c>
      <c r="S202" s="37" t="str">
        <f>+IF(C202&lt;&gt;"",IF(AND(M202="SI",N202="SI",Q202="SI"),"HÁBIL","NO HÁBIL"),"")</f>
        <v/>
      </c>
    </row>
    <row r="203" spans="1:20" s="27" customFormat="1" ht="12.75" x14ac:dyDescent="0.2">
      <c r="B203" s="110"/>
      <c r="C203" s="111"/>
      <c r="D203" s="111"/>
      <c r="E203" s="112"/>
      <c r="F203" s="112"/>
      <c r="G203" s="111"/>
      <c r="H203" s="113"/>
      <c r="I203" s="114"/>
      <c r="J203" s="115"/>
      <c r="K203" s="116"/>
      <c r="L203" s="44">
        <f t="shared" si="21"/>
        <v>0</v>
      </c>
      <c r="M203" s="117" t="str">
        <f>+IF(C203&lt;&gt;"",IF(L203&gt;=$H$6,"SI","NO"),"")</f>
        <v/>
      </c>
      <c r="N203" s="114"/>
      <c r="O203" s="118"/>
      <c r="Q203" s="37" t="str">
        <f>+IF(C203="","",IF(AND(H203&lt;&gt;"",I203="SI",J203&lt;&gt;"",J203&gt;0,K203&lt;&gt;"",K203&gt;0),"SI","NO"))</f>
        <v/>
      </c>
      <c r="S203" s="37" t="str">
        <f>+IF(C203&lt;&gt;"",IF(AND(M203="SI",N203="SI",Q203="SI"),"HÁBIL","NO HÁBIL"),"")</f>
        <v/>
      </c>
    </row>
    <row r="204" spans="1:20" s="27" customFormat="1" ht="13.5" thickBot="1" x14ac:dyDescent="0.25">
      <c r="B204" s="119"/>
      <c r="C204" s="120"/>
      <c r="D204" s="120"/>
      <c r="E204" s="121"/>
      <c r="F204" s="121"/>
      <c r="G204" s="120"/>
      <c r="H204" s="122"/>
      <c r="I204" s="123"/>
      <c r="J204" s="124"/>
      <c r="K204" s="125"/>
      <c r="L204" s="53">
        <f t="shared" si="21"/>
        <v>0</v>
      </c>
      <c r="M204" s="126" t="str">
        <f>+IF(C204&lt;&gt;"",IF(L204&gt;=$H$6,"SI","NO"),"")</f>
        <v/>
      </c>
      <c r="N204" s="123"/>
      <c r="O204" s="127"/>
      <c r="Q204" s="55" t="str">
        <f>+IF(C204="","",IF(AND(H204&lt;&gt;"",I204="SI",J204&lt;&gt;"",J204&gt;0,K204&lt;&gt;"",K204&gt;0),"SI","NO"))</f>
        <v/>
      </c>
      <c r="S204" s="55" t="str">
        <f>+IF(C204&lt;&gt;"",IF(AND(M204="SI",N204="SI",Q204="SI"),"HÁBIL","NO HÁBIL"),"")</f>
        <v/>
      </c>
    </row>
    <row r="205" spans="1:20" ht="22.5" customHeight="1" thickBot="1" x14ac:dyDescent="0.25">
      <c r="A205" s="56">
        <f>+$B198</f>
        <v>22</v>
      </c>
      <c r="B205" s="57" t="str">
        <f>"A"&amp;B198</f>
        <v>A22</v>
      </c>
      <c r="C205" s="340" t="str">
        <f>+$C$16</f>
        <v>PROPONENTE HÁBIL / NO HÁBIL</v>
      </c>
      <c r="D205" s="341"/>
      <c r="E205" s="341"/>
      <c r="F205" s="341"/>
      <c r="G205" s="341"/>
      <c r="H205" s="342"/>
      <c r="I205" s="58" t="str">
        <f>IF(S201="","",IF(OR(S201="HÁBIL",S202="HÁBIL",S203="HÁBIL",S204="HÁBIL"),"HÁBIL","NO HÁBIL"))</f>
        <v>HÁBIL</v>
      </c>
      <c r="J205" s="59"/>
      <c r="K205" s="27"/>
      <c r="L205" s="27"/>
      <c r="M205" s="27"/>
      <c r="N205" s="60"/>
      <c r="O205" s="1"/>
      <c r="P205" s="61"/>
      <c r="Q205" s="61"/>
      <c r="R205" s="61"/>
      <c r="S205" s="61"/>
      <c r="T205" s="61"/>
    </row>
    <row r="206" spans="1:20" ht="12" thickBot="1" x14ac:dyDescent="0.25"/>
    <row r="207" spans="1:20" ht="36.75" customHeight="1" thickBot="1" x14ac:dyDescent="0.25">
      <c r="B207" s="23">
        <f>1+B198</f>
        <v>23</v>
      </c>
      <c r="C207" s="336" t="s">
        <v>919</v>
      </c>
      <c r="D207" s="337"/>
      <c r="E207" s="337"/>
      <c r="F207" s="337"/>
      <c r="G207" s="337"/>
      <c r="H207" s="337"/>
      <c r="I207" s="338"/>
      <c r="J207" s="24" t="str">
        <f>+IF(C207="","",$J$9)</f>
        <v>INTEGRANTES</v>
      </c>
      <c r="K207" s="339" t="s">
        <v>920</v>
      </c>
      <c r="L207" s="339"/>
      <c r="M207" s="339"/>
      <c r="N207" s="25">
        <f>+B207</f>
        <v>23</v>
      </c>
      <c r="O207" s="323" t="str">
        <f ca="1">+$O$9</f>
        <v>OBSERVACIONES</v>
      </c>
      <c r="Q207" s="325" t="str">
        <f ca="1">+$Q$9</f>
        <v>¿EL CONTRATO CUMPLE CON LOS REQUERIMIENTOS ADICIONALES DE EXPERIENCIA  EN EL PLIEGO?
 (INSCRIPCIÓN EN RUP - CÓDIGO UNSPSC - VALOR EN RUP - % DE PARTICIPACIÓN)
(SI / NO)</v>
      </c>
      <c r="S207" s="328" t="str">
        <f ca="1">+$S$9</f>
        <v>PROPONENTE HÁBIL/NO HÁBIL</v>
      </c>
    </row>
    <row r="208" spans="1:20" ht="42" customHeight="1" x14ac:dyDescent="0.2">
      <c r="B208" s="331" t="str">
        <f ca="1">+$B$10</f>
        <v>ITEM</v>
      </c>
      <c r="C208" s="318" t="str">
        <f ca="1">+$C$10</f>
        <v>PROPONENTE 
/ 
INTEGRANTE OFERENTE PLURAL</v>
      </c>
      <c r="D208" s="333" t="str">
        <f ca="1">+$D$10</f>
        <v>INFORMACIÓN DEL CONTRATO</v>
      </c>
      <c r="E208" s="334"/>
      <c r="F208" s="334"/>
      <c r="G208" s="335"/>
      <c r="H208" s="318" t="str">
        <f>+H199</f>
        <v>CONSECUTIVO RUP</v>
      </c>
      <c r="I208" s="318" t="str">
        <f ca="1">+$I$10</f>
        <v>¿SE ENCUENTRA INSCRITO EN EL RUP Y CUMPLE CÓDIGOS UNSPSC?</v>
      </c>
      <c r="J208" s="318" t="str">
        <f ca="1">+$J$10</f>
        <v xml:space="preserve">VALOR EN RUP (SMMLV) </v>
      </c>
      <c r="K208" s="318" t="str">
        <f ca="1">+$K$10</f>
        <v>% PARTIC en el RUP</v>
      </c>
      <c r="L208" s="318" t="str">
        <f ca="1">+$L$10</f>
        <v>VALOR DEL CONTRATO TERMINADO (SMMLV) en el   RUP</v>
      </c>
      <c r="M208" s="318" t="str">
        <f ca="1">+$M$10</f>
        <v>VALOR CERTIFICADO CONTRATO &gt; VEH</v>
      </c>
      <c r="N208" s="318" t="str">
        <f ca="1">+$N$10</f>
        <v>VALIDACIÓN DE OBJETO Y/O ALCANCE
(SI/NO)
(INTERVENTORIA DE OBRA CIVIL)</v>
      </c>
      <c r="O208" s="324"/>
      <c r="Q208" s="326"/>
      <c r="S208" s="329">
        <f ca="1">+$S$10</f>
        <v>0</v>
      </c>
    </row>
    <row r="209" spans="1:20" ht="38.25" customHeight="1" thickBot="1" x14ac:dyDescent="0.25">
      <c r="B209" s="332"/>
      <c r="C209" s="319"/>
      <c r="D209" s="26" t="str">
        <f ca="1">+$D$11</f>
        <v>ENTIDAD</v>
      </c>
      <c r="E209" s="26" t="str">
        <f ca="1">+$E$11</f>
        <v>No. DE CONTRATO</v>
      </c>
      <c r="F209" s="26" t="str">
        <f ca="1">+$F$11</f>
        <v>OBJETO</v>
      </c>
      <c r="G209" s="26" t="str">
        <f ca="1">+$G$11</f>
        <v>CONTRATISTA</v>
      </c>
      <c r="H209" s="319"/>
      <c r="I209" s="319"/>
      <c r="J209" s="319"/>
      <c r="K209" s="319"/>
      <c r="L209" s="319"/>
      <c r="M209" s="319"/>
      <c r="N209" s="319"/>
      <c r="O209" s="324"/>
      <c r="Q209" s="327"/>
      <c r="S209" s="330"/>
    </row>
    <row r="210" spans="1:20" s="27" customFormat="1" ht="84" customHeight="1" x14ac:dyDescent="0.2">
      <c r="B210" s="101">
        <v>1</v>
      </c>
      <c r="C210" s="102" t="s">
        <v>116</v>
      </c>
      <c r="D210" s="102" t="s">
        <v>117</v>
      </c>
      <c r="E210" s="103">
        <v>2070370</v>
      </c>
      <c r="F210" s="103" t="s">
        <v>118</v>
      </c>
      <c r="G210" s="102" t="s">
        <v>119</v>
      </c>
      <c r="H210" s="104">
        <v>2</v>
      </c>
      <c r="I210" s="105" t="s">
        <v>16</v>
      </c>
      <c r="J210" s="106">
        <v>10417.16</v>
      </c>
      <c r="K210" s="107">
        <v>0.33300000000000002</v>
      </c>
      <c r="L210" s="34">
        <f>IF(OR(H210="",I210&lt;&gt;"SI",I210="NO",J210="",J210=0,K210="",K210=0,Q210&lt;&gt;"SI",N210&lt;&gt;"SI"),0,J210*K210)</f>
        <v>3468.91428</v>
      </c>
      <c r="M210" s="108" t="str">
        <f>+IF(C210&lt;&gt;"",IF(L210&gt;=$H$6,"SI","NO"),"")</f>
        <v>SI</v>
      </c>
      <c r="N210" s="35" t="s">
        <v>16</v>
      </c>
      <c r="O210" s="109"/>
      <c r="Q210" s="37" t="str">
        <f>+IF(C210="","",IF(AND(H210&lt;&gt;"",I210="SI",J210&lt;&gt;"",J210&gt;0,K210&lt;&gt;"",K210&gt;0),"SI","NO"))</f>
        <v>SI</v>
      </c>
      <c r="S210" s="37" t="str">
        <f>+IF(C210&lt;&gt;"",IF(AND(M210="SI",N210="SI",Q210="SI"),"HÁBIL","NO HÁBIL"),"")</f>
        <v>HÁBIL</v>
      </c>
    </row>
    <row r="211" spans="1:20" s="27" customFormat="1" ht="12.75" x14ac:dyDescent="0.2">
      <c r="B211" s="110"/>
      <c r="C211" s="111"/>
      <c r="D211" s="111"/>
      <c r="E211" s="112"/>
      <c r="F211" s="112"/>
      <c r="G211" s="111"/>
      <c r="H211" s="113"/>
      <c r="I211" s="114"/>
      <c r="J211" s="115"/>
      <c r="K211" s="116"/>
      <c r="L211" s="44">
        <f t="shared" ref="L211:L213" si="22">IF(OR(H211="",I211&lt;&gt;"SI",I211="NO",J211="",J211=0,K211="",K211=0,Q211&lt;&gt;"SI",N211&lt;&gt;"SI"),0,J211*K211)</f>
        <v>0</v>
      </c>
      <c r="M211" s="117" t="str">
        <f>+IF(C211&lt;&gt;"",IF(L211&gt;=$H$6,"SI","NO"),"")</f>
        <v/>
      </c>
      <c r="N211" s="114"/>
      <c r="O211" s="118"/>
      <c r="Q211" s="37" t="str">
        <f>+IF(C211="","",IF(AND(H211&lt;&gt;"",I211="SI",J211&lt;&gt;"",J211&gt;0,K211&lt;&gt;"",K211&gt;0),"SI","NO"))</f>
        <v/>
      </c>
      <c r="S211" s="37" t="str">
        <f>+IF(C211&lt;&gt;"",IF(AND(M211="SI",N211="SI",Q211="SI"),"HÁBIL","NO HÁBIL"),"")</f>
        <v/>
      </c>
    </row>
    <row r="212" spans="1:20" s="27" customFormat="1" ht="12.75" x14ac:dyDescent="0.2">
      <c r="B212" s="110"/>
      <c r="C212" s="111"/>
      <c r="D212" s="111"/>
      <c r="E212" s="112"/>
      <c r="F212" s="112"/>
      <c r="G212" s="111"/>
      <c r="H212" s="113"/>
      <c r="I212" s="114"/>
      <c r="J212" s="115"/>
      <c r="K212" s="116"/>
      <c r="L212" s="44">
        <f t="shared" si="22"/>
        <v>0</v>
      </c>
      <c r="M212" s="117" t="str">
        <f>+IF(C212&lt;&gt;"",IF(L212&gt;=$H$6,"SI","NO"),"")</f>
        <v/>
      </c>
      <c r="N212" s="114"/>
      <c r="O212" s="118"/>
      <c r="Q212" s="37" t="str">
        <f>+IF(C212="","",IF(AND(H212&lt;&gt;"",I212="SI",J212&lt;&gt;"",J212&gt;0,K212&lt;&gt;"",K212&gt;0),"SI","NO"))</f>
        <v/>
      </c>
      <c r="S212" s="37" t="str">
        <f>+IF(C212&lt;&gt;"",IF(AND(M212="SI",N212="SI",Q212="SI"),"HÁBIL","NO HÁBIL"),"")</f>
        <v/>
      </c>
    </row>
    <row r="213" spans="1:20" s="27" customFormat="1" ht="13.5" thickBot="1" x14ac:dyDescent="0.25">
      <c r="B213" s="119"/>
      <c r="C213" s="120"/>
      <c r="D213" s="120"/>
      <c r="E213" s="121"/>
      <c r="F213" s="121"/>
      <c r="G213" s="120"/>
      <c r="H213" s="122"/>
      <c r="I213" s="123"/>
      <c r="J213" s="124"/>
      <c r="K213" s="125"/>
      <c r="L213" s="53">
        <f t="shared" si="22"/>
        <v>0</v>
      </c>
      <c r="M213" s="126" t="str">
        <f>+IF(C213&lt;&gt;"",IF(L213&gt;=$H$6,"SI","NO"),"")</f>
        <v/>
      </c>
      <c r="N213" s="123"/>
      <c r="O213" s="127"/>
      <c r="Q213" s="55" t="str">
        <f>+IF(C213="","",IF(AND(H213&lt;&gt;"",I213="SI",J213&lt;&gt;"",J213&gt;0,K213&lt;&gt;"",K213&gt;0),"SI","NO"))</f>
        <v/>
      </c>
      <c r="S213" s="55" t="str">
        <f>+IF(C213&lt;&gt;"",IF(AND(M213="SI",N213="SI",Q213="SI"),"HÁBIL","NO HÁBIL"),"")</f>
        <v/>
      </c>
    </row>
    <row r="214" spans="1:20" ht="24" customHeight="1" thickBot="1" x14ac:dyDescent="0.25">
      <c r="A214" s="56">
        <f>+$B207</f>
        <v>23</v>
      </c>
      <c r="B214" s="57" t="str">
        <f>"A"&amp;B207</f>
        <v>A23</v>
      </c>
      <c r="C214" s="340" t="str">
        <f>+$C$16</f>
        <v>PROPONENTE HÁBIL / NO HÁBIL</v>
      </c>
      <c r="D214" s="341"/>
      <c r="E214" s="341"/>
      <c r="F214" s="341"/>
      <c r="G214" s="341"/>
      <c r="H214" s="342"/>
      <c r="I214" s="58" t="str">
        <f>IF(S210="","",IF(OR(S210="HÁBIL",S211="HÁBIL",S212="HÁBIL",S213="HÁBIL"),"HÁBIL","NO HÁBIL"))</f>
        <v>HÁBIL</v>
      </c>
      <c r="J214" s="59"/>
      <c r="K214" s="27"/>
      <c r="L214" s="27"/>
      <c r="M214" s="27"/>
      <c r="N214" s="60"/>
      <c r="O214" s="1"/>
      <c r="P214" s="61"/>
      <c r="Q214" s="61"/>
      <c r="R214" s="61"/>
      <c r="S214" s="61"/>
      <c r="T214" s="61"/>
    </row>
    <row r="215" spans="1:20" ht="12" thickBot="1" x14ac:dyDescent="0.25"/>
    <row r="216" spans="1:20" ht="36.75" customHeight="1" thickBot="1" x14ac:dyDescent="0.25">
      <c r="B216" s="23">
        <f>1+B207</f>
        <v>24</v>
      </c>
      <c r="C216" s="336" t="s">
        <v>120</v>
      </c>
      <c r="D216" s="337"/>
      <c r="E216" s="337"/>
      <c r="F216" s="337"/>
      <c r="G216" s="337"/>
      <c r="H216" s="337"/>
      <c r="I216" s="338"/>
      <c r="J216" s="24" t="str">
        <f>+IF(C216="","",$J$9)</f>
        <v>INTEGRANTES</v>
      </c>
      <c r="K216" s="339" t="s">
        <v>890</v>
      </c>
      <c r="L216" s="339"/>
      <c r="M216" s="339"/>
      <c r="N216" s="25">
        <f>+B216</f>
        <v>24</v>
      </c>
      <c r="O216" s="323" t="str">
        <f ca="1">+$O$9</f>
        <v>OBSERVACIONES</v>
      </c>
      <c r="Q216" s="325" t="str">
        <f ca="1">+$Q$9</f>
        <v>¿EL CONTRATO CUMPLE CON LOS REQUERIMIENTOS ADICIONALES DE EXPERIENCIA  EN EL PLIEGO?
 (INSCRIPCIÓN EN RUP - CÓDIGO UNSPSC - VALOR EN RUP - % DE PARTICIPACIÓN)
(SI / NO)</v>
      </c>
      <c r="S216" s="328" t="str">
        <f ca="1">+$S$9</f>
        <v>PROPONENTE HÁBIL/NO HÁBIL</v>
      </c>
    </row>
    <row r="217" spans="1:20" ht="42" customHeight="1" x14ac:dyDescent="0.2">
      <c r="B217" s="331" t="str">
        <f ca="1">+$B$10</f>
        <v>ITEM</v>
      </c>
      <c r="C217" s="318" t="str">
        <f ca="1">+$C$10</f>
        <v>PROPONENTE 
/ 
INTEGRANTE OFERENTE PLURAL</v>
      </c>
      <c r="D217" s="333" t="str">
        <f ca="1">+$D$10</f>
        <v>INFORMACIÓN DEL CONTRATO</v>
      </c>
      <c r="E217" s="334"/>
      <c r="F217" s="334"/>
      <c r="G217" s="335"/>
      <c r="H217" s="318" t="str">
        <f>+H208</f>
        <v>CONSECUTIVO RUP</v>
      </c>
      <c r="I217" s="318" t="str">
        <f ca="1">+$I$10</f>
        <v>¿SE ENCUENTRA INSCRITO EN EL RUP Y CUMPLE CÓDIGOS UNSPSC?</v>
      </c>
      <c r="J217" s="318" t="str">
        <f ca="1">+$J$10</f>
        <v xml:space="preserve">VALOR EN RUP (SMMLV) </v>
      </c>
      <c r="K217" s="318" t="str">
        <f ca="1">+$K$10</f>
        <v>% PARTIC en el RUP</v>
      </c>
      <c r="L217" s="318" t="str">
        <f ca="1">+$L$10</f>
        <v>VALOR DEL CONTRATO TERMINADO (SMMLV) en el   RUP</v>
      </c>
      <c r="M217" s="318" t="str">
        <f ca="1">+$M$10</f>
        <v>VALOR CERTIFICADO CONTRATO &gt; VEH</v>
      </c>
      <c r="N217" s="318" t="str">
        <f ca="1">+$N$10</f>
        <v>VALIDACIÓN DE OBJETO Y/O ALCANCE
(SI/NO)
(INTERVENTORIA DE OBRA CIVIL)</v>
      </c>
      <c r="O217" s="324"/>
      <c r="Q217" s="326"/>
      <c r="S217" s="329">
        <f ca="1">+$S$10</f>
        <v>0</v>
      </c>
    </row>
    <row r="218" spans="1:20" ht="38.25" customHeight="1" thickBot="1" x14ac:dyDescent="0.25">
      <c r="B218" s="332"/>
      <c r="C218" s="319"/>
      <c r="D218" s="26" t="str">
        <f ca="1">+$D$11</f>
        <v>ENTIDAD</v>
      </c>
      <c r="E218" s="26" t="str">
        <f ca="1">+$E$11</f>
        <v>No. DE CONTRATO</v>
      </c>
      <c r="F218" s="26" t="str">
        <f ca="1">+$F$11</f>
        <v>OBJETO</v>
      </c>
      <c r="G218" s="26" t="str">
        <f ca="1">+$G$11</f>
        <v>CONTRATISTA</v>
      </c>
      <c r="H218" s="319"/>
      <c r="I218" s="319"/>
      <c r="J218" s="319"/>
      <c r="K218" s="319"/>
      <c r="L218" s="319"/>
      <c r="M218" s="319"/>
      <c r="N218" s="319"/>
      <c r="O218" s="324"/>
      <c r="Q218" s="327"/>
      <c r="S218" s="330"/>
    </row>
    <row r="219" spans="1:20" s="27" customFormat="1" ht="65.25" customHeight="1" x14ac:dyDescent="0.2">
      <c r="B219" s="101">
        <v>1</v>
      </c>
      <c r="C219" s="102" t="s">
        <v>120</v>
      </c>
      <c r="D219" s="102" t="s">
        <v>121</v>
      </c>
      <c r="E219" s="103" t="s">
        <v>122</v>
      </c>
      <c r="F219" s="103" t="s">
        <v>123</v>
      </c>
      <c r="G219" s="102" t="s">
        <v>124</v>
      </c>
      <c r="H219" s="104">
        <v>27</v>
      </c>
      <c r="I219" s="105" t="s">
        <v>16</v>
      </c>
      <c r="J219" s="106">
        <v>7958.62</v>
      </c>
      <c r="K219" s="107">
        <v>0.4</v>
      </c>
      <c r="L219" s="34">
        <f>IF(OR(H219="",I219&lt;&gt;"SI",I219="NO",J219="",J219=0,K219="",K219=0,Q219&lt;&gt;"SI",N219&lt;&gt;"SI"),0,J219*K219)</f>
        <v>3183.4480000000003</v>
      </c>
      <c r="M219" s="108" t="str">
        <f>+IF(C219&lt;&gt;"",IF(SUM(L219:L220)&gt;=$H$6,"SI","NO"),"")</f>
        <v>SI</v>
      </c>
      <c r="N219" s="35" t="s">
        <v>16</v>
      </c>
      <c r="O219" s="109"/>
      <c r="Q219" s="37" t="str">
        <f>+IF(C219="","",IF(AND(H219&lt;&gt;"",I219="SI",J219&lt;&gt;"",J219&gt;0,K219&lt;&gt;"",K219&gt;0),"SI","NO"))</f>
        <v>SI</v>
      </c>
      <c r="S219" s="37" t="str">
        <f>+IF(C219&lt;&gt;"",IF(AND(M219="SI",N219="SI",Q219="SI"),"HÁBIL","NO HÁBIL"),"")</f>
        <v>HÁBIL</v>
      </c>
    </row>
    <row r="220" spans="1:20" s="27" customFormat="1" ht="12.75" x14ac:dyDescent="0.2">
      <c r="B220" s="110"/>
      <c r="C220" s="111"/>
      <c r="D220" s="111"/>
      <c r="E220" s="112"/>
      <c r="F220" s="112"/>
      <c r="G220" s="111"/>
      <c r="H220" s="113"/>
      <c r="I220" s="114"/>
      <c r="J220" s="115"/>
      <c r="K220" s="116"/>
      <c r="L220" s="44">
        <f t="shared" ref="L220:L222" si="23">IF(OR(H220="",I220&lt;&gt;"SI",I220="NO",J220="",J220=0,K220="",K220=0,Q220&lt;&gt;"SI",N220&lt;&gt;"SI"),0,J220*K220)</f>
        <v>0</v>
      </c>
      <c r="M220" s="117" t="str">
        <f>+IF(C220&lt;&gt;"",IF(L220&gt;=$H$6,"SI","NO"),"")</f>
        <v/>
      </c>
      <c r="N220" s="114"/>
      <c r="O220" s="118"/>
      <c r="Q220" s="37" t="str">
        <f>+IF(C220="","",IF(AND(H220&lt;&gt;"",I220="SI",J220&lt;&gt;"",J220&gt;0,K220&lt;&gt;"",K220&gt;0),"SI","NO"))</f>
        <v/>
      </c>
      <c r="S220" s="37" t="str">
        <f>+IF(C220&lt;&gt;"",IF(AND(M220="SI",N220="SI",Q220="SI"),"HÁBIL","NO HÁBIL"),"")</f>
        <v/>
      </c>
    </row>
    <row r="221" spans="1:20" s="27" customFormat="1" ht="12.75" x14ac:dyDescent="0.2">
      <c r="B221" s="110"/>
      <c r="C221" s="111"/>
      <c r="D221" s="111"/>
      <c r="E221" s="112"/>
      <c r="F221" s="112"/>
      <c r="G221" s="111"/>
      <c r="H221" s="113"/>
      <c r="I221" s="114"/>
      <c r="J221" s="115"/>
      <c r="K221" s="116"/>
      <c r="L221" s="44">
        <f t="shared" si="23"/>
        <v>0</v>
      </c>
      <c r="M221" s="117" t="str">
        <f>+IF(C221&lt;&gt;"",IF(L221&gt;=$H$6,"SI","NO"),"")</f>
        <v/>
      </c>
      <c r="N221" s="114"/>
      <c r="O221" s="118"/>
      <c r="Q221" s="37" t="str">
        <f>+IF(C221="","",IF(AND(H221&lt;&gt;"",I221="SI",J221&lt;&gt;"",J221&gt;0,K221&lt;&gt;"",K221&gt;0),"SI","NO"))</f>
        <v/>
      </c>
      <c r="S221" s="37" t="str">
        <f>+IF(C221&lt;&gt;"",IF(AND(M221="SI",N221="SI",Q221="SI"),"HÁBIL","NO HÁBIL"),"")</f>
        <v/>
      </c>
    </row>
    <row r="222" spans="1:20" s="27" customFormat="1" ht="13.5" thickBot="1" x14ac:dyDescent="0.25">
      <c r="B222" s="119"/>
      <c r="C222" s="120"/>
      <c r="D222" s="120"/>
      <c r="E222" s="121"/>
      <c r="F222" s="121"/>
      <c r="G222" s="120"/>
      <c r="H222" s="122"/>
      <c r="I222" s="123"/>
      <c r="J222" s="124"/>
      <c r="K222" s="125"/>
      <c r="L222" s="53">
        <f t="shared" si="23"/>
        <v>0</v>
      </c>
      <c r="M222" s="126" t="str">
        <f>+IF(C222&lt;&gt;"",IF(L222&gt;=$H$6,"SI","NO"),"")</f>
        <v/>
      </c>
      <c r="N222" s="123"/>
      <c r="O222" s="127"/>
      <c r="Q222" s="55" t="str">
        <f>+IF(C222="","",IF(AND(H222&lt;&gt;"",I222="SI",J222&lt;&gt;"",J222&gt;0,K222&lt;&gt;"",K222&gt;0),"SI","NO"))</f>
        <v/>
      </c>
      <c r="S222" s="55" t="str">
        <f>+IF(C222&lt;&gt;"",IF(AND(M222="SI",N222="SI",Q222="SI"),"HÁBIL","NO HÁBIL"),"")</f>
        <v/>
      </c>
    </row>
    <row r="223" spans="1:20" ht="21.75" customHeight="1" thickBot="1" x14ac:dyDescent="0.25">
      <c r="A223" s="56">
        <f>+$B216</f>
        <v>24</v>
      </c>
      <c r="B223" s="57" t="str">
        <f>"A"&amp;B216</f>
        <v>A24</v>
      </c>
      <c r="C223" s="340" t="str">
        <f>+$C$16</f>
        <v>PROPONENTE HÁBIL / NO HÁBIL</v>
      </c>
      <c r="D223" s="341"/>
      <c r="E223" s="341"/>
      <c r="F223" s="341"/>
      <c r="G223" s="341"/>
      <c r="H223" s="342"/>
      <c r="I223" s="58" t="str">
        <f>IF(S219="","",IF(OR(S219="HÁBIL",S220="HÁBIL",S221="HÁBIL",S222="HÁBIL"),"HÁBIL","NO HÁBIL"))</f>
        <v>HÁBIL</v>
      </c>
      <c r="J223" s="59"/>
      <c r="K223" s="27"/>
      <c r="L223" s="27"/>
      <c r="M223" s="27"/>
      <c r="N223" s="60"/>
      <c r="O223" s="1"/>
      <c r="P223" s="61"/>
      <c r="Q223" s="61"/>
      <c r="R223" s="61"/>
      <c r="S223" s="61"/>
      <c r="T223" s="61"/>
    </row>
    <row r="224" spans="1:20" ht="12" thickBot="1" x14ac:dyDescent="0.25"/>
    <row r="225" spans="1:20" ht="33.75" customHeight="1" thickBot="1" x14ac:dyDescent="0.25">
      <c r="B225" s="23">
        <f>1+B216</f>
        <v>25</v>
      </c>
      <c r="C225" s="336" t="s">
        <v>125</v>
      </c>
      <c r="D225" s="337"/>
      <c r="E225" s="337"/>
      <c r="F225" s="337"/>
      <c r="G225" s="337"/>
      <c r="H225" s="337"/>
      <c r="I225" s="338"/>
      <c r="J225" s="24" t="str">
        <f>+IF(C225="","",$J$9)</f>
        <v>INTEGRANTES</v>
      </c>
      <c r="K225" s="339" t="s">
        <v>890</v>
      </c>
      <c r="L225" s="339"/>
      <c r="M225" s="339"/>
      <c r="N225" s="25">
        <f>+B225</f>
        <v>25</v>
      </c>
      <c r="O225" s="323" t="str">
        <f ca="1">+$O$9</f>
        <v>OBSERVACIONES</v>
      </c>
      <c r="Q225" s="325" t="str">
        <f ca="1">+$Q$9</f>
        <v>¿EL CONTRATO CUMPLE CON LOS REQUERIMIENTOS ADICIONALES DE EXPERIENCIA  EN EL PLIEGO?
 (INSCRIPCIÓN EN RUP - CÓDIGO UNSPSC - VALOR EN RUP - % DE PARTICIPACIÓN)
(SI / NO)</v>
      </c>
      <c r="S225" s="328" t="str">
        <f ca="1">+$S$9</f>
        <v>PROPONENTE HÁBIL/NO HÁBIL</v>
      </c>
    </row>
    <row r="226" spans="1:20" ht="42" customHeight="1" x14ac:dyDescent="0.2">
      <c r="B226" s="331" t="str">
        <f ca="1">+$B$10</f>
        <v>ITEM</v>
      </c>
      <c r="C226" s="318" t="str">
        <f ca="1">+$C$10</f>
        <v>PROPONENTE 
/ 
INTEGRANTE OFERENTE PLURAL</v>
      </c>
      <c r="D226" s="333" t="str">
        <f ca="1">+$D$10</f>
        <v>INFORMACIÓN DEL CONTRATO</v>
      </c>
      <c r="E226" s="334"/>
      <c r="F226" s="334"/>
      <c r="G226" s="335"/>
      <c r="H226" s="318" t="str">
        <f>+H217</f>
        <v>CONSECUTIVO RUP</v>
      </c>
      <c r="I226" s="318" t="str">
        <f ca="1">+$I$10</f>
        <v>¿SE ENCUENTRA INSCRITO EN EL RUP Y CUMPLE CÓDIGOS UNSPSC?</v>
      </c>
      <c r="J226" s="318" t="str">
        <f ca="1">+$J$10</f>
        <v xml:space="preserve">VALOR EN RUP (SMMLV) </v>
      </c>
      <c r="K226" s="318" t="str">
        <f ca="1">+$K$10</f>
        <v>% PARTIC en el RUP</v>
      </c>
      <c r="L226" s="318" t="str">
        <f ca="1">+$L$10</f>
        <v>VALOR DEL CONTRATO TERMINADO (SMMLV) en el   RUP</v>
      </c>
      <c r="M226" s="318" t="str">
        <f ca="1">+$M$10</f>
        <v>VALOR CERTIFICADO CONTRATO &gt; VEH</v>
      </c>
      <c r="N226" s="318" t="str">
        <f ca="1">+$N$10</f>
        <v>VALIDACIÓN DE OBJETO Y/O ALCANCE
(SI/NO)
(INTERVENTORIA DE OBRA CIVIL)</v>
      </c>
      <c r="O226" s="324"/>
      <c r="Q226" s="326"/>
      <c r="S226" s="329">
        <f ca="1">+$S$10</f>
        <v>0</v>
      </c>
    </row>
    <row r="227" spans="1:20" ht="38.25" customHeight="1" thickBot="1" x14ac:dyDescent="0.25">
      <c r="B227" s="332"/>
      <c r="C227" s="319"/>
      <c r="D227" s="26" t="str">
        <f ca="1">+$D$11</f>
        <v>ENTIDAD</v>
      </c>
      <c r="E227" s="26" t="str">
        <f ca="1">+$E$11</f>
        <v>No. DE CONTRATO</v>
      </c>
      <c r="F227" s="26" t="str">
        <f ca="1">+$F$11</f>
        <v>OBJETO</v>
      </c>
      <c r="G227" s="26" t="str">
        <f ca="1">+$G$11</f>
        <v>CONTRATISTA</v>
      </c>
      <c r="H227" s="319"/>
      <c r="I227" s="319"/>
      <c r="J227" s="319"/>
      <c r="K227" s="319"/>
      <c r="L227" s="319"/>
      <c r="M227" s="319"/>
      <c r="N227" s="319"/>
      <c r="O227" s="324"/>
      <c r="Q227" s="327"/>
      <c r="S227" s="330"/>
    </row>
    <row r="228" spans="1:20" s="27" customFormat="1" ht="88.5" customHeight="1" x14ac:dyDescent="0.2">
      <c r="B228" s="101">
        <v>1</v>
      </c>
      <c r="C228" s="102" t="s">
        <v>125</v>
      </c>
      <c r="D228" s="102" t="s">
        <v>126</v>
      </c>
      <c r="E228" s="103" t="s">
        <v>127</v>
      </c>
      <c r="F228" s="103" t="s">
        <v>128</v>
      </c>
      <c r="G228" s="102" t="s">
        <v>125</v>
      </c>
      <c r="H228" s="104">
        <v>39</v>
      </c>
      <c r="I228" s="105" t="s">
        <v>16</v>
      </c>
      <c r="J228" s="106">
        <v>356.23</v>
      </c>
      <c r="K228" s="107">
        <v>1</v>
      </c>
      <c r="L228" s="34">
        <f>IF(OR(H228="",I228&lt;&gt;"SI",I228="NO",J228="",J228=0,K228="",K228=0,Q228&lt;&gt;"SI",N228&lt;&gt;"SI"),0,J228*K228)</f>
        <v>356.23</v>
      </c>
      <c r="M228" s="108" t="str">
        <f>+IF(C228&lt;&gt;"",IF(L228&gt;=$H$6,"SI","NO"),"")</f>
        <v>SI</v>
      </c>
      <c r="N228" s="35" t="s">
        <v>16</v>
      </c>
      <c r="O228" s="109"/>
      <c r="Q228" s="37" t="str">
        <f>+IF(C228="","",IF(AND(H228&lt;&gt;"",I228="SI",J228&lt;&gt;"",J228&gt;0,K228&lt;&gt;"",K228&gt;0),"SI","NO"))</f>
        <v>SI</v>
      </c>
      <c r="S228" s="37" t="str">
        <f>+IF(C228&lt;&gt;"",IF(AND(M228="SI",N228="SI",Q228="SI"),"HÁBIL","NO HÁBIL"),"")</f>
        <v>HÁBIL</v>
      </c>
    </row>
    <row r="229" spans="1:20" s="27" customFormat="1" ht="12.75" x14ac:dyDescent="0.2">
      <c r="B229" s="110"/>
      <c r="C229" s="111"/>
      <c r="D229" s="111"/>
      <c r="E229" s="112"/>
      <c r="F229" s="112"/>
      <c r="G229" s="111"/>
      <c r="H229" s="113"/>
      <c r="I229" s="114"/>
      <c r="J229" s="115"/>
      <c r="K229" s="116"/>
      <c r="L229" s="44">
        <f t="shared" ref="L229:L231" si="24">IF(OR(H229="",I229&lt;&gt;"SI",I229="NO",J229="",J229=0,K229="",K229=0,Q229&lt;&gt;"SI",N229&lt;&gt;"SI"),0,J229*K229)</f>
        <v>0</v>
      </c>
      <c r="M229" s="117" t="str">
        <f>+IF(C229&lt;&gt;"",IF(L229&gt;=$H$6,"SI","NO"),"")</f>
        <v/>
      </c>
      <c r="N229" s="114"/>
      <c r="O229" s="118"/>
      <c r="Q229" s="37" t="str">
        <f>+IF(C229="","",IF(AND(H229&lt;&gt;"",I229="SI",J229&lt;&gt;"",J229&gt;0,K229&lt;&gt;"",K229&gt;0),"SI","NO"))</f>
        <v/>
      </c>
      <c r="S229" s="37" t="str">
        <f>+IF(C229&lt;&gt;"",IF(AND(M229="SI",N229="SI",Q229="SI"),"HÁBIL","NO HÁBIL"),"")</f>
        <v/>
      </c>
    </row>
    <row r="230" spans="1:20" s="27" customFormat="1" ht="12.75" x14ac:dyDescent="0.2">
      <c r="B230" s="110"/>
      <c r="C230" s="111"/>
      <c r="D230" s="111"/>
      <c r="E230" s="112"/>
      <c r="F230" s="112"/>
      <c r="G230" s="111"/>
      <c r="H230" s="113"/>
      <c r="I230" s="114"/>
      <c r="J230" s="115"/>
      <c r="K230" s="116"/>
      <c r="L230" s="44">
        <f t="shared" si="24"/>
        <v>0</v>
      </c>
      <c r="M230" s="117" t="str">
        <f>+IF(C230&lt;&gt;"",IF(L230&gt;=$H$6,"SI","NO"),"")</f>
        <v/>
      </c>
      <c r="N230" s="114"/>
      <c r="O230" s="118"/>
      <c r="Q230" s="37" t="str">
        <f>+IF(C230="","",IF(AND(H230&lt;&gt;"",I230="SI",J230&lt;&gt;"",J230&gt;0,K230&lt;&gt;"",K230&gt;0),"SI","NO"))</f>
        <v/>
      </c>
      <c r="S230" s="37" t="str">
        <f>+IF(C230&lt;&gt;"",IF(AND(M230="SI",N230="SI",Q230="SI"),"HÁBIL","NO HÁBIL"),"")</f>
        <v/>
      </c>
    </row>
    <row r="231" spans="1:20" s="27" customFormat="1" ht="13.5" thickBot="1" x14ac:dyDescent="0.25">
      <c r="B231" s="119"/>
      <c r="C231" s="120"/>
      <c r="D231" s="120"/>
      <c r="E231" s="121"/>
      <c r="F231" s="121"/>
      <c r="G231" s="120"/>
      <c r="H231" s="122"/>
      <c r="I231" s="123"/>
      <c r="J231" s="124"/>
      <c r="K231" s="125"/>
      <c r="L231" s="53">
        <f t="shared" si="24"/>
        <v>0</v>
      </c>
      <c r="M231" s="126" t="str">
        <f>+IF(C231&lt;&gt;"",IF(L231&gt;=$H$6,"SI","NO"),"")</f>
        <v/>
      </c>
      <c r="N231" s="123"/>
      <c r="O231" s="127"/>
      <c r="Q231" s="55" t="str">
        <f>+IF(C231="","",IF(AND(H231&lt;&gt;"",I231="SI",J231&lt;&gt;"",J231&gt;0,K231&lt;&gt;"",K231&gt;0),"SI","NO"))</f>
        <v/>
      </c>
      <c r="S231" s="55" t="str">
        <f>+IF(C231&lt;&gt;"",IF(AND(M231="SI",N231="SI",Q231="SI"),"HÁBIL","NO HÁBIL"),"")</f>
        <v/>
      </c>
    </row>
    <row r="232" spans="1:20" ht="24.75" customHeight="1" thickBot="1" x14ac:dyDescent="0.25">
      <c r="A232" s="56">
        <f>+$B225</f>
        <v>25</v>
      </c>
      <c r="B232" s="57" t="str">
        <f>"A"&amp;B225</f>
        <v>A25</v>
      </c>
      <c r="C232" s="340" t="str">
        <f>+$C$16</f>
        <v>PROPONENTE HÁBIL / NO HÁBIL</v>
      </c>
      <c r="D232" s="341"/>
      <c r="E232" s="341"/>
      <c r="F232" s="341"/>
      <c r="G232" s="341"/>
      <c r="H232" s="342"/>
      <c r="I232" s="58" t="str">
        <f>IF(S228="","",IF(OR(S228="HÁBIL",S229="HÁBIL",S230="HÁBIL",S231="HÁBIL"),"HÁBIL","NO HÁBIL"))</f>
        <v>HÁBIL</v>
      </c>
      <c r="J232" s="59"/>
      <c r="K232" s="27"/>
      <c r="L232" s="27"/>
      <c r="M232" s="27"/>
      <c r="N232" s="60"/>
      <c r="O232" s="1"/>
      <c r="P232" s="61"/>
      <c r="Q232" s="61"/>
      <c r="R232" s="61"/>
      <c r="S232" s="61"/>
      <c r="T232" s="61"/>
    </row>
    <row r="233" spans="1:20" ht="12" thickBot="1" x14ac:dyDescent="0.25"/>
    <row r="234" spans="1:20" ht="36.75" customHeight="1" thickBot="1" x14ac:dyDescent="0.25">
      <c r="B234" s="23">
        <f>1+B225</f>
        <v>26</v>
      </c>
      <c r="C234" s="336" t="s">
        <v>921</v>
      </c>
      <c r="D234" s="337"/>
      <c r="E234" s="337"/>
      <c r="F234" s="337"/>
      <c r="G234" s="337"/>
      <c r="H234" s="337"/>
      <c r="I234" s="338"/>
      <c r="J234" s="24" t="str">
        <f>+IF(C234="","",$J$9)</f>
        <v>INTEGRANTES</v>
      </c>
      <c r="K234" s="339" t="s">
        <v>922</v>
      </c>
      <c r="L234" s="339"/>
      <c r="M234" s="339"/>
      <c r="N234" s="25">
        <f>+B234</f>
        <v>26</v>
      </c>
      <c r="O234" s="323" t="str">
        <f ca="1">+$O$9</f>
        <v>OBSERVACIONES</v>
      </c>
      <c r="Q234" s="325" t="str">
        <f ca="1">+$Q$9</f>
        <v>¿EL CONTRATO CUMPLE CON LOS REQUERIMIENTOS ADICIONALES DE EXPERIENCIA  EN EL PLIEGO?
 (INSCRIPCIÓN EN RUP - CÓDIGO UNSPSC - VALOR EN RUP - % DE PARTICIPACIÓN)
(SI / NO)</v>
      </c>
      <c r="S234" s="328" t="str">
        <f ca="1">+$S$9</f>
        <v>PROPONENTE HÁBIL/NO HÁBIL</v>
      </c>
    </row>
    <row r="235" spans="1:20" ht="42" customHeight="1" x14ac:dyDescent="0.2">
      <c r="B235" s="331" t="str">
        <f ca="1">+$B$10</f>
        <v>ITEM</v>
      </c>
      <c r="C235" s="318" t="str">
        <f ca="1">+$C$10</f>
        <v>PROPONENTE 
/ 
INTEGRANTE OFERENTE PLURAL</v>
      </c>
      <c r="D235" s="333" t="str">
        <f ca="1">+$D$10</f>
        <v>INFORMACIÓN DEL CONTRATO</v>
      </c>
      <c r="E235" s="334"/>
      <c r="F235" s="334"/>
      <c r="G235" s="335"/>
      <c r="H235" s="318" t="str">
        <f>+H226</f>
        <v>CONSECUTIVO RUP</v>
      </c>
      <c r="I235" s="318" t="str">
        <f ca="1">+$I$10</f>
        <v>¿SE ENCUENTRA INSCRITO EN EL RUP Y CUMPLE CÓDIGOS UNSPSC?</v>
      </c>
      <c r="J235" s="318" t="str">
        <f ca="1">+$J$10</f>
        <v xml:space="preserve">VALOR EN RUP (SMMLV) </v>
      </c>
      <c r="K235" s="318" t="str">
        <f ca="1">+$K$10</f>
        <v>% PARTIC en el RUP</v>
      </c>
      <c r="L235" s="318" t="str">
        <f ca="1">+$L$10</f>
        <v>VALOR DEL CONTRATO TERMINADO (SMMLV) en el   RUP</v>
      </c>
      <c r="M235" s="318" t="str">
        <f ca="1">+$M$10</f>
        <v>VALOR CERTIFICADO CONTRATO &gt; VEH</v>
      </c>
      <c r="N235" s="318" t="str">
        <f ca="1">+$N$10</f>
        <v>VALIDACIÓN DE OBJETO Y/O ALCANCE
(SI/NO)
(INTERVENTORIA DE OBRA CIVIL)</v>
      </c>
      <c r="O235" s="324"/>
      <c r="Q235" s="326"/>
      <c r="S235" s="329">
        <f ca="1">+$S$10</f>
        <v>0</v>
      </c>
    </row>
    <row r="236" spans="1:20" ht="38.25" customHeight="1" thickBot="1" x14ac:dyDescent="0.25">
      <c r="B236" s="332"/>
      <c r="C236" s="319"/>
      <c r="D236" s="26" t="str">
        <f ca="1">+$D$11</f>
        <v>ENTIDAD</v>
      </c>
      <c r="E236" s="26" t="str">
        <f ca="1">+$E$11</f>
        <v>No. DE CONTRATO</v>
      </c>
      <c r="F236" s="26" t="str">
        <f ca="1">+$F$11</f>
        <v>OBJETO</v>
      </c>
      <c r="G236" s="26" t="str">
        <f ca="1">+$G$11</f>
        <v>CONTRATISTA</v>
      </c>
      <c r="H236" s="319"/>
      <c r="I236" s="319"/>
      <c r="J236" s="319"/>
      <c r="K236" s="319"/>
      <c r="L236" s="319"/>
      <c r="M236" s="319"/>
      <c r="N236" s="319"/>
      <c r="O236" s="324"/>
      <c r="Q236" s="327"/>
      <c r="S236" s="330"/>
    </row>
    <row r="237" spans="1:20" s="27" customFormat="1" ht="88.5" customHeight="1" x14ac:dyDescent="0.2">
      <c r="B237" s="101">
        <v>1</v>
      </c>
      <c r="C237" s="102" t="s">
        <v>129</v>
      </c>
      <c r="D237" s="102" t="s">
        <v>130</v>
      </c>
      <c r="E237" s="103" t="s">
        <v>131</v>
      </c>
      <c r="F237" s="103" t="s">
        <v>132</v>
      </c>
      <c r="G237" s="102" t="s">
        <v>133</v>
      </c>
      <c r="H237" s="104">
        <v>35</v>
      </c>
      <c r="I237" s="105" t="s">
        <v>16</v>
      </c>
      <c r="J237" s="106">
        <v>5270.24</v>
      </c>
      <c r="K237" s="107">
        <v>1</v>
      </c>
      <c r="L237" s="34">
        <f>IF(OR(H237="",I237&lt;&gt;"SI",I237="NO",J237="",J237=0,K237="",K237=0,Q237&lt;&gt;"SI",N237&lt;&gt;"SI"),0,J237*K237)</f>
        <v>5270.24</v>
      </c>
      <c r="M237" s="108" t="str">
        <f>+IF(C237&lt;&gt;"",IF(L237&gt;=$H$6,"SI","NO"),"")</f>
        <v>SI</v>
      </c>
      <c r="N237" s="35" t="s">
        <v>16</v>
      </c>
      <c r="O237" s="109"/>
      <c r="Q237" s="37" t="str">
        <f>+IF(C237="","",IF(AND(H237&lt;&gt;"",I237="SI",J237&lt;&gt;"",J237&gt;0,K237&lt;&gt;"",K237&gt;0),"SI","NO"))</f>
        <v>SI</v>
      </c>
      <c r="S237" s="37" t="str">
        <f>+IF(C237&lt;&gt;"",IF(AND(M237="SI",N237="SI",Q237="SI"),"HÁBIL","NO HÁBIL"),"")</f>
        <v>HÁBIL</v>
      </c>
    </row>
    <row r="238" spans="1:20" s="27" customFormat="1" ht="12.75" x14ac:dyDescent="0.2">
      <c r="B238" s="110"/>
      <c r="C238" s="111"/>
      <c r="D238" s="111"/>
      <c r="E238" s="112"/>
      <c r="F238" s="112"/>
      <c r="G238" s="111"/>
      <c r="H238" s="113"/>
      <c r="I238" s="114"/>
      <c r="J238" s="115"/>
      <c r="K238" s="116"/>
      <c r="L238" s="44">
        <f t="shared" ref="L238:L240" si="25">IF(OR(H238="",I238&lt;&gt;"SI",I238="NO",J238="",J238=0,K238="",K238=0,Q238&lt;&gt;"SI",N238&lt;&gt;"SI"),0,J238*K238)</f>
        <v>0</v>
      </c>
      <c r="M238" s="117" t="str">
        <f>+IF(C238&lt;&gt;"",IF(L238&gt;=$H$6,"SI","NO"),"")</f>
        <v/>
      </c>
      <c r="N238" s="114"/>
      <c r="O238" s="118"/>
      <c r="Q238" s="37" t="str">
        <f>+IF(C238="","",IF(AND(H238&lt;&gt;"",I238="SI",J238&lt;&gt;"",J238&gt;0,K238&lt;&gt;"",K238&gt;0),"SI","NO"))</f>
        <v/>
      </c>
      <c r="S238" s="37" t="str">
        <f>+IF(C238&lt;&gt;"",IF(AND(M238="SI",N238="SI",Q238="SI"),"HÁBIL","NO HÁBIL"),"")</f>
        <v/>
      </c>
    </row>
    <row r="239" spans="1:20" s="27" customFormat="1" ht="12.75" x14ac:dyDescent="0.2">
      <c r="B239" s="110"/>
      <c r="C239" s="111"/>
      <c r="D239" s="111"/>
      <c r="E239" s="112"/>
      <c r="F239" s="112"/>
      <c r="G239" s="111"/>
      <c r="H239" s="113"/>
      <c r="I239" s="114"/>
      <c r="J239" s="115"/>
      <c r="K239" s="116"/>
      <c r="L239" s="44">
        <f t="shared" si="25"/>
        <v>0</v>
      </c>
      <c r="M239" s="117" t="str">
        <f>+IF(C239&lt;&gt;"",IF(L239&gt;=$H$6,"SI","NO"),"")</f>
        <v/>
      </c>
      <c r="N239" s="114"/>
      <c r="O239" s="118"/>
      <c r="Q239" s="37" t="str">
        <f>+IF(C239="","",IF(AND(H239&lt;&gt;"",I239="SI",J239&lt;&gt;"",J239&gt;0,K239&lt;&gt;"",K239&gt;0),"SI","NO"))</f>
        <v/>
      </c>
      <c r="S239" s="37" t="str">
        <f>+IF(C239&lt;&gt;"",IF(AND(M239="SI",N239="SI",Q239="SI"),"HÁBIL","NO HÁBIL"),"")</f>
        <v/>
      </c>
    </row>
    <row r="240" spans="1:20" s="27" customFormat="1" ht="13.5" thickBot="1" x14ac:dyDescent="0.25">
      <c r="B240" s="119"/>
      <c r="C240" s="120"/>
      <c r="D240" s="120"/>
      <c r="E240" s="121"/>
      <c r="F240" s="121"/>
      <c r="G240" s="120"/>
      <c r="H240" s="122"/>
      <c r="I240" s="123"/>
      <c r="J240" s="124"/>
      <c r="K240" s="125"/>
      <c r="L240" s="53">
        <f t="shared" si="25"/>
        <v>0</v>
      </c>
      <c r="M240" s="126" t="str">
        <f>+IF(C240&lt;&gt;"",IF(L240&gt;=$H$6,"SI","NO"),"")</f>
        <v/>
      </c>
      <c r="N240" s="123"/>
      <c r="O240" s="127"/>
      <c r="Q240" s="55" t="str">
        <f>+IF(C240="","",IF(AND(H240&lt;&gt;"",I240="SI",J240&lt;&gt;"",J240&gt;0,K240&lt;&gt;"",K240&gt;0),"SI","NO"))</f>
        <v/>
      </c>
      <c r="S240" s="55" t="str">
        <f>+IF(C240&lt;&gt;"",IF(AND(M240="SI",N240="SI",Q240="SI"),"HÁBIL","NO HÁBIL"),"")</f>
        <v/>
      </c>
    </row>
    <row r="241" spans="1:20" ht="24.75" customHeight="1" thickBot="1" x14ac:dyDescent="0.25">
      <c r="A241" s="56">
        <f>+$B234</f>
        <v>26</v>
      </c>
      <c r="B241" s="57" t="str">
        <f>"A"&amp;B234</f>
        <v>A26</v>
      </c>
      <c r="C241" s="340" t="str">
        <f>+$C$16</f>
        <v>PROPONENTE HÁBIL / NO HÁBIL</v>
      </c>
      <c r="D241" s="341"/>
      <c r="E241" s="341"/>
      <c r="F241" s="341"/>
      <c r="G241" s="341"/>
      <c r="H241" s="342"/>
      <c r="I241" s="58" t="str">
        <f>IF(S237="","",IF(OR(S237="HÁBIL",S238="HÁBIL",S239="HÁBIL",S240="HÁBIL"),"HÁBIL","NO HÁBIL"))</f>
        <v>HÁBIL</v>
      </c>
      <c r="J241" s="59"/>
      <c r="K241" s="27"/>
      <c r="L241" s="27"/>
      <c r="M241" s="27"/>
      <c r="N241" s="60"/>
      <c r="O241" s="1"/>
      <c r="P241" s="61"/>
      <c r="Q241" s="61"/>
      <c r="R241" s="61"/>
      <c r="S241" s="61"/>
      <c r="T241" s="61"/>
    </row>
    <row r="242" spans="1:20" ht="12" thickBot="1" x14ac:dyDescent="0.25"/>
    <row r="243" spans="1:20" ht="47.25" customHeight="1" thickBot="1" x14ac:dyDescent="0.25">
      <c r="B243" s="23">
        <f>1+B234</f>
        <v>27</v>
      </c>
      <c r="C243" s="336" t="s">
        <v>134</v>
      </c>
      <c r="D243" s="337"/>
      <c r="E243" s="337"/>
      <c r="F243" s="337"/>
      <c r="G243" s="337"/>
      <c r="H243" s="337"/>
      <c r="I243" s="338"/>
      <c r="J243" s="24" t="str">
        <f>+IF(C243="","",$J$9)</f>
        <v>INTEGRANTES</v>
      </c>
      <c r="K243" s="339" t="s">
        <v>923</v>
      </c>
      <c r="L243" s="339"/>
      <c r="M243" s="339"/>
      <c r="N243" s="25">
        <f>+B243</f>
        <v>27</v>
      </c>
      <c r="O243" s="323" t="str">
        <f ca="1">+$O$9</f>
        <v>OBSERVACIONES</v>
      </c>
      <c r="Q243" s="325" t="str">
        <f ca="1">+$Q$9</f>
        <v>¿EL CONTRATO CUMPLE CON LOS REQUERIMIENTOS ADICIONALES DE EXPERIENCIA  EN EL PLIEGO?
 (INSCRIPCIÓN EN RUP - CÓDIGO UNSPSC - VALOR EN RUP - % DE PARTICIPACIÓN)
(SI / NO)</v>
      </c>
      <c r="S243" s="328" t="str">
        <f ca="1">+$S$9</f>
        <v>PROPONENTE HÁBIL/NO HÁBIL</v>
      </c>
    </row>
    <row r="244" spans="1:20" ht="42" customHeight="1" x14ac:dyDescent="0.2">
      <c r="B244" s="331" t="str">
        <f ca="1">+$B$10</f>
        <v>ITEM</v>
      </c>
      <c r="C244" s="318" t="str">
        <f ca="1">+$C$10</f>
        <v>PROPONENTE 
/ 
INTEGRANTE OFERENTE PLURAL</v>
      </c>
      <c r="D244" s="333" t="str">
        <f ca="1">+$D$10</f>
        <v>INFORMACIÓN DEL CONTRATO</v>
      </c>
      <c r="E244" s="334"/>
      <c r="F244" s="334"/>
      <c r="G244" s="335"/>
      <c r="H244" s="318" t="str">
        <f>+H235</f>
        <v>CONSECUTIVO RUP</v>
      </c>
      <c r="I244" s="318" t="str">
        <f ca="1">+$I$10</f>
        <v>¿SE ENCUENTRA INSCRITO EN EL RUP Y CUMPLE CÓDIGOS UNSPSC?</v>
      </c>
      <c r="J244" s="318" t="str">
        <f ca="1">+$J$10</f>
        <v xml:space="preserve">VALOR EN RUP (SMMLV) </v>
      </c>
      <c r="K244" s="318" t="str">
        <f ca="1">+$K$10</f>
        <v>% PARTIC en el RUP</v>
      </c>
      <c r="L244" s="318" t="str">
        <f ca="1">+$L$10</f>
        <v>VALOR DEL CONTRATO TERMINADO (SMMLV) en el   RUP</v>
      </c>
      <c r="M244" s="318" t="str">
        <f ca="1">+$M$10</f>
        <v>VALOR CERTIFICADO CONTRATO &gt; VEH</v>
      </c>
      <c r="N244" s="318" t="str">
        <f ca="1">+$N$10</f>
        <v>VALIDACIÓN DE OBJETO Y/O ALCANCE
(SI/NO)
(INTERVENTORIA DE OBRA CIVIL)</v>
      </c>
      <c r="O244" s="324"/>
      <c r="Q244" s="326"/>
      <c r="S244" s="329">
        <f ca="1">+$S$10</f>
        <v>0</v>
      </c>
    </row>
    <row r="245" spans="1:20" ht="38.25" customHeight="1" thickBot="1" x14ac:dyDescent="0.25">
      <c r="B245" s="332"/>
      <c r="C245" s="319"/>
      <c r="D245" s="26" t="str">
        <f ca="1">+$D$11</f>
        <v>ENTIDAD</v>
      </c>
      <c r="E245" s="26" t="str">
        <f ca="1">+$E$11</f>
        <v>No. DE CONTRATO</v>
      </c>
      <c r="F245" s="26" t="str">
        <f ca="1">+$F$11</f>
        <v>OBJETO</v>
      </c>
      <c r="G245" s="26" t="str">
        <f ca="1">+$G$11</f>
        <v>CONTRATISTA</v>
      </c>
      <c r="H245" s="319"/>
      <c r="I245" s="319"/>
      <c r="J245" s="319"/>
      <c r="K245" s="319"/>
      <c r="L245" s="319"/>
      <c r="M245" s="319"/>
      <c r="N245" s="319"/>
      <c r="O245" s="324"/>
      <c r="Q245" s="326"/>
      <c r="S245" s="330"/>
    </row>
    <row r="246" spans="1:20" s="27" customFormat="1" ht="185.25" customHeight="1" x14ac:dyDescent="0.2">
      <c r="B246" s="101">
        <v>1</v>
      </c>
      <c r="C246" s="102" t="s">
        <v>134</v>
      </c>
      <c r="D246" s="102"/>
      <c r="E246" s="103"/>
      <c r="F246" s="103"/>
      <c r="G246" s="102"/>
      <c r="H246" s="104"/>
      <c r="I246" s="105"/>
      <c r="J246" s="106"/>
      <c r="K246" s="107"/>
      <c r="L246" s="34">
        <f>IF(OR(H246="",I246&lt;&gt;"SI",I246="NO",J246="",J246=0,K246="",K246=0,Q246&lt;&gt;"SI",N246&lt;&gt;"SI"),0,J246*K246)</f>
        <v>0</v>
      </c>
      <c r="M246" s="108" t="str">
        <f>+IF(C246&lt;&gt;"",IF(L246&gt;=$H$6,"SI","NO"),"")</f>
        <v>NO</v>
      </c>
      <c r="N246" s="129"/>
      <c r="O246" s="130" t="s">
        <v>135</v>
      </c>
      <c r="P246" s="131"/>
      <c r="Q246" s="132" t="str">
        <f>+IF(C246="","",IF(AND(H246&lt;&gt;"",I246="SI",J246&lt;&gt;"",J246&gt;0,K246&lt;&gt;"",K246&gt;0),"SI","NO"))</f>
        <v>NO</v>
      </c>
      <c r="S246" s="37" t="str">
        <f>+IF(C246&lt;&gt;"",IF(AND(M246="SI",N246="SI",Q246="SI"),"HÁBIL","NO HÁBIL"),"")</f>
        <v>NO HÁBIL</v>
      </c>
    </row>
    <row r="247" spans="1:20" s="27" customFormat="1" ht="12.75" x14ac:dyDescent="0.2">
      <c r="B247" s="110"/>
      <c r="C247" s="111"/>
      <c r="D247" s="111"/>
      <c r="E247" s="112"/>
      <c r="F247" s="112"/>
      <c r="G247" s="111"/>
      <c r="H247" s="113"/>
      <c r="I247" s="114"/>
      <c r="J247" s="115"/>
      <c r="K247" s="116"/>
      <c r="L247" s="44">
        <f t="shared" ref="L247:L249" si="26">IF(OR(H247="",I247&lt;&gt;"SI",I247="NO",J247="",J247=0,K247="",K247=0,Q247&lt;&gt;"SI",N247&lt;&gt;"SI"),0,J247*K247)</f>
        <v>0</v>
      </c>
      <c r="M247" s="117" t="str">
        <f>+IF(C247&lt;&gt;"",IF(L247&gt;=$H$6,"SI","NO"),"")</f>
        <v/>
      </c>
      <c r="N247" s="114"/>
      <c r="O247" s="133"/>
      <c r="P247" s="134"/>
      <c r="Q247" s="135" t="str">
        <f>+IF(C247="","",IF(AND(H247&lt;&gt;"",I247="SI",J247&lt;&gt;"",J247&gt;0,K247&lt;&gt;"",K247&gt;0),"SI","NO"))</f>
        <v/>
      </c>
      <c r="S247" s="37" t="str">
        <f>+IF(C247&lt;&gt;"",IF(AND(M247="SI",N247="SI",Q247="SI"),"HÁBIL","NO HÁBIL"),"")</f>
        <v/>
      </c>
    </row>
    <row r="248" spans="1:20" s="27" customFormat="1" ht="12.75" x14ac:dyDescent="0.2">
      <c r="B248" s="110"/>
      <c r="C248" s="111"/>
      <c r="D248" s="111"/>
      <c r="E248" s="112"/>
      <c r="F248" s="112"/>
      <c r="G248" s="111"/>
      <c r="H248" s="113"/>
      <c r="I248" s="114"/>
      <c r="J248" s="115"/>
      <c r="K248" s="116"/>
      <c r="L248" s="44">
        <f t="shared" si="26"/>
        <v>0</v>
      </c>
      <c r="M248" s="117" t="str">
        <f>+IF(C248&lt;&gt;"",IF(L248&gt;=$H$6,"SI","NO"),"")</f>
        <v/>
      </c>
      <c r="N248" s="114"/>
      <c r="O248" s="133"/>
      <c r="P248" s="134"/>
      <c r="Q248" s="135" t="str">
        <f>+IF(C248="","",IF(AND(H248&lt;&gt;"",I248="SI",J248&lt;&gt;"",J248&gt;0,K248&lt;&gt;"",K248&gt;0),"SI","NO"))</f>
        <v/>
      </c>
      <c r="S248" s="37" t="str">
        <f>+IF(C248&lt;&gt;"",IF(AND(M248="SI",N248="SI",Q248="SI"),"HÁBIL","NO HÁBIL"),"")</f>
        <v/>
      </c>
    </row>
    <row r="249" spans="1:20" s="27" customFormat="1" ht="13.5" thickBot="1" x14ac:dyDescent="0.25">
      <c r="B249" s="119"/>
      <c r="C249" s="120"/>
      <c r="D249" s="120"/>
      <c r="E249" s="121"/>
      <c r="F249" s="121"/>
      <c r="G249" s="120"/>
      <c r="H249" s="122"/>
      <c r="I249" s="123"/>
      <c r="J249" s="124"/>
      <c r="K249" s="125"/>
      <c r="L249" s="53">
        <f t="shared" si="26"/>
        <v>0</v>
      </c>
      <c r="M249" s="126" t="str">
        <f>+IF(C249&lt;&gt;"",IF(L249&gt;=$H$6,"SI","NO"),"")</f>
        <v/>
      </c>
      <c r="N249" s="123"/>
      <c r="O249" s="136"/>
      <c r="P249" s="137"/>
      <c r="Q249" s="138" t="str">
        <f>+IF(C249="","",IF(AND(H249&lt;&gt;"",I249="SI",J249&lt;&gt;"",J249&gt;0,K249&lt;&gt;"",K249&gt;0),"SI","NO"))</f>
        <v/>
      </c>
      <c r="S249" s="55" t="str">
        <f>+IF(C249&lt;&gt;"",IF(AND(M249="SI",N249="SI",Q249="SI"),"HÁBIL","NO HÁBIL"),"")</f>
        <v/>
      </c>
    </row>
    <row r="250" spans="1:20" ht="24" customHeight="1" thickBot="1" x14ac:dyDescent="0.25">
      <c r="A250" s="56">
        <f>+$B243</f>
        <v>27</v>
      </c>
      <c r="B250" s="57" t="str">
        <f>"A"&amp;B243</f>
        <v>A27</v>
      </c>
      <c r="C250" s="340" t="str">
        <f>+$C$16</f>
        <v>PROPONENTE HÁBIL / NO HÁBIL</v>
      </c>
      <c r="D250" s="341"/>
      <c r="E250" s="341"/>
      <c r="F250" s="341"/>
      <c r="G250" s="341"/>
      <c r="H250" s="342"/>
      <c r="I250" s="58" t="str">
        <f>IF(S246="","",IF(OR(S246="HÁBIL",S247="HÁBIL",S248="HÁBIL",S249="HÁBIL"),"HÁBIL","NO HÁBIL"))</f>
        <v>NO HÁBIL</v>
      </c>
      <c r="J250" s="59"/>
      <c r="K250" s="27"/>
      <c r="L250" s="27"/>
      <c r="M250" s="27"/>
      <c r="N250" s="60"/>
      <c r="O250" s="1"/>
      <c r="P250" s="61"/>
      <c r="Q250" s="61"/>
      <c r="R250" s="61"/>
      <c r="S250" s="61"/>
      <c r="T250" s="61"/>
    </row>
    <row r="251" spans="1:20" ht="12" thickBot="1" x14ac:dyDescent="0.25"/>
    <row r="252" spans="1:20" ht="50.25" customHeight="1" thickBot="1" x14ac:dyDescent="0.25">
      <c r="B252" s="23">
        <f>1+B243</f>
        <v>28</v>
      </c>
      <c r="C252" s="336" t="s">
        <v>924</v>
      </c>
      <c r="D252" s="337"/>
      <c r="E252" s="337"/>
      <c r="F252" s="337"/>
      <c r="G252" s="337"/>
      <c r="H252" s="337"/>
      <c r="I252" s="338"/>
      <c r="J252" s="24" t="str">
        <f>+IF(C252="","",$J$9)</f>
        <v>INTEGRANTES</v>
      </c>
      <c r="K252" s="339" t="s">
        <v>925</v>
      </c>
      <c r="L252" s="339"/>
      <c r="M252" s="339"/>
      <c r="N252" s="25">
        <f>+B252</f>
        <v>28</v>
      </c>
      <c r="O252" s="323" t="str">
        <f ca="1">+$O$9</f>
        <v>OBSERVACIONES</v>
      </c>
      <c r="Q252" s="325" t="str">
        <f ca="1">+$Q$9</f>
        <v>¿EL CONTRATO CUMPLE CON LOS REQUERIMIENTOS ADICIONALES DE EXPERIENCIA  EN EL PLIEGO?
 (INSCRIPCIÓN EN RUP - CÓDIGO UNSPSC - VALOR EN RUP - % DE PARTICIPACIÓN)
(SI / NO)</v>
      </c>
      <c r="S252" s="328" t="str">
        <f ca="1">+$S$9</f>
        <v>PROPONENTE HÁBIL/NO HÁBIL</v>
      </c>
    </row>
    <row r="253" spans="1:20" ht="42" customHeight="1" x14ac:dyDescent="0.2">
      <c r="B253" s="331" t="str">
        <f ca="1">+$B$10</f>
        <v>ITEM</v>
      </c>
      <c r="C253" s="318" t="str">
        <f ca="1">+$C$10</f>
        <v>PROPONENTE 
/ 
INTEGRANTE OFERENTE PLURAL</v>
      </c>
      <c r="D253" s="333" t="str">
        <f ca="1">+$D$10</f>
        <v>INFORMACIÓN DEL CONTRATO</v>
      </c>
      <c r="E253" s="334"/>
      <c r="F253" s="334"/>
      <c r="G253" s="335"/>
      <c r="H253" s="318" t="str">
        <f>+H244</f>
        <v>CONSECUTIVO RUP</v>
      </c>
      <c r="I253" s="318" t="str">
        <f ca="1">+$I$10</f>
        <v>¿SE ENCUENTRA INSCRITO EN EL RUP Y CUMPLE CÓDIGOS UNSPSC?</v>
      </c>
      <c r="J253" s="318" t="str">
        <f ca="1">+$J$10</f>
        <v xml:space="preserve">VALOR EN RUP (SMMLV) </v>
      </c>
      <c r="K253" s="318" t="str">
        <f ca="1">+$K$10</f>
        <v>% PARTIC en el RUP</v>
      </c>
      <c r="L253" s="318" t="str">
        <f ca="1">+$L$10</f>
        <v>VALOR DEL CONTRATO TERMINADO (SMMLV) en el   RUP</v>
      </c>
      <c r="M253" s="318" t="str">
        <f ca="1">+$M$10</f>
        <v>VALOR CERTIFICADO CONTRATO &gt; VEH</v>
      </c>
      <c r="N253" s="318" t="str">
        <f ca="1">+$N$10</f>
        <v>VALIDACIÓN DE OBJETO Y/O ALCANCE
(SI/NO)
(INTERVENTORIA DE OBRA CIVIL)</v>
      </c>
      <c r="O253" s="324"/>
      <c r="Q253" s="326"/>
      <c r="S253" s="329">
        <f ca="1">+$S$10</f>
        <v>0</v>
      </c>
    </row>
    <row r="254" spans="1:20" ht="38.25" customHeight="1" thickBot="1" x14ac:dyDescent="0.25">
      <c r="B254" s="332"/>
      <c r="C254" s="319"/>
      <c r="D254" s="26" t="str">
        <f ca="1">+$D$11</f>
        <v>ENTIDAD</v>
      </c>
      <c r="E254" s="26" t="str">
        <f ca="1">+$E$11</f>
        <v>No. DE CONTRATO</v>
      </c>
      <c r="F254" s="26" t="str">
        <f ca="1">+$F$11</f>
        <v>OBJETO</v>
      </c>
      <c r="G254" s="26" t="str">
        <f ca="1">+$G$11</f>
        <v>CONTRATISTA</v>
      </c>
      <c r="H254" s="319"/>
      <c r="I254" s="319"/>
      <c r="J254" s="319"/>
      <c r="K254" s="319"/>
      <c r="L254" s="319"/>
      <c r="M254" s="319"/>
      <c r="N254" s="319"/>
      <c r="O254" s="324"/>
      <c r="Q254" s="327"/>
      <c r="S254" s="330"/>
    </row>
    <row r="255" spans="1:20" s="27" customFormat="1" ht="67.5" customHeight="1" x14ac:dyDescent="0.2">
      <c r="B255" s="101">
        <v>1</v>
      </c>
      <c r="C255" s="102" t="s">
        <v>136</v>
      </c>
      <c r="D255" s="102" t="s">
        <v>137</v>
      </c>
      <c r="E255" s="103" t="s">
        <v>138</v>
      </c>
      <c r="F255" s="103" t="s">
        <v>139</v>
      </c>
      <c r="G255" s="102" t="s">
        <v>140</v>
      </c>
      <c r="H255" s="104">
        <v>21</v>
      </c>
      <c r="I255" s="105" t="s">
        <v>16</v>
      </c>
      <c r="J255" s="106">
        <v>1340.41</v>
      </c>
      <c r="K255" s="107">
        <v>0.5</v>
      </c>
      <c r="L255" s="34">
        <f>IF(OR(H255="",I255&lt;&gt;"SI",I255="NO",J255="",J255=0,K255="",K255=0,Q255&lt;&gt;"SI",N255&lt;&gt;"SI"),0,J255*K255)</f>
        <v>670.20500000000004</v>
      </c>
      <c r="M255" s="108" t="str">
        <f>+IF(C255&lt;&gt;"",IF(L255&gt;=$H$6,"SI","NO"),"")</f>
        <v>SI</v>
      </c>
      <c r="N255" s="129" t="s">
        <v>16</v>
      </c>
      <c r="O255" s="109"/>
      <c r="Q255" s="37" t="str">
        <f>+IF(C255="","",IF(AND(H255&lt;&gt;"",I255="SI",J255&lt;&gt;"",J255&gt;0,K255&lt;&gt;"",K255&gt;0),"SI","NO"))</f>
        <v>SI</v>
      </c>
      <c r="S255" s="37" t="str">
        <f>+IF(C255&lt;&gt;"",IF(AND(M255="SI",N255="SI",Q255="SI"),"HÁBIL","NO HÁBIL"),"")</f>
        <v>HÁBIL</v>
      </c>
    </row>
    <row r="256" spans="1:20" s="27" customFormat="1" ht="12.75" x14ac:dyDescent="0.2">
      <c r="B256" s="110"/>
      <c r="C256" s="111"/>
      <c r="D256" s="111"/>
      <c r="E256" s="112"/>
      <c r="F256" s="112"/>
      <c r="G256" s="111"/>
      <c r="H256" s="113"/>
      <c r="I256" s="114"/>
      <c r="J256" s="115"/>
      <c r="K256" s="116"/>
      <c r="L256" s="44">
        <f t="shared" ref="L256:L258" si="27">IF(OR(H256="",I256&lt;&gt;"SI",I256="NO",J256="",J256=0,K256="",K256=0,Q256&lt;&gt;"SI",N256&lt;&gt;"SI"),0,J256*K256)</f>
        <v>0</v>
      </c>
      <c r="M256" s="117" t="str">
        <f>+IF(C256&lt;&gt;"",IF(L256&gt;=$H$6,"SI","NO"),"")</f>
        <v/>
      </c>
      <c r="N256" s="114"/>
      <c r="O256" s="118"/>
      <c r="Q256" s="37" t="str">
        <f>+IF(C256="","",IF(AND(H256&lt;&gt;"",I256="SI",J256&lt;&gt;"",J256&gt;0,K256&lt;&gt;"",K256&gt;0),"SI","NO"))</f>
        <v/>
      </c>
      <c r="S256" s="37" t="str">
        <f>+IF(C256&lt;&gt;"",IF(AND(M256="SI",N256="SI",Q256="SI"),"HÁBIL","NO HÁBIL"),"")</f>
        <v/>
      </c>
    </row>
    <row r="257" spans="1:20" s="27" customFormat="1" ht="12.75" x14ac:dyDescent="0.2">
      <c r="B257" s="110"/>
      <c r="C257" s="111"/>
      <c r="D257" s="111"/>
      <c r="E257" s="112"/>
      <c r="F257" s="112"/>
      <c r="G257" s="111"/>
      <c r="H257" s="113"/>
      <c r="I257" s="114"/>
      <c r="J257" s="115"/>
      <c r="K257" s="116"/>
      <c r="L257" s="44">
        <f t="shared" si="27"/>
        <v>0</v>
      </c>
      <c r="M257" s="117" t="str">
        <f>+IF(C257&lt;&gt;"",IF(L257&gt;=$H$6,"SI","NO"),"")</f>
        <v/>
      </c>
      <c r="N257" s="114"/>
      <c r="O257" s="118"/>
      <c r="Q257" s="37" t="str">
        <f>+IF(C257="","",IF(AND(H257&lt;&gt;"",I257="SI",J257&lt;&gt;"",J257&gt;0,K257&lt;&gt;"",K257&gt;0),"SI","NO"))</f>
        <v/>
      </c>
      <c r="S257" s="37" t="str">
        <f>+IF(C257&lt;&gt;"",IF(AND(M257="SI",N257="SI",Q257="SI"),"HÁBIL","NO HÁBIL"),"")</f>
        <v/>
      </c>
    </row>
    <row r="258" spans="1:20" s="27" customFormat="1" ht="13.5" thickBot="1" x14ac:dyDescent="0.25">
      <c r="B258" s="119"/>
      <c r="C258" s="120"/>
      <c r="D258" s="120"/>
      <c r="E258" s="121"/>
      <c r="F258" s="121"/>
      <c r="G258" s="120"/>
      <c r="H258" s="122"/>
      <c r="I258" s="123"/>
      <c r="J258" s="124"/>
      <c r="K258" s="125"/>
      <c r="L258" s="53">
        <f t="shared" si="27"/>
        <v>0</v>
      </c>
      <c r="M258" s="126" t="str">
        <f>+IF(C258&lt;&gt;"",IF(L258&gt;=$H$6,"SI","NO"),"")</f>
        <v/>
      </c>
      <c r="N258" s="123"/>
      <c r="O258" s="127"/>
      <c r="Q258" s="55" t="str">
        <f>+IF(C258="","",IF(AND(H258&lt;&gt;"",I258="SI",J258&lt;&gt;"",J258&gt;0,K258&lt;&gt;"",K258&gt;0),"SI","NO"))</f>
        <v/>
      </c>
      <c r="S258" s="55" t="str">
        <f>+IF(C258&lt;&gt;"",IF(AND(M258="SI",N258="SI",Q258="SI"),"HÁBIL","NO HÁBIL"),"")</f>
        <v/>
      </c>
    </row>
    <row r="259" spans="1:20" ht="25.5" customHeight="1" thickBot="1" x14ac:dyDescent="0.25">
      <c r="A259" s="56">
        <f>+$B252</f>
        <v>28</v>
      </c>
      <c r="B259" s="57" t="str">
        <f>"A"&amp;B252</f>
        <v>A28</v>
      </c>
      <c r="C259" s="340" t="str">
        <f>+$C$16</f>
        <v>PROPONENTE HÁBIL / NO HÁBIL</v>
      </c>
      <c r="D259" s="341"/>
      <c r="E259" s="341"/>
      <c r="F259" s="341"/>
      <c r="G259" s="341"/>
      <c r="H259" s="342"/>
      <c r="I259" s="58" t="str">
        <f>IF(S255="","",IF(OR(S255="HÁBIL",S256="HÁBIL",S257="HÁBIL",S258="HÁBIL"),"HÁBIL","NO HÁBIL"))</f>
        <v>HÁBIL</v>
      </c>
      <c r="J259" s="59"/>
      <c r="K259" s="27"/>
      <c r="L259" s="27"/>
      <c r="M259" s="27"/>
      <c r="N259" s="60"/>
      <c r="O259" s="1"/>
      <c r="P259" s="61"/>
      <c r="Q259" s="61"/>
      <c r="R259" s="61"/>
      <c r="S259" s="61"/>
      <c r="T259" s="61"/>
    </row>
    <row r="260" spans="1:20" ht="12" thickBot="1" x14ac:dyDescent="0.25"/>
    <row r="261" spans="1:20" ht="36.75" customHeight="1" thickBot="1" x14ac:dyDescent="0.25">
      <c r="B261" s="23">
        <f>1+B252</f>
        <v>29</v>
      </c>
      <c r="C261" s="336" t="s">
        <v>926</v>
      </c>
      <c r="D261" s="337"/>
      <c r="E261" s="337"/>
      <c r="F261" s="337"/>
      <c r="G261" s="337"/>
      <c r="H261" s="337"/>
      <c r="I261" s="338"/>
      <c r="J261" s="24" t="str">
        <f>+IF(C261="","",$J$9)</f>
        <v>INTEGRANTES</v>
      </c>
      <c r="K261" s="339" t="s">
        <v>927</v>
      </c>
      <c r="L261" s="339"/>
      <c r="M261" s="339"/>
      <c r="N261" s="25">
        <f>+B261</f>
        <v>29</v>
      </c>
      <c r="O261" s="323" t="str">
        <f ca="1">+$O$9</f>
        <v>OBSERVACIONES</v>
      </c>
      <c r="Q261" s="325" t="str">
        <f ca="1">+$Q$9</f>
        <v>¿EL CONTRATO CUMPLE CON LOS REQUERIMIENTOS ADICIONALES DE EXPERIENCIA  EN EL PLIEGO?
 (INSCRIPCIÓN EN RUP - CÓDIGO UNSPSC - VALOR EN RUP - % DE PARTICIPACIÓN)
(SI / NO)</v>
      </c>
      <c r="S261" s="328" t="str">
        <f ca="1">+$S$9</f>
        <v>PROPONENTE HÁBIL/NO HÁBIL</v>
      </c>
    </row>
    <row r="262" spans="1:20" ht="42" customHeight="1" x14ac:dyDescent="0.2">
      <c r="B262" s="331" t="str">
        <f ca="1">+$B$10</f>
        <v>ITEM</v>
      </c>
      <c r="C262" s="318" t="str">
        <f ca="1">+$C$10</f>
        <v>PROPONENTE 
/ 
INTEGRANTE OFERENTE PLURAL</v>
      </c>
      <c r="D262" s="333" t="str">
        <f ca="1">+$D$10</f>
        <v>INFORMACIÓN DEL CONTRATO</v>
      </c>
      <c r="E262" s="334"/>
      <c r="F262" s="334"/>
      <c r="G262" s="335"/>
      <c r="H262" s="318" t="str">
        <f>+H253</f>
        <v>CONSECUTIVO RUP</v>
      </c>
      <c r="I262" s="318" t="str">
        <f ca="1">+$I$10</f>
        <v>¿SE ENCUENTRA INSCRITO EN EL RUP Y CUMPLE CÓDIGOS UNSPSC?</v>
      </c>
      <c r="J262" s="318" t="str">
        <f ca="1">+$J$10</f>
        <v xml:space="preserve">VALOR EN RUP (SMMLV) </v>
      </c>
      <c r="K262" s="318" t="str">
        <f ca="1">+$K$10</f>
        <v>% PARTIC en el RUP</v>
      </c>
      <c r="L262" s="318" t="str">
        <f ca="1">+$L$10</f>
        <v>VALOR DEL CONTRATO TERMINADO (SMMLV) en el   RUP</v>
      </c>
      <c r="M262" s="318" t="str">
        <f ca="1">+$M$10</f>
        <v>VALOR CERTIFICADO CONTRATO &gt; VEH</v>
      </c>
      <c r="N262" s="318" t="str">
        <f ca="1">+$N$10</f>
        <v>VALIDACIÓN DE OBJETO Y/O ALCANCE
(SI/NO)
(INTERVENTORIA DE OBRA CIVIL)</v>
      </c>
      <c r="O262" s="324"/>
      <c r="Q262" s="326"/>
      <c r="S262" s="329">
        <f ca="1">+$S$10</f>
        <v>0</v>
      </c>
    </row>
    <row r="263" spans="1:20" ht="38.25" customHeight="1" thickBot="1" x14ac:dyDescent="0.25">
      <c r="B263" s="332"/>
      <c r="C263" s="319"/>
      <c r="D263" s="26" t="str">
        <f ca="1">+$D$11</f>
        <v>ENTIDAD</v>
      </c>
      <c r="E263" s="26" t="str">
        <f ca="1">+$E$11</f>
        <v>No. DE CONTRATO</v>
      </c>
      <c r="F263" s="26" t="str">
        <f ca="1">+$F$11</f>
        <v>OBJETO</v>
      </c>
      <c r="G263" s="26" t="str">
        <f ca="1">+$G$11</f>
        <v>CONTRATISTA</v>
      </c>
      <c r="H263" s="319"/>
      <c r="I263" s="319"/>
      <c r="J263" s="319"/>
      <c r="K263" s="319"/>
      <c r="L263" s="319"/>
      <c r="M263" s="319"/>
      <c r="N263" s="319"/>
      <c r="O263" s="324"/>
      <c r="Q263" s="327"/>
      <c r="S263" s="330"/>
    </row>
    <row r="264" spans="1:20" s="27" customFormat="1" ht="71.25" customHeight="1" x14ac:dyDescent="0.2">
      <c r="A264" s="139"/>
      <c r="B264" s="140">
        <v>1</v>
      </c>
      <c r="C264" s="102" t="s">
        <v>141</v>
      </c>
      <c r="D264" s="102" t="s">
        <v>80</v>
      </c>
      <c r="E264" s="103" t="s">
        <v>142</v>
      </c>
      <c r="F264" s="103" t="s">
        <v>143</v>
      </c>
      <c r="G264" s="102" t="s">
        <v>144</v>
      </c>
      <c r="H264" s="104">
        <v>17</v>
      </c>
      <c r="I264" s="105" t="s">
        <v>16</v>
      </c>
      <c r="J264" s="106">
        <v>791.18</v>
      </c>
      <c r="K264" s="107">
        <v>1</v>
      </c>
      <c r="L264" s="34">
        <f>IF(OR(H264="",I264&lt;&gt;"SI",I264="NO",J264="",J264=0,K264="",K264=0,Q264&lt;&gt;"SI",N264&lt;&gt;"SI"),0,J264*K264)</f>
        <v>791.18</v>
      </c>
      <c r="M264" s="108" t="str">
        <f>+IF(C264&lt;&gt;"",IF(L264&gt;=$H$6,"SI","NO"),"")</f>
        <v>SI</v>
      </c>
      <c r="N264" s="129" t="s">
        <v>16</v>
      </c>
      <c r="O264" s="109"/>
      <c r="Q264" s="37" t="str">
        <f>+IF(C264="","",IF(AND(H264&lt;&gt;"",I264="SI",J264&lt;&gt;"",J264&gt;0,K264&lt;&gt;"",K264&gt;0),"SI","NO"))</f>
        <v>SI</v>
      </c>
      <c r="S264" s="37" t="str">
        <f>+IF(C264&lt;&gt;"",IF(AND(M264="SI",N264="SI",Q264="SI"),"HÁBIL","NO HÁBIL"),"")</f>
        <v>HÁBIL</v>
      </c>
    </row>
    <row r="265" spans="1:20" s="27" customFormat="1" ht="12.75" x14ac:dyDescent="0.2">
      <c r="A265" s="141"/>
      <c r="B265" s="142"/>
      <c r="C265" s="111"/>
      <c r="D265" s="111"/>
      <c r="E265" s="112"/>
      <c r="F265" s="112"/>
      <c r="G265" s="111"/>
      <c r="H265" s="113"/>
      <c r="I265" s="114"/>
      <c r="J265" s="115"/>
      <c r="K265" s="116"/>
      <c r="L265" s="44">
        <f t="shared" ref="L265:L267" si="28">IF(OR(H265="",I265&lt;&gt;"SI",I265="NO",J265="",J265=0,K265="",K265=0,Q265&lt;&gt;"SI",N265&lt;&gt;"SI"),0,J265*K265)</f>
        <v>0</v>
      </c>
      <c r="M265" s="117" t="str">
        <f>+IF(C265&lt;&gt;"",IF(L265&gt;=$H$6,"SI","NO"),"")</f>
        <v/>
      </c>
      <c r="N265" s="114"/>
      <c r="O265" s="118"/>
      <c r="Q265" s="37" t="str">
        <f>+IF(C265="","",IF(AND(H265&lt;&gt;"",I265="SI",J265&lt;&gt;"",J265&gt;0,K265&lt;&gt;"",K265&gt;0),"SI","NO"))</f>
        <v/>
      </c>
      <c r="S265" s="37" t="str">
        <f>+IF(C265&lt;&gt;"",IF(AND(M265="SI",N265="SI",Q265="SI"),"HÁBIL","NO HÁBIL"),"")</f>
        <v/>
      </c>
    </row>
    <row r="266" spans="1:20" s="27" customFormat="1" ht="12.75" x14ac:dyDescent="0.2">
      <c r="A266" s="141"/>
      <c r="B266" s="142"/>
      <c r="C266" s="111"/>
      <c r="D266" s="111"/>
      <c r="E266" s="112"/>
      <c r="F266" s="112"/>
      <c r="G266" s="111"/>
      <c r="H266" s="113"/>
      <c r="I266" s="114"/>
      <c r="J266" s="115"/>
      <c r="K266" s="116"/>
      <c r="L266" s="44">
        <f t="shared" si="28"/>
        <v>0</v>
      </c>
      <c r="M266" s="117" t="str">
        <f>+IF(C266&lt;&gt;"",IF(L266&gt;=$H$6,"SI","NO"),"")</f>
        <v/>
      </c>
      <c r="N266" s="114"/>
      <c r="O266" s="118"/>
      <c r="Q266" s="37" t="str">
        <f>+IF(C266="","",IF(AND(H266&lt;&gt;"",I266="SI",J266&lt;&gt;"",J266&gt;0,K266&lt;&gt;"",K266&gt;0),"SI","NO"))</f>
        <v/>
      </c>
      <c r="S266" s="37" t="str">
        <f>+IF(C266&lt;&gt;"",IF(AND(M266="SI",N266="SI",Q266="SI"),"HÁBIL","NO HÁBIL"),"")</f>
        <v/>
      </c>
    </row>
    <row r="267" spans="1:20" s="27" customFormat="1" ht="13.5" thickBot="1" x14ac:dyDescent="0.25">
      <c r="A267" s="143"/>
      <c r="B267" s="144"/>
      <c r="C267" s="120"/>
      <c r="D267" s="120"/>
      <c r="E267" s="121"/>
      <c r="F267" s="121"/>
      <c r="G267" s="120"/>
      <c r="H267" s="122"/>
      <c r="I267" s="123"/>
      <c r="J267" s="124"/>
      <c r="K267" s="125"/>
      <c r="L267" s="53">
        <f t="shared" si="28"/>
        <v>0</v>
      </c>
      <c r="M267" s="126" t="str">
        <f>+IF(C267&lt;&gt;"",IF(L267&gt;=$H$6,"SI","NO"),"")</f>
        <v/>
      </c>
      <c r="N267" s="123"/>
      <c r="O267" s="127"/>
      <c r="Q267" s="55" t="str">
        <f>+IF(C267="","",IF(AND(H267&lt;&gt;"",I267="SI",J267&lt;&gt;"",J267&gt;0,K267&lt;&gt;"",K267&gt;0),"SI","NO"))</f>
        <v/>
      </c>
      <c r="S267" s="55" t="str">
        <f>+IF(C267&lt;&gt;"",IF(AND(M267="SI",N267="SI",Q267="SI"),"HÁBIL","NO HÁBIL"),"")</f>
        <v/>
      </c>
    </row>
    <row r="268" spans="1:20" ht="22.5" customHeight="1" thickBot="1" x14ac:dyDescent="0.25">
      <c r="A268" s="56">
        <f>+$B261</f>
        <v>29</v>
      </c>
      <c r="B268" s="57" t="str">
        <f>"A"&amp;B261</f>
        <v>A29</v>
      </c>
      <c r="C268" s="340" t="str">
        <f>+$C$16</f>
        <v>PROPONENTE HÁBIL / NO HÁBIL</v>
      </c>
      <c r="D268" s="341"/>
      <c r="E268" s="341"/>
      <c r="F268" s="341"/>
      <c r="G268" s="341"/>
      <c r="H268" s="342"/>
      <c r="I268" s="58" t="str">
        <f>IF(S264="","",IF(OR(S264="HÁBIL",S265="HÁBIL",S266="HÁBIL",S267="HÁBIL"),"HÁBIL","NO HÁBIL"))</f>
        <v>HÁBIL</v>
      </c>
      <c r="J268" s="59"/>
      <c r="K268" s="27"/>
      <c r="L268" s="27"/>
      <c r="M268" s="27"/>
      <c r="N268" s="60"/>
      <c r="O268" s="1"/>
      <c r="P268" s="61"/>
      <c r="Q268" s="61"/>
      <c r="R268" s="61"/>
      <c r="S268" s="61"/>
      <c r="T268" s="61"/>
    </row>
    <row r="269" spans="1:20" ht="12" thickBot="1" x14ac:dyDescent="0.25"/>
    <row r="270" spans="1:20" ht="36.75" customHeight="1" thickBot="1" x14ac:dyDescent="0.25">
      <c r="B270" s="23">
        <f>1+B261</f>
        <v>30</v>
      </c>
      <c r="C270" s="336" t="s">
        <v>928</v>
      </c>
      <c r="D270" s="337"/>
      <c r="E270" s="337"/>
      <c r="F270" s="337"/>
      <c r="G270" s="337"/>
      <c r="H270" s="337"/>
      <c r="I270" s="338"/>
      <c r="J270" s="24" t="str">
        <f>+IF(C270="","",$J$9)</f>
        <v>INTEGRANTES</v>
      </c>
      <c r="K270" s="339" t="s">
        <v>929</v>
      </c>
      <c r="L270" s="339"/>
      <c r="M270" s="339"/>
      <c r="N270" s="25">
        <f>+B270</f>
        <v>30</v>
      </c>
      <c r="O270" s="323" t="str">
        <f ca="1">+$O$9</f>
        <v>OBSERVACIONES</v>
      </c>
      <c r="Q270" s="325" t="str">
        <f ca="1">+$Q$9</f>
        <v>¿EL CONTRATO CUMPLE CON LOS REQUERIMIENTOS ADICIONALES DE EXPERIENCIA  EN EL PLIEGO?
 (INSCRIPCIÓN EN RUP - CÓDIGO UNSPSC - VALOR EN RUP - % DE PARTICIPACIÓN)
(SI / NO)</v>
      </c>
      <c r="S270" s="328" t="str">
        <f ca="1">+$S$9</f>
        <v>PROPONENTE HÁBIL/NO HÁBIL</v>
      </c>
    </row>
    <row r="271" spans="1:20" ht="42" customHeight="1" x14ac:dyDescent="0.2">
      <c r="B271" s="331" t="str">
        <f ca="1">+$B$10</f>
        <v>ITEM</v>
      </c>
      <c r="C271" s="318" t="str">
        <f ca="1">+$C$10</f>
        <v>PROPONENTE 
/ 
INTEGRANTE OFERENTE PLURAL</v>
      </c>
      <c r="D271" s="333" t="str">
        <f ca="1">+$D$10</f>
        <v>INFORMACIÓN DEL CONTRATO</v>
      </c>
      <c r="E271" s="334"/>
      <c r="F271" s="334"/>
      <c r="G271" s="335"/>
      <c r="H271" s="318" t="str">
        <f>+H262</f>
        <v>CONSECUTIVO RUP</v>
      </c>
      <c r="I271" s="318" t="str">
        <f ca="1">+$I$10</f>
        <v>¿SE ENCUENTRA INSCRITO EN EL RUP Y CUMPLE CÓDIGOS UNSPSC?</v>
      </c>
      <c r="J271" s="318" t="str">
        <f ca="1">+$J$10</f>
        <v xml:space="preserve">VALOR EN RUP (SMMLV) </v>
      </c>
      <c r="K271" s="318" t="str">
        <f ca="1">+$K$10</f>
        <v>% PARTIC en el RUP</v>
      </c>
      <c r="L271" s="318" t="str">
        <f ca="1">+$L$10</f>
        <v>VALOR DEL CONTRATO TERMINADO (SMMLV) en el   RUP</v>
      </c>
      <c r="M271" s="318" t="str">
        <f ca="1">+$M$10</f>
        <v>VALOR CERTIFICADO CONTRATO &gt; VEH</v>
      </c>
      <c r="N271" s="318" t="str">
        <f ca="1">+$N$10</f>
        <v>VALIDACIÓN DE OBJETO Y/O ALCANCE
(SI/NO)
(INTERVENTORIA DE OBRA CIVIL)</v>
      </c>
      <c r="O271" s="324"/>
      <c r="Q271" s="326"/>
      <c r="S271" s="329">
        <f ca="1">+$S$10</f>
        <v>0</v>
      </c>
    </row>
    <row r="272" spans="1:20" ht="38.25" customHeight="1" thickBot="1" x14ac:dyDescent="0.25">
      <c r="B272" s="332"/>
      <c r="C272" s="319"/>
      <c r="D272" s="26" t="str">
        <f ca="1">+$D$11</f>
        <v>ENTIDAD</v>
      </c>
      <c r="E272" s="26" t="str">
        <f ca="1">+$E$11</f>
        <v>No. DE CONTRATO</v>
      </c>
      <c r="F272" s="26" t="str">
        <f ca="1">+$F$11</f>
        <v>OBJETO</v>
      </c>
      <c r="G272" s="26" t="str">
        <f ca="1">+$G$11</f>
        <v>CONTRATISTA</v>
      </c>
      <c r="H272" s="319"/>
      <c r="I272" s="319"/>
      <c r="J272" s="319"/>
      <c r="K272" s="319"/>
      <c r="L272" s="319"/>
      <c r="M272" s="319"/>
      <c r="N272" s="319"/>
      <c r="O272" s="324"/>
      <c r="Q272" s="327"/>
      <c r="S272" s="330"/>
    </row>
    <row r="273" spans="1:20" s="27" customFormat="1" ht="87.75" customHeight="1" x14ac:dyDescent="0.2">
      <c r="B273" s="101">
        <v>1</v>
      </c>
      <c r="C273" s="102" t="s">
        <v>145</v>
      </c>
      <c r="D273" s="102" t="s">
        <v>146</v>
      </c>
      <c r="E273" s="103" t="s">
        <v>147</v>
      </c>
      <c r="F273" s="103" t="s">
        <v>148</v>
      </c>
      <c r="G273" s="102" t="s">
        <v>149</v>
      </c>
      <c r="H273" s="104">
        <v>5</v>
      </c>
      <c r="I273" s="105" t="s">
        <v>16</v>
      </c>
      <c r="J273" s="106">
        <v>9467.49</v>
      </c>
      <c r="K273" s="107">
        <v>1</v>
      </c>
      <c r="L273" s="34">
        <f>IF(OR(H273="",I273&lt;&gt;"SI",I273="NO",J273="",J273=0,K273="",K273=0,Q273&lt;&gt;"SI",N273&lt;&gt;"SI"),0,J273*K273)</f>
        <v>9467.49</v>
      </c>
      <c r="M273" s="108" t="str">
        <f>+IF(C273&lt;&gt;"",IF(L273&gt;=$H$6,"SI","NO"),"")</f>
        <v>SI</v>
      </c>
      <c r="N273" s="129" t="s">
        <v>16</v>
      </c>
      <c r="O273" s="109"/>
      <c r="Q273" s="37" t="str">
        <f>+IF(C273="","",IF(AND(H273&lt;&gt;"",I273="SI",J273&lt;&gt;"",J273&gt;0,K273&lt;&gt;"",K273&gt;0),"SI","NO"))</f>
        <v>SI</v>
      </c>
      <c r="S273" s="37" t="str">
        <f>+IF(C273&lt;&gt;"",IF(AND(M273="SI",N273="SI",Q273="SI"),"HÁBIL","NO HÁBIL"),"")</f>
        <v>HÁBIL</v>
      </c>
    </row>
    <row r="274" spans="1:20" s="27" customFormat="1" ht="12.75" x14ac:dyDescent="0.2">
      <c r="B274" s="110"/>
      <c r="C274" s="111"/>
      <c r="D274" s="111"/>
      <c r="E274" s="112"/>
      <c r="F274" s="112"/>
      <c r="G274" s="111"/>
      <c r="H274" s="113"/>
      <c r="I274" s="114"/>
      <c r="J274" s="115"/>
      <c r="K274" s="116"/>
      <c r="L274" s="44">
        <f t="shared" ref="L274:L276" si="29">IF(OR(H274="",I274&lt;&gt;"SI",I274="NO",J274="",J274=0,K274="",K274=0,Q274&lt;&gt;"SI",N274&lt;&gt;"SI"),0,J274*K274)</f>
        <v>0</v>
      </c>
      <c r="M274" s="117" t="str">
        <f>+IF(C274&lt;&gt;"",IF(L274&gt;=$H$6,"SI","NO"),"")</f>
        <v/>
      </c>
      <c r="N274" s="114"/>
      <c r="O274" s="118"/>
      <c r="Q274" s="37" t="str">
        <f>+IF(C274="","",IF(AND(H274&lt;&gt;"",I274="SI",J274&lt;&gt;"",J274&gt;0,K274&lt;&gt;"",K274&gt;0),"SI","NO"))</f>
        <v/>
      </c>
      <c r="S274" s="37" t="str">
        <f>+IF(C274&lt;&gt;"",IF(AND(M274="SI",N274="SI",Q274="SI"),"HÁBIL","NO HÁBIL"),"")</f>
        <v/>
      </c>
    </row>
    <row r="275" spans="1:20" s="27" customFormat="1" ht="12.75" x14ac:dyDescent="0.2">
      <c r="B275" s="110"/>
      <c r="C275" s="111"/>
      <c r="D275" s="111"/>
      <c r="E275" s="112"/>
      <c r="F275" s="112"/>
      <c r="G275" s="111"/>
      <c r="H275" s="113"/>
      <c r="I275" s="114"/>
      <c r="J275" s="115"/>
      <c r="K275" s="116"/>
      <c r="L275" s="44">
        <f t="shared" si="29"/>
        <v>0</v>
      </c>
      <c r="M275" s="117" t="str">
        <f>+IF(C275&lt;&gt;"",IF(L275&gt;=$H$6,"SI","NO"),"")</f>
        <v/>
      </c>
      <c r="N275" s="114"/>
      <c r="O275" s="118"/>
      <c r="Q275" s="37" t="str">
        <f>+IF(C275="","",IF(AND(H275&lt;&gt;"",I275="SI",J275&lt;&gt;"",J275&gt;0,K275&lt;&gt;"",K275&gt;0),"SI","NO"))</f>
        <v/>
      </c>
      <c r="S275" s="37" t="str">
        <f>+IF(C275&lt;&gt;"",IF(AND(M275="SI",N275="SI",Q275="SI"),"HÁBIL","NO HÁBIL"),"")</f>
        <v/>
      </c>
    </row>
    <row r="276" spans="1:20" s="27" customFormat="1" ht="13.5" thickBot="1" x14ac:dyDescent="0.25">
      <c r="B276" s="119"/>
      <c r="C276" s="120"/>
      <c r="D276" s="120"/>
      <c r="E276" s="121"/>
      <c r="F276" s="121"/>
      <c r="G276" s="120"/>
      <c r="H276" s="122"/>
      <c r="I276" s="123"/>
      <c r="J276" s="124"/>
      <c r="K276" s="125"/>
      <c r="L276" s="53">
        <f t="shared" si="29"/>
        <v>0</v>
      </c>
      <c r="M276" s="126" t="str">
        <f>+IF(C276&lt;&gt;"",IF(L276&gt;=$H$6,"SI","NO"),"")</f>
        <v/>
      </c>
      <c r="N276" s="123"/>
      <c r="O276" s="127"/>
      <c r="Q276" s="55" t="str">
        <f>+IF(C276="","",IF(AND(H276&lt;&gt;"",I276="SI",J276&lt;&gt;"",J276&gt;0,K276&lt;&gt;"",K276&gt;0),"SI","NO"))</f>
        <v/>
      </c>
      <c r="S276" s="55" t="str">
        <f>+IF(C276&lt;&gt;"",IF(AND(M276="SI",N276="SI",Q276="SI"),"HÁBIL","NO HÁBIL"),"")</f>
        <v/>
      </c>
    </row>
    <row r="277" spans="1:20" ht="24.75" customHeight="1" thickBot="1" x14ac:dyDescent="0.25">
      <c r="A277" s="56">
        <f>+$B270</f>
        <v>30</v>
      </c>
      <c r="B277" s="57" t="str">
        <f>"A"&amp;B270</f>
        <v>A30</v>
      </c>
      <c r="C277" s="340" t="str">
        <f>+$C$16</f>
        <v>PROPONENTE HÁBIL / NO HÁBIL</v>
      </c>
      <c r="D277" s="341"/>
      <c r="E277" s="341"/>
      <c r="F277" s="341"/>
      <c r="G277" s="341"/>
      <c r="H277" s="342"/>
      <c r="I277" s="58" t="str">
        <f>IF(S273="","",IF(OR(S273="HÁBIL",S274="HÁBIL",S275="HÁBIL",S276="HÁBIL"),"HÁBIL","NO HÁBIL"))</f>
        <v>HÁBIL</v>
      </c>
      <c r="J277" s="59"/>
      <c r="K277" s="27"/>
      <c r="L277" s="27"/>
      <c r="M277" s="27"/>
      <c r="N277" s="60"/>
      <c r="O277" s="1"/>
      <c r="P277" s="61"/>
      <c r="Q277" s="61"/>
      <c r="R277" s="61"/>
      <c r="S277" s="61"/>
      <c r="T277" s="61"/>
    </row>
    <row r="278" spans="1:20" ht="12" thickBot="1" x14ac:dyDescent="0.25"/>
    <row r="279" spans="1:20" ht="34.5" customHeight="1" thickBot="1" x14ac:dyDescent="0.25">
      <c r="B279" s="23">
        <f>1+B270</f>
        <v>31</v>
      </c>
      <c r="C279" s="336" t="s">
        <v>150</v>
      </c>
      <c r="D279" s="337"/>
      <c r="E279" s="337"/>
      <c r="F279" s="337"/>
      <c r="G279" s="337"/>
      <c r="H279" s="337"/>
      <c r="I279" s="338"/>
      <c r="J279" s="24" t="str">
        <f>+IF(C279="","",$J$9)</f>
        <v>INTEGRANTES</v>
      </c>
      <c r="K279" s="339" t="s">
        <v>890</v>
      </c>
      <c r="L279" s="339"/>
      <c r="M279" s="339"/>
      <c r="N279" s="25">
        <f>+B279</f>
        <v>31</v>
      </c>
      <c r="O279" s="323" t="str">
        <f ca="1">+$O$9</f>
        <v>OBSERVACIONES</v>
      </c>
      <c r="Q279" s="325" t="str">
        <f ca="1">+$Q$9</f>
        <v>¿EL CONTRATO CUMPLE CON LOS REQUERIMIENTOS ADICIONALES DE EXPERIENCIA  EN EL PLIEGO?
 (INSCRIPCIÓN EN RUP - CÓDIGO UNSPSC - VALOR EN RUP - % DE PARTICIPACIÓN)
(SI / NO)</v>
      </c>
      <c r="S279" s="328" t="str">
        <f ca="1">+$S$9</f>
        <v>PROPONENTE HÁBIL/NO HÁBIL</v>
      </c>
    </row>
    <row r="280" spans="1:20" ht="42" customHeight="1" x14ac:dyDescent="0.2">
      <c r="B280" s="331" t="str">
        <f ca="1">+$B$10</f>
        <v>ITEM</v>
      </c>
      <c r="C280" s="318" t="str">
        <f ca="1">+$C$10</f>
        <v>PROPONENTE 
/ 
INTEGRANTE OFERENTE PLURAL</v>
      </c>
      <c r="D280" s="333" t="str">
        <f ca="1">+$D$10</f>
        <v>INFORMACIÓN DEL CONTRATO</v>
      </c>
      <c r="E280" s="334"/>
      <c r="F280" s="334"/>
      <c r="G280" s="335"/>
      <c r="H280" s="318" t="str">
        <f>+H271</f>
        <v>CONSECUTIVO RUP</v>
      </c>
      <c r="I280" s="318" t="str">
        <f ca="1">+$I$10</f>
        <v>¿SE ENCUENTRA INSCRITO EN EL RUP Y CUMPLE CÓDIGOS UNSPSC?</v>
      </c>
      <c r="J280" s="318" t="str">
        <f ca="1">+$J$10</f>
        <v xml:space="preserve">VALOR EN RUP (SMMLV) </v>
      </c>
      <c r="K280" s="318" t="str">
        <f ca="1">+$K$10</f>
        <v>% PARTIC en el RUP</v>
      </c>
      <c r="L280" s="318" t="str">
        <f ca="1">+$L$10</f>
        <v>VALOR DEL CONTRATO TERMINADO (SMMLV) en el   RUP</v>
      </c>
      <c r="M280" s="318" t="str">
        <f ca="1">+$M$10</f>
        <v>VALOR CERTIFICADO CONTRATO &gt; VEH</v>
      </c>
      <c r="N280" s="318" t="str">
        <f ca="1">+$N$10</f>
        <v>VALIDACIÓN DE OBJETO Y/O ALCANCE
(SI/NO)
(INTERVENTORIA DE OBRA CIVIL)</v>
      </c>
      <c r="O280" s="324"/>
      <c r="Q280" s="326"/>
      <c r="S280" s="329">
        <f ca="1">+$S$10</f>
        <v>0</v>
      </c>
    </row>
    <row r="281" spans="1:20" ht="38.25" customHeight="1" thickBot="1" x14ac:dyDescent="0.25">
      <c r="B281" s="332"/>
      <c r="C281" s="319"/>
      <c r="D281" s="26" t="str">
        <f ca="1">+$D$11</f>
        <v>ENTIDAD</v>
      </c>
      <c r="E281" s="26" t="str">
        <f ca="1">+$E$11</f>
        <v>No. DE CONTRATO</v>
      </c>
      <c r="F281" s="26" t="str">
        <f ca="1">+$F$11</f>
        <v>OBJETO</v>
      </c>
      <c r="G281" s="26" t="str">
        <f ca="1">+$G$11</f>
        <v>CONTRATISTA</v>
      </c>
      <c r="H281" s="319"/>
      <c r="I281" s="319"/>
      <c r="J281" s="319"/>
      <c r="K281" s="319"/>
      <c r="L281" s="319"/>
      <c r="M281" s="319"/>
      <c r="N281" s="319"/>
      <c r="O281" s="324"/>
      <c r="Q281" s="327"/>
      <c r="S281" s="330"/>
    </row>
    <row r="282" spans="1:20" s="27" customFormat="1" ht="66.75" customHeight="1" x14ac:dyDescent="0.2">
      <c r="B282" s="101">
        <v>1</v>
      </c>
      <c r="C282" s="102" t="s">
        <v>150</v>
      </c>
      <c r="D282" s="102" t="s">
        <v>117</v>
      </c>
      <c r="E282" s="103">
        <v>2120422</v>
      </c>
      <c r="F282" s="103" t="s">
        <v>151</v>
      </c>
      <c r="G282" s="102" t="s">
        <v>152</v>
      </c>
      <c r="H282" s="104">
        <v>64</v>
      </c>
      <c r="I282" s="105" t="s">
        <v>16</v>
      </c>
      <c r="J282" s="106">
        <v>2704.64</v>
      </c>
      <c r="K282" s="107">
        <v>1</v>
      </c>
      <c r="L282" s="34">
        <f>IF(OR(H282="",I282&lt;&gt;"SI",I282="NO",J282="",J282=0,K282="",K282=0,Q282&lt;&gt;"SI",N282&lt;&gt;"SI"),0,J282*K282)</f>
        <v>2704.64</v>
      </c>
      <c r="M282" s="108" t="str">
        <f>+IF(C282&lt;&gt;"",IF(L282&gt;=$H$6,"SI","NO"),"")</f>
        <v>SI</v>
      </c>
      <c r="N282" s="129" t="s">
        <v>16</v>
      </c>
      <c r="O282" s="109"/>
      <c r="Q282" s="37" t="str">
        <f>+IF(C282="","",IF(AND(H282&lt;&gt;"",I282="SI",J282&lt;&gt;"",J282&gt;0,K282&lt;&gt;"",K282&gt;0),"SI","NO"))</f>
        <v>SI</v>
      </c>
      <c r="S282" s="37" t="str">
        <f>+IF(C282&lt;&gt;"",IF(AND(M282="SI",N282="SI",Q282="SI"),"HÁBIL","NO HÁBIL"),"")</f>
        <v>HÁBIL</v>
      </c>
    </row>
    <row r="283" spans="1:20" s="27" customFormat="1" ht="12.75" x14ac:dyDescent="0.2">
      <c r="B283" s="110"/>
      <c r="C283" s="111"/>
      <c r="D283" s="111"/>
      <c r="E283" s="112"/>
      <c r="F283" s="112"/>
      <c r="G283" s="111"/>
      <c r="H283" s="113"/>
      <c r="I283" s="114"/>
      <c r="J283" s="115"/>
      <c r="K283" s="116"/>
      <c r="L283" s="44">
        <f t="shared" ref="L283:L285" si="30">IF(OR(H283="",I283&lt;&gt;"SI",I283="NO",J283="",J283=0,K283="",K283=0,Q283&lt;&gt;"SI",N283&lt;&gt;"SI"),0,J283*K283)</f>
        <v>0</v>
      </c>
      <c r="M283" s="117" t="str">
        <f>+IF(C283&lt;&gt;"",IF(L283&gt;=$H$6,"SI","NO"),"")</f>
        <v/>
      </c>
      <c r="N283" s="114"/>
      <c r="O283" s="118"/>
      <c r="Q283" s="37" t="str">
        <f>+IF(C283="","",IF(AND(H283&lt;&gt;"",I283="SI",J283&lt;&gt;"",J283&gt;0,K283&lt;&gt;"",K283&gt;0),"SI","NO"))</f>
        <v/>
      </c>
      <c r="S283" s="37" t="str">
        <f>+IF(C283&lt;&gt;"",IF(AND(M283="SI",N283="SI",Q283="SI"),"HÁBIL","NO HÁBIL"),"")</f>
        <v/>
      </c>
    </row>
    <row r="284" spans="1:20" s="27" customFormat="1" ht="12.75" x14ac:dyDescent="0.2">
      <c r="B284" s="110"/>
      <c r="C284" s="111"/>
      <c r="D284" s="111"/>
      <c r="E284" s="112"/>
      <c r="F284" s="112"/>
      <c r="G284" s="111"/>
      <c r="H284" s="113"/>
      <c r="I284" s="114"/>
      <c r="J284" s="115"/>
      <c r="K284" s="116"/>
      <c r="L284" s="44">
        <f t="shared" si="30"/>
        <v>0</v>
      </c>
      <c r="M284" s="117" t="str">
        <f>+IF(C284&lt;&gt;"",IF(L284&gt;=$H$6,"SI","NO"),"")</f>
        <v/>
      </c>
      <c r="N284" s="114"/>
      <c r="O284" s="118"/>
      <c r="Q284" s="37" t="str">
        <f>+IF(C284="","",IF(AND(H284&lt;&gt;"",I284="SI",J284&lt;&gt;"",J284&gt;0,K284&lt;&gt;"",K284&gt;0),"SI","NO"))</f>
        <v/>
      </c>
      <c r="S284" s="37" t="str">
        <f>+IF(C284&lt;&gt;"",IF(AND(M284="SI",N284="SI",Q284="SI"),"HÁBIL","NO HÁBIL"),"")</f>
        <v/>
      </c>
    </row>
    <row r="285" spans="1:20" s="27" customFormat="1" ht="13.5" thickBot="1" x14ac:dyDescent="0.25">
      <c r="B285" s="119"/>
      <c r="C285" s="120"/>
      <c r="D285" s="120"/>
      <c r="E285" s="121"/>
      <c r="F285" s="121"/>
      <c r="G285" s="120"/>
      <c r="H285" s="122"/>
      <c r="I285" s="123"/>
      <c r="J285" s="124"/>
      <c r="K285" s="125"/>
      <c r="L285" s="53">
        <f t="shared" si="30"/>
        <v>0</v>
      </c>
      <c r="M285" s="126" t="str">
        <f>+IF(C285&lt;&gt;"",IF(L285&gt;=$H$6,"SI","NO"),"")</f>
        <v/>
      </c>
      <c r="N285" s="123"/>
      <c r="O285" s="127"/>
      <c r="Q285" s="55" t="str">
        <f>+IF(C285="","",IF(AND(H285&lt;&gt;"",I285="SI",J285&lt;&gt;"",J285&gt;0,K285&lt;&gt;"",K285&gt;0),"SI","NO"))</f>
        <v/>
      </c>
      <c r="S285" s="55" t="str">
        <f>+IF(C285&lt;&gt;"",IF(AND(M285="SI",N285="SI",Q285="SI"),"HÁBIL","NO HÁBIL"),"")</f>
        <v/>
      </c>
    </row>
    <row r="286" spans="1:20" ht="24.75" customHeight="1" thickBot="1" x14ac:dyDescent="0.25">
      <c r="A286" s="56">
        <f>+$B279</f>
        <v>31</v>
      </c>
      <c r="B286" s="57" t="str">
        <f>"A"&amp;B279</f>
        <v>A31</v>
      </c>
      <c r="C286" s="340" t="str">
        <f>+$C$16</f>
        <v>PROPONENTE HÁBIL / NO HÁBIL</v>
      </c>
      <c r="D286" s="341"/>
      <c r="E286" s="341"/>
      <c r="F286" s="341"/>
      <c r="G286" s="341"/>
      <c r="H286" s="342"/>
      <c r="I286" s="58" t="str">
        <f>IF(S282="","",IF(OR(S282="HÁBIL",S283="HÁBIL",S284="HÁBIL",S285="HÁBIL"),"HÁBIL","NO HÁBIL"))</f>
        <v>HÁBIL</v>
      </c>
      <c r="J286" s="59"/>
      <c r="K286" s="27"/>
      <c r="L286" s="27"/>
      <c r="M286" s="27"/>
      <c r="N286" s="60"/>
      <c r="O286" s="1"/>
      <c r="P286" s="61"/>
      <c r="Q286" s="61"/>
      <c r="R286" s="61"/>
      <c r="S286" s="61"/>
      <c r="T286" s="61"/>
    </row>
    <row r="287" spans="1:20" ht="12" thickBot="1" x14ac:dyDescent="0.25"/>
    <row r="288" spans="1:20" ht="62.25" customHeight="1" thickBot="1" x14ac:dyDescent="0.25">
      <c r="B288" s="23">
        <f>1+B279</f>
        <v>32</v>
      </c>
      <c r="C288" s="336" t="s">
        <v>930</v>
      </c>
      <c r="D288" s="337"/>
      <c r="E288" s="337"/>
      <c r="F288" s="337"/>
      <c r="G288" s="337"/>
      <c r="H288" s="337"/>
      <c r="I288" s="338"/>
      <c r="J288" s="24" t="str">
        <f>+IF(C288="","",$J$9)</f>
        <v>INTEGRANTES</v>
      </c>
      <c r="K288" s="339" t="s">
        <v>931</v>
      </c>
      <c r="L288" s="339"/>
      <c r="M288" s="339"/>
      <c r="N288" s="25">
        <f>+B288</f>
        <v>32</v>
      </c>
      <c r="O288" s="323" t="str">
        <f ca="1">+$O$9</f>
        <v>OBSERVACIONES</v>
      </c>
      <c r="Q288" s="325" t="str">
        <f ca="1">+$Q$9</f>
        <v>¿EL CONTRATO CUMPLE CON LOS REQUERIMIENTOS ADICIONALES DE EXPERIENCIA  EN EL PLIEGO?
 (INSCRIPCIÓN EN RUP - CÓDIGO UNSPSC - VALOR EN RUP - % DE PARTICIPACIÓN)
(SI / NO)</v>
      </c>
      <c r="S288" s="328" t="str">
        <f ca="1">+$S$9</f>
        <v>PROPONENTE HÁBIL/NO HÁBIL</v>
      </c>
    </row>
    <row r="289" spans="1:20" ht="42" customHeight="1" x14ac:dyDescent="0.2">
      <c r="B289" s="331" t="str">
        <f ca="1">+$B$10</f>
        <v>ITEM</v>
      </c>
      <c r="C289" s="318" t="str">
        <f ca="1">+$C$10</f>
        <v>PROPONENTE 
/ 
INTEGRANTE OFERENTE PLURAL</v>
      </c>
      <c r="D289" s="333" t="str">
        <f ca="1">+$D$10</f>
        <v>INFORMACIÓN DEL CONTRATO</v>
      </c>
      <c r="E289" s="334"/>
      <c r="F289" s="334"/>
      <c r="G289" s="335"/>
      <c r="H289" s="318" t="str">
        <f>+H280</f>
        <v>CONSECUTIVO RUP</v>
      </c>
      <c r="I289" s="318" t="str">
        <f ca="1">+$I$10</f>
        <v>¿SE ENCUENTRA INSCRITO EN EL RUP Y CUMPLE CÓDIGOS UNSPSC?</v>
      </c>
      <c r="J289" s="318" t="str">
        <f ca="1">+$J$10</f>
        <v xml:space="preserve">VALOR EN RUP (SMMLV) </v>
      </c>
      <c r="K289" s="318" t="str">
        <f ca="1">+$K$10</f>
        <v>% PARTIC en el RUP</v>
      </c>
      <c r="L289" s="318" t="str">
        <f ca="1">+$L$10</f>
        <v>VALOR DEL CONTRATO TERMINADO (SMMLV) en el   RUP</v>
      </c>
      <c r="M289" s="318" t="str">
        <f ca="1">+$M$10</f>
        <v>VALOR CERTIFICADO CONTRATO &gt; VEH</v>
      </c>
      <c r="N289" s="318" t="str">
        <f ca="1">+$N$10</f>
        <v>VALIDACIÓN DE OBJETO Y/O ALCANCE
(SI/NO)
(INTERVENTORIA DE OBRA CIVIL)</v>
      </c>
      <c r="O289" s="324"/>
      <c r="Q289" s="326"/>
      <c r="S289" s="329">
        <f ca="1">+$S$10</f>
        <v>0</v>
      </c>
    </row>
    <row r="290" spans="1:20" ht="38.25" customHeight="1" thickBot="1" x14ac:dyDescent="0.25">
      <c r="B290" s="332"/>
      <c r="C290" s="319"/>
      <c r="D290" s="26" t="str">
        <f ca="1">+$D$11</f>
        <v>ENTIDAD</v>
      </c>
      <c r="E290" s="26" t="str">
        <f ca="1">+$E$11</f>
        <v>No. DE CONTRATO</v>
      </c>
      <c r="F290" s="26" t="str">
        <f ca="1">+$F$11</f>
        <v>OBJETO</v>
      </c>
      <c r="G290" s="26" t="str">
        <f ca="1">+$G$11</f>
        <v>CONTRATISTA</v>
      </c>
      <c r="H290" s="319"/>
      <c r="I290" s="319"/>
      <c r="J290" s="319"/>
      <c r="K290" s="319"/>
      <c r="L290" s="319"/>
      <c r="M290" s="319"/>
      <c r="N290" s="319"/>
      <c r="O290" s="324"/>
      <c r="Q290" s="327"/>
      <c r="S290" s="330"/>
    </row>
    <row r="291" spans="1:20" s="27" customFormat="1" ht="221.25" customHeight="1" x14ac:dyDescent="0.2">
      <c r="B291" s="101">
        <v>1</v>
      </c>
      <c r="C291" s="102" t="s">
        <v>153</v>
      </c>
      <c r="D291" s="102" t="s">
        <v>154</v>
      </c>
      <c r="E291" s="103" t="s">
        <v>155</v>
      </c>
      <c r="F291" s="103" t="s">
        <v>156</v>
      </c>
      <c r="G291" s="102" t="s">
        <v>157</v>
      </c>
      <c r="H291" s="104">
        <v>135</v>
      </c>
      <c r="I291" s="105" t="s">
        <v>16</v>
      </c>
      <c r="J291" s="106">
        <v>12111.58</v>
      </c>
      <c r="K291" s="107">
        <v>0.49</v>
      </c>
      <c r="L291" s="34">
        <f>IF(OR(H291="",I291&lt;&gt;"SI",I291="NO",J291="",J291=0,K291="",K291=0,Q291&lt;&gt;"SI",N291&lt;&gt;"SI"),0,J291*K291)</f>
        <v>5934.6741999999995</v>
      </c>
      <c r="M291" s="108" t="str">
        <f>+IF(C291&lt;&gt;"",IF(L291&gt;=$H$6,"SI","NO"),"")</f>
        <v>SI</v>
      </c>
      <c r="N291" s="129" t="s">
        <v>16</v>
      </c>
      <c r="O291" s="109"/>
      <c r="Q291" s="37" t="str">
        <f>+IF(C291="","",IF(AND(H291&lt;&gt;"",I291="SI",J291&lt;&gt;"",J291&gt;0,K291&lt;&gt;"",K291&gt;0),"SI","NO"))</f>
        <v>SI</v>
      </c>
      <c r="S291" s="37" t="str">
        <f>+IF(C291&lt;&gt;"",IF(AND(M291="SI",N291="SI",Q291="SI"),"HÁBIL","NO HÁBIL"),"")</f>
        <v>HÁBIL</v>
      </c>
    </row>
    <row r="292" spans="1:20" s="27" customFormat="1" ht="12.75" x14ac:dyDescent="0.2">
      <c r="B292" s="110"/>
      <c r="C292" s="111"/>
      <c r="D292" s="111"/>
      <c r="E292" s="112"/>
      <c r="F292" s="112"/>
      <c r="G292" s="111"/>
      <c r="H292" s="113"/>
      <c r="I292" s="114"/>
      <c r="J292" s="115"/>
      <c r="K292" s="116"/>
      <c r="L292" s="44">
        <f t="shared" ref="L292:L294" si="31">IF(OR(H292="",I292&lt;&gt;"SI",I292="NO",J292="",J292=0,K292="",K292=0,Q292&lt;&gt;"SI",N292&lt;&gt;"SI"),0,J292*K292)</f>
        <v>0</v>
      </c>
      <c r="M292" s="117" t="str">
        <f>+IF(C292&lt;&gt;"",IF(L292&gt;=$H$6,"SI","NO"),"")</f>
        <v/>
      </c>
      <c r="N292" s="114"/>
      <c r="O292" s="118"/>
      <c r="Q292" s="37" t="str">
        <f>+IF(C292="","",IF(AND(H292&lt;&gt;"",I292="SI",J292&lt;&gt;"",J292&gt;0,K292&lt;&gt;"",K292&gt;0),"SI","NO"))</f>
        <v/>
      </c>
      <c r="S292" s="37" t="str">
        <f>+IF(C292&lt;&gt;"",IF(AND(M292="SI",N292="SI",Q292="SI"),"HÁBIL","NO HÁBIL"),"")</f>
        <v/>
      </c>
    </row>
    <row r="293" spans="1:20" s="27" customFormat="1" ht="12.75" x14ac:dyDescent="0.2">
      <c r="B293" s="110"/>
      <c r="C293" s="111"/>
      <c r="D293" s="111"/>
      <c r="E293" s="112"/>
      <c r="F293" s="112"/>
      <c r="G293" s="111"/>
      <c r="H293" s="113"/>
      <c r="I293" s="114"/>
      <c r="J293" s="115"/>
      <c r="K293" s="116"/>
      <c r="L293" s="44">
        <f t="shared" si="31"/>
        <v>0</v>
      </c>
      <c r="M293" s="117" t="str">
        <f>+IF(C293&lt;&gt;"",IF(L293&gt;=$H$6,"SI","NO"),"")</f>
        <v/>
      </c>
      <c r="N293" s="114"/>
      <c r="O293" s="118"/>
      <c r="Q293" s="37" t="str">
        <f>+IF(C293="","",IF(AND(H293&lt;&gt;"",I293="SI",J293&lt;&gt;"",J293&gt;0,K293&lt;&gt;"",K293&gt;0),"SI","NO"))</f>
        <v/>
      </c>
      <c r="S293" s="37" t="str">
        <f>+IF(C293&lt;&gt;"",IF(AND(M293="SI",N293="SI",Q293="SI"),"HÁBIL","NO HÁBIL"),"")</f>
        <v/>
      </c>
    </row>
    <row r="294" spans="1:20" s="27" customFormat="1" ht="13.5" thickBot="1" x14ac:dyDescent="0.25">
      <c r="B294" s="119"/>
      <c r="C294" s="120"/>
      <c r="D294" s="120"/>
      <c r="E294" s="121"/>
      <c r="F294" s="121"/>
      <c r="G294" s="120"/>
      <c r="H294" s="122"/>
      <c r="I294" s="123"/>
      <c r="J294" s="124"/>
      <c r="K294" s="125"/>
      <c r="L294" s="53">
        <f t="shared" si="31"/>
        <v>0</v>
      </c>
      <c r="M294" s="126" t="str">
        <f>+IF(C294&lt;&gt;"",IF(L294&gt;=$H$6,"SI","NO"),"")</f>
        <v/>
      </c>
      <c r="N294" s="123"/>
      <c r="O294" s="127"/>
      <c r="Q294" s="55" t="str">
        <f>+IF(C294="","",IF(AND(H294&lt;&gt;"",I294="SI",J294&lt;&gt;"",J294&gt;0,K294&lt;&gt;"",K294&gt;0),"SI","NO"))</f>
        <v/>
      </c>
      <c r="S294" s="55" t="str">
        <f>+IF(C294&lt;&gt;"",IF(AND(M294="SI",N294="SI",Q294="SI"),"HÁBIL","NO HÁBIL"),"")</f>
        <v/>
      </c>
    </row>
    <row r="295" spans="1:20" ht="22.5" customHeight="1" thickBot="1" x14ac:dyDescent="0.25">
      <c r="A295" s="56">
        <f>+$B288</f>
        <v>32</v>
      </c>
      <c r="B295" s="57" t="str">
        <f>"A"&amp;B288</f>
        <v>A32</v>
      </c>
      <c r="C295" s="340" t="str">
        <f>+$C$16</f>
        <v>PROPONENTE HÁBIL / NO HÁBIL</v>
      </c>
      <c r="D295" s="341"/>
      <c r="E295" s="341"/>
      <c r="F295" s="341"/>
      <c r="G295" s="341"/>
      <c r="H295" s="342"/>
      <c r="I295" s="58" t="str">
        <f>IF(S291="","",IF(OR(S291="HÁBIL",S292="HÁBIL",S293="HÁBIL",S294="HÁBIL"),"HÁBIL","NO HÁBIL"))</f>
        <v>HÁBIL</v>
      </c>
      <c r="J295" s="59"/>
      <c r="K295" s="27"/>
      <c r="L295" s="27"/>
      <c r="M295" s="27"/>
      <c r="N295" s="60"/>
      <c r="O295" s="1"/>
      <c r="P295" s="61"/>
      <c r="Q295" s="61"/>
      <c r="R295" s="61"/>
      <c r="S295" s="61"/>
      <c r="T295" s="61"/>
    </row>
    <row r="296" spans="1:20" ht="12" thickBot="1" x14ac:dyDescent="0.25"/>
    <row r="297" spans="1:20" ht="36.75" customHeight="1" thickBot="1" x14ac:dyDescent="0.25">
      <c r="B297" s="23">
        <f>1+B288</f>
        <v>33</v>
      </c>
      <c r="C297" s="336" t="s">
        <v>158</v>
      </c>
      <c r="D297" s="337"/>
      <c r="E297" s="337"/>
      <c r="F297" s="337"/>
      <c r="G297" s="337"/>
      <c r="H297" s="337"/>
      <c r="I297" s="338"/>
      <c r="J297" s="24" t="str">
        <f>+IF(C297="","",$J$9)</f>
        <v>INTEGRANTES</v>
      </c>
      <c r="K297" s="339" t="s">
        <v>890</v>
      </c>
      <c r="L297" s="339"/>
      <c r="M297" s="339"/>
      <c r="N297" s="25">
        <f>+B297</f>
        <v>33</v>
      </c>
      <c r="O297" s="323" t="str">
        <f ca="1">+$O$9</f>
        <v>OBSERVACIONES</v>
      </c>
      <c r="Q297" s="325" t="str">
        <f ca="1">+$Q$9</f>
        <v>¿EL CONTRATO CUMPLE CON LOS REQUERIMIENTOS ADICIONALES DE EXPERIENCIA  EN EL PLIEGO?
 (INSCRIPCIÓN EN RUP - CÓDIGO UNSPSC - VALOR EN RUP - % DE PARTICIPACIÓN)
(SI / NO)</v>
      </c>
      <c r="S297" s="328" t="str">
        <f ca="1">+$S$9</f>
        <v>PROPONENTE HÁBIL/NO HÁBIL</v>
      </c>
    </row>
    <row r="298" spans="1:20" ht="42" customHeight="1" x14ac:dyDescent="0.2">
      <c r="B298" s="331" t="str">
        <f ca="1">+$B$10</f>
        <v>ITEM</v>
      </c>
      <c r="C298" s="318" t="str">
        <f ca="1">+$C$10</f>
        <v>PROPONENTE 
/ 
INTEGRANTE OFERENTE PLURAL</v>
      </c>
      <c r="D298" s="333" t="str">
        <f ca="1">+$D$10</f>
        <v>INFORMACIÓN DEL CONTRATO</v>
      </c>
      <c r="E298" s="334"/>
      <c r="F298" s="334"/>
      <c r="G298" s="335"/>
      <c r="H298" s="318" t="str">
        <f>+H289</f>
        <v>CONSECUTIVO RUP</v>
      </c>
      <c r="I298" s="318" t="str">
        <f ca="1">+$I$10</f>
        <v>¿SE ENCUENTRA INSCRITO EN EL RUP Y CUMPLE CÓDIGOS UNSPSC?</v>
      </c>
      <c r="J298" s="318" t="str">
        <f ca="1">+$J$10</f>
        <v xml:space="preserve">VALOR EN RUP (SMMLV) </v>
      </c>
      <c r="K298" s="318" t="str">
        <f ca="1">+$K$10</f>
        <v>% PARTIC en el RUP</v>
      </c>
      <c r="L298" s="318" t="str">
        <f ca="1">+$L$10</f>
        <v>VALOR DEL CONTRATO TERMINADO (SMMLV) en el   RUP</v>
      </c>
      <c r="M298" s="318" t="str">
        <f ca="1">+$M$10</f>
        <v>VALOR CERTIFICADO CONTRATO &gt; VEH</v>
      </c>
      <c r="N298" s="318" t="str">
        <f ca="1">+$N$10</f>
        <v>VALIDACIÓN DE OBJETO Y/O ALCANCE
(SI/NO)
(INTERVENTORIA DE OBRA CIVIL)</v>
      </c>
      <c r="O298" s="324"/>
      <c r="Q298" s="326"/>
      <c r="S298" s="329">
        <f ca="1">+$S$10</f>
        <v>0</v>
      </c>
    </row>
    <row r="299" spans="1:20" ht="38.25" customHeight="1" thickBot="1" x14ac:dyDescent="0.25">
      <c r="B299" s="332"/>
      <c r="C299" s="319"/>
      <c r="D299" s="26" t="str">
        <f ca="1">+$D$11</f>
        <v>ENTIDAD</v>
      </c>
      <c r="E299" s="26" t="str">
        <f ca="1">+$E$11</f>
        <v>No. DE CONTRATO</v>
      </c>
      <c r="F299" s="26" t="str">
        <f ca="1">+$F$11</f>
        <v>OBJETO</v>
      </c>
      <c r="G299" s="26" t="str">
        <f ca="1">+$G$11</f>
        <v>CONTRATISTA</v>
      </c>
      <c r="H299" s="319"/>
      <c r="I299" s="319"/>
      <c r="J299" s="319"/>
      <c r="K299" s="319"/>
      <c r="L299" s="319"/>
      <c r="M299" s="319"/>
      <c r="N299" s="319"/>
      <c r="O299" s="324"/>
      <c r="Q299" s="327"/>
      <c r="S299" s="330"/>
    </row>
    <row r="300" spans="1:20" s="27" customFormat="1" ht="90" customHeight="1" x14ac:dyDescent="0.2">
      <c r="B300" s="101">
        <v>1</v>
      </c>
      <c r="C300" s="102" t="s">
        <v>158</v>
      </c>
      <c r="D300" s="102" t="s">
        <v>43</v>
      </c>
      <c r="E300" s="103" t="s">
        <v>159</v>
      </c>
      <c r="F300" s="103" t="s">
        <v>160</v>
      </c>
      <c r="G300" s="102" t="s">
        <v>161</v>
      </c>
      <c r="H300" s="104">
        <v>216</v>
      </c>
      <c r="I300" s="105" t="s">
        <v>16</v>
      </c>
      <c r="J300" s="106">
        <v>18855.73</v>
      </c>
      <c r="K300" s="107">
        <v>0.5</v>
      </c>
      <c r="L300" s="34">
        <f>IF(OR(H300="",I300&lt;&gt;"SI",I300="NO",J300="",J300=0,K300="",K300=0,Q300&lt;&gt;"SI",N300&lt;&gt;"SI"),0,J300*K300)</f>
        <v>9427.8649999999998</v>
      </c>
      <c r="M300" s="108" t="str">
        <f>+IF(C300&lt;&gt;"",IF(L300&gt;=$H$6,"SI","NO"),"")</f>
        <v>SI</v>
      </c>
      <c r="N300" s="129" t="s">
        <v>16</v>
      </c>
      <c r="O300" s="109"/>
      <c r="Q300" s="37" t="str">
        <f>+IF(C300="","",IF(AND(H300&lt;&gt;"",I300="SI",J300&lt;&gt;"",J300&gt;0,K300&lt;&gt;"",K300&gt;0),"SI","NO"))</f>
        <v>SI</v>
      </c>
      <c r="S300" s="37" t="str">
        <f>+IF(C300&lt;&gt;"",IF(AND(M300="SI",N300="SI",Q300="SI"),"HÁBIL","NO HÁBIL"),"")</f>
        <v>HÁBIL</v>
      </c>
    </row>
    <row r="301" spans="1:20" s="27" customFormat="1" ht="12.75" x14ac:dyDescent="0.2">
      <c r="B301" s="110"/>
      <c r="C301" s="111"/>
      <c r="D301" s="111"/>
      <c r="E301" s="112"/>
      <c r="F301" s="112"/>
      <c r="G301" s="111"/>
      <c r="H301" s="113"/>
      <c r="I301" s="114"/>
      <c r="J301" s="115"/>
      <c r="K301" s="116"/>
      <c r="L301" s="44">
        <f t="shared" ref="L301:L303" si="32">IF(OR(H301="",I301&lt;&gt;"SI",I301="NO",J301="",J301=0,K301="",K301=0,Q301&lt;&gt;"SI",N301&lt;&gt;"SI"),0,J301*K301)</f>
        <v>0</v>
      </c>
      <c r="M301" s="117" t="str">
        <f>+IF(C301&lt;&gt;"",IF(L301&gt;=$H$6,"SI","NO"),"")</f>
        <v/>
      </c>
      <c r="N301" s="114"/>
      <c r="O301" s="118"/>
      <c r="Q301" s="37" t="str">
        <f>+IF(C301="","",IF(AND(H301&lt;&gt;"",I301="SI",J301&lt;&gt;"",J301&gt;0,K301&lt;&gt;"",K301&gt;0),"SI","NO"))</f>
        <v/>
      </c>
      <c r="S301" s="37" t="str">
        <f>+IF(C301&lt;&gt;"",IF(AND(M301="SI",N301="SI",Q301="SI"),"HÁBIL","NO HÁBIL"),"")</f>
        <v/>
      </c>
    </row>
    <row r="302" spans="1:20" s="27" customFormat="1" ht="12.75" x14ac:dyDescent="0.2">
      <c r="B302" s="110"/>
      <c r="C302" s="111"/>
      <c r="D302" s="111"/>
      <c r="E302" s="112"/>
      <c r="F302" s="112"/>
      <c r="G302" s="111"/>
      <c r="H302" s="113"/>
      <c r="I302" s="114"/>
      <c r="J302" s="115"/>
      <c r="K302" s="116"/>
      <c r="L302" s="44">
        <f t="shared" si="32"/>
        <v>0</v>
      </c>
      <c r="M302" s="117" t="str">
        <f>+IF(C302&lt;&gt;"",IF(L302&gt;=$H$6,"SI","NO"),"")</f>
        <v/>
      </c>
      <c r="N302" s="114"/>
      <c r="O302" s="118"/>
      <c r="Q302" s="37" t="str">
        <f>+IF(C302="","",IF(AND(H302&lt;&gt;"",I302="SI",J302&lt;&gt;"",J302&gt;0,K302&lt;&gt;"",K302&gt;0),"SI","NO"))</f>
        <v/>
      </c>
      <c r="S302" s="37" t="str">
        <f>+IF(C302&lt;&gt;"",IF(AND(M302="SI",N302="SI",Q302="SI"),"HÁBIL","NO HÁBIL"),"")</f>
        <v/>
      </c>
    </row>
    <row r="303" spans="1:20" s="27" customFormat="1" ht="13.5" thickBot="1" x14ac:dyDescent="0.25">
      <c r="B303" s="119"/>
      <c r="C303" s="120"/>
      <c r="D303" s="120"/>
      <c r="E303" s="121"/>
      <c r="F303" s="121"/>
      <c r="G303" s="120"/>
      <c r="H303" s="122"/>
      <c r="I303" s="123"/>
      <c r="J303" s="124"/>
      <c r="K303" s="125"/>
      <c r="L303" s="53">
        <f t="shared" si="32"/>
        <v>0</v>
      </c>
      <c r="M303" s="126" t="str">
        <f>+IF(C303&lt;&gt;"",IF(L303&gt;=$H$6,"SI","NO"),"")</f>
        <v/>
      </c>
      <c r="N303" s="123"/>
      <c r="O303" s="127"/>
      <c r="Q303" s="55" t="str">
        <f>+IF(C303="","",IF(AND(H303&lt;&gt;"",I303="SI",J303&lt;&gt;"",J303&gt;0,K303&lt;&gt;"",K303&gt;0),"SI","NO"))</f>
        <v/>
      </c>
      <c r="S303" s="55" t="str">
        <f>+IF(C303&lt;&gt;"",IF(AND(M303="SI",N303="SI",Q303="SI"),"HÁBIL","NO HÁBIL"),"")</f>
        <v/>
      </c>
    </row>
    <row r="304" spans="1:20" ht="22.5" customHeight="1" thickBot="1" x14ac:dyDescent="0.25">
      <c r="A304" s="56">
        <f>+$B297</f>
        <v>33</v>
      </c>
      <c r="B304" s="57" t="str">
        <f>"A"&amp;B297</f>
        <v>A33</v>
      </c>
      <c r="C304" s="340" t="str">
        <f>+$C$16</f>
        <v>PROPONENTE HÁBIL / NO HÁBIL</v>
      </c>
      <c r="D304" s="341"/>
      <c r="E304" s="341"/>
      <c r="F304" s="341"/>
      <c r="G304" s="341"/>
      <c r="H304" s="342"/>
      <c r="I304" s="58" t="str">
        <f>IF(S300="","",IF(OR(S300="HÁBIL",S301="HÁBIL",S302="HÁBIL",S303="HÁBIL"),"HÁBIL","NO HÁBIL"))</f>
        <v>HÁBIL</v>
      </c>
      <c r="J304" s="59"/>
      <c r="K304" s="27"/>
      <c r="L304" s="27"/>
      <c r="M304" s="27"/>
      <c r="N304" s="60"/>
      <c r="O304" s="1"/>
      <c r="P304" s="61"/>
      <c r="Q304" s="61"/>
      <c r="R304" s="61"/>
      <c r="S304" s="61"/>
      <c r="T304" s="61"/>
    </row>
    <row r="305" spans="1:20" ht="12" thickBot="1" x14ac:dyDescent="0.25"/>
    <row r="306" spans="1:20" ht="56.25" customHeight="1" thickBot="1" x14ac:dyDescent="0.25">
      <c r="B306" s="23">
        <f>1+B297</f>
        <v>34</v>
      </c>
      <c r="C306" s="336" t="s">
        <v>932</v>
      </c>
      <c r="D306" s="337"/>
      <c r="E306" s="337"/>
      <c r="F306" s="337"/>
      <c r="G306" s="337"/>
      <c r="H306" s="337"/>
      <c r="I306" s="338"/>
      <c r="J306" s="24" t="str">
        <f>+IF(C306="","",$J$9)</f>
        <v/>
      </c>
      <c r="K306" s="339" t="s">
        <v>932</v>
      </c>
      <c r="L306" s="339"/>
      <c r="M306" s="339"/>
      <c r="N306" s="25">
        <f>+B306</f>
        <v>34</v>
      </c>
      <c r="O306" s="323" t="str">
        <f ca="1">+$O$9</f>
        <v>OBSERVACIONES</v>
      </c>
      <c r="Q306" s="325" t="str">
        <f ca="1">+$Q$9</f>
        <v>¿EL CONTRATO CUMPLE CON LOS REQUERIMIENTOS ADICIONALES DE EXPERIENCIA  EN EL PLIEGO?
 (INSCRIPCIÓN EN RUP - CÓDIGO UNSPSC - VALOR EN RUP - % DE PARTICIPACIÓN)
(SI / NO)</v>
      </c>
      <c r="S306" s="328" t="str">
        <f ca="1">+$S$9</f>
        <v>PROPONENTE HÁBIL/NO HÁBIL</v>
      </c>
    </row>
    <row r="307" spans="1:20" ht="42" customHeight="1" x14ac:dyDescent="0.2">
      <c r="B307" s="331" t="str">
        <f ca="1">+$B$10</f>
        <v>ITEM</v>
      </c>
      <c r="C307" s="318" t="str">
        <f ca="1">+$C$10</f>
        <v>PROPONENTE 
/ 
INTEGRANTE OFERENTE PLURAL</v>
      </c>
      <c r="D307" s="333" t="str">
        <f ca="1">+$D$10</f>
        <v>INFORMACIÓN DEL CONTRATO</v>
      </c>
      <c r="E307" s="334"/>
      <c r="F307" s="334"/>
      <c r="G307" s="335"/>
      <c r="H307" s="318" t="str">
        <f>+H298</f>
        <v>CONSECUTIVO RUP</v>
      </c>
      <c r="I307" s="318" t="str">
        <f ca="1">+$I$10</f>
        <v>¿SE ENCUENTRA INSCRITO EN EL RUP Y CUMPLE CÓDIGOS UNSPSC?</v>
      </c>
      <c r="J307" s="318" t="str">
        <f ca="1">+$J$10</f>
        <v xml:space="preserve">VALOR EN RUP (SMMLV) </v>
      </c>
      <c r="K307" s="318" t="str">
        <f ca="1">+$K$10</f>
        <v>% PARTIC en el RUP</v>
      </c>
      <c r="L307" s="318" t="str">
        <f ca="1">+$L$10</f>
        <v>VALOR DEL CONTRATO TERMINADO (SMMLV) en el   RUP</v>
      </c>
      <c r="M307" s="318" t="str">
        <f ca="1">+$M$10</f>
        <v>VALOR CERTIFICADO CONTRATO &gt; VEH</v>
      </c>
      <c r="N307" s="318" t="str">
        <f ca="1">+$N$10</f>
        <v>VALIDACIÓN DE OBJETO Y/O ALCANCE
(SI/NO)
(INTERVENTORIA DE OBRA CIVIL)</v>
      </c>
      <c r="O307" s="324"/>
      <c r="Q307" s="326"/>
      <c r="S307" s="329">
        <f ca="1">+$S$10</f>
        <v>0</v>
      </c>
    </row>
    <row r="308" spans="1:20" ht="38.25" customHeight="1" thickBot="1" x14ac:dyDescent="0.25">
      <c r="B308" s="332"/>
      <c r="C308" s="319"/>
      <c r="D308" s="26" t="str">
        <f ca="1">+$D$11</f>
        <v>ENTIDAD</v>
      </c>
      <c r="E308" s="26" t="str">
        <f ca="1">+$E$11</f>
        <v>No. DE CONTRATO</v>
      </c>
      <c r="F308" s="26" t="str">
        <f ca="1">+$F$11</f>
        <v>OBJETO</v>
      </c>
      <c r="G308" s="26" t="str">
        <f ca="1">+$G$11</f>
        <v>CONTRATISTA</v>
      </c>
      <c r="H308" s="319"/>
      <c r="I308" s="319"/>
      <c r="J308" s="319"/>
      <c r="K308" s="319"/>
      <c r="L308" s="319"/>
      <c r="M308" s="319"/>
      <c r="N308" s="319"/>
      <c r="O308" s="324"/>
      <c r="Q308" s="327"/>
      <c r="S308" s="330"/>
    </row>
    <row r="309" spans="1:20" s="27" customFormat="1" ht="12.75" x14ac:dyDescent="0.2">
      <c r="B309" s="101">
        <v>1</v>
      </c>
      <c r="C309" s="102"/>
      <c r="D309" s="102"/>
      <c r="E309" s="103"/>
      <c r="F309" s="103"/>
      <c r="G309" s="102"/>
      <c r="H309" s="104"/>
      <c r="I309" s="105"/>
      <c r="J309" s="106"/>
      <c r="K309" s="107"/>
      <c r="L309" s="34">
        <f>IF(OR(H309="",I309&lt;&gt;"SI",I309="NO",J309="",J309=0,K309="",K309=0,Q309&lt;&gt;"SI",N309&lt;&gt;"SI"),0,J309*K309)</f>
        <v>0</v>
      </c>
      <c r="M309" s="108" t="str">
        <f>+IF(C309&lt;&gt;"",IF(L309&gt;=$H$6,"SI","NO"),"")</f>
        <v/>
      </c>
      <c r="N309" s="129"/>
      <c r="O309" s="109"/>
      <c r="Q309" s="37" t="str">
        <f>+IF(C309="","",IF(AND(H309&lt;&gt;"",I309="SI",J309&lt;&gt;"",J309&gt;0,K309&lt;&gt;"",K309&gt;0),"SI","NO"))</f>
        <v/>
      </c>
      <c r="S309" s="37" t="str">
        <f>+IF(C309&lt;&gt;"",IF(AND(M309="SI",N309="SI",Q309="SI"),"HÁBIL","NO HÁBIL"),"")</f>
        <v/>
      </c>
    </row>
    <row r="310" spans="1:20" s="27" customFormat="1" ht="12.75" x14ac:dyDescent="0.2">
      <c r="B310" s="110">
        <v>2</v>
      </c>
      <c r="C310" s="111"/>
      <c r="D310" s="111"/>
      <c r="E310" s="112"/>
      <c r="F310" s="112"/>
      <c r="G310" s="111"/>
      <c r="H310" s="113"/>
      <c r="I310" s="114"/>
      <c r="J310" s="115"/>
      <c r="K310" s="116"/>
      <c r="L310" s="44">
        <f t="shared" ref="L310:L312" si="33">IF(OR(H310="",I310&lt;&gt;"SI",I310="NO",J310="",J310=0,K310="",K310=0,Q310&lt;&gt;"SI",N310&lt;&gt;"SI"),0,J310*K310)</f>
        <v>0</v>
      </c>
      <c r="M310" s="117" t="str">
        <f>+IF(C310&lt;&gt;"",IF(L310&gt;=$H$6,"SI","NO"),"")</f>
        <v/>
      </c>
      <c r="N310" s="114"/>
      <c r="O310" s="118"/>
      <c r="Q310" s="37" t="str">
        <f>+IF(C310="","",IF(AND(H310&lt;&gt;"",I310="SI",J310&lt;&gt;"",J310&gt;0,K310&lt;&gt;"",K310&gt;0),"SI","NO"))</f>
        <v/>
      </c>
      <c r="S310" s="37" t="str">
        <f>+IF(C310&lt;&gt;"",IF(AND(M310="SI",N310="SI",Q310="SI"),"HÁBIL","NO HÁBIL"),"")</f>
        <v/>
      </c>
    </row>
    <row r="311" spans="1:20" s="27" customFormat="1" ht="12.75" x14ac:dyDescent="0.2">
      <c r="B311" s="110">
        <v>3</v>
      </c>
      <c r="C311" s="111"/>
      <c r="D311" s="111"/>
      <c r="E311" s="112"/>
      <c r="F311" s="112"/>
      <c r="G311" s="111"/>
      <c r="H311" s="113"/>
      <c r="I311" s="114"/>
      <c r="J311" s="115"/>
      <c r="K311" s="116"/>
      <c r="L311" s="44">
        <f t="shared" si="33"/>
        <v>0</v>
      </c>
      <c r="M311" s="117" t="str">
        <f>+IF(C311&lt;&gt;"",IF(L311&gt;=$H$6,"SI","NO"),"")</f>
        <v/>
      </c>
      <c r="N311" s="114"/>
      <c r="O311" s="118"/>
      <c r="Q311" s="37" t="str">
        <f>+IF(C311="","",IF(AND(H311&lt;&gt;"",I311="SI",J311&lt;&gt;"",J311&gt;0,K311&lt;&gt;"",K311&gt;0),"SI","NO"))</f>
        <v/>
      </c>
      <c r="S311" s="37" t="str">
        <f>+IF(C311&lt;&gt;"",IF(AND(M311="SI",N311="SI",Q311="SI"),"HÁBIL","NO HÁBIL"),"")</f>
        <v/>
      </c>
    </row>
    <row r="312" spans="1:20" s="27" customFormat="1" ht="13.5" thickBot="1" x14ac:dyDescent="0.25">
      <c r="B312" s="119">
        <v>4</v>
      </c>
      <c r="C312" s="120"/>
      <c r="D312" s="120"/>
      <c r="E312" s="121"/>
      <c r="F312" s="121"/>
      <c r="G312" s="120"/>
      <c r="H312" s="122"/>
      <c r="I312" s="123"/>
      <c r="J312" s="124"/>
      <c r="K312" s="125"/>
      <c r="L312" s="53">
        <f t="shared" si="33"/>
        <v>0</v>
      </c>
      <c r="M312" s="126" t="str">
        <f>+IF(C312&lt;&gt;"",IF(L312&gt;=$H$6,"SI","NO"),"")</f>
        <v/>
      </c>
      <c r="N312" s="123"/>
      <c r="O312" s="127"/>
      <c r="Q312" s="55" t="str">
        <f>+IF(C312="","",IF(AND(H312&lt;&gt;"",I312="SI",J312&lt;&gt;"",J312&gt;0,K312&lt;&gt;"",K312&gt;0),"SI","NO"))</f>
        <v/>
      </c>
      <c r="S312" s="55" t="str">
        <f>+IF(C312&lt;&gt;"",IF(AND(M312="SI",N312="SI",Q312="SI"),"HÁBIL","NO HÁBIL"),"")</f>
        <v/>
      </c>
    </row>
    <row r="313" spans="1:20" ht="36" customHeight="1" thickBot="1" x14ac:dyDescent="0.25">
      <c r="A313" s="56">
        <f>+$B306</f>
        <v>34</v>
      </c>
      <c r="B313" s="57" t="str">
        <f>"A"&amp;B306</f>
        <v>A34</v>
      </c>
      <c r="C313" s="340" t="str">
        <f>+$C$16</f>
        <v>PROPONENTE HÁBIL / NO HÁBIL</v>
      </c>
      <c r="D313" s="341"/>
      <c r="E313" s="341"/>
      <c r="F313" s="341"/>
      <c r="G313" s="341"/>
      <c r="H313" s="342"/>
      <c r="I313" s="58" t="str">
        <f>IF(S309="","",IF(OR(S309="HÁBIL",S310="HÁBIL",S311="HÁBIL",S312="HÁBIL"),"HÁBIL","NO HÁBIL"))</f>
        <v/>
      </c>
      <c r="J313" s="59"/>
      <c r="K313" s="27"/>
      <c r="L313" s="27"/>
      <c r="M313" s="27"/>
      <c r="N313" s="60"/>
      <c r="O313" s="1"/>
      <c r="P313" s="61"/>
      <c r="Q313" s="61"/>
      <c r="R313" s="61"/>
      <c r="S313" s="61"/>
      <c r="T313" s="61"/>
    </row>
    <row r="314" spans="1:20" ht="12" thickBot="1" x14ac:dyDescent="0.25"/>
    <row r="315" spans="1:20" ht="36.75" customHeight="1" thickBot="1" x14ac:dyDescent="0.25">
      <c r="B315" s="23">
        <f>1+B306</f>
        <v>35</v>
      </c>
      <c r="C315" s="336" t="s">
        <v>932</v>
      </c>
      <c r="D315" s="337"/>
      <c r="E315" s="337"/>
      <c r="F315" s="337"/>
      <c r="G315" s="337"/>
      <c r="H315" s="337"/>
      <c r="I315" s="338"/>
      <c r="J315" s="24" t="str">
        <f>+IF(C315="","",$J$9)</f>
        <v/>
      </c>
      <c r="K315" s="339" t="s">
        <v>932</v>
      </c>
      <c r="L315" s="339"/>
      <c r="M315" s="339"/>
      <c r="N315" s="25">
        <f>+B315</f>
        <v>35</v>
      </c>
      <c r="O315" s="323" t="str">
        <f ca="1">+$O$9</f>
        <v>OBSERVACIONES</v>
      </c>
      <c r="Q315" s="325" t="str">
        <f ca="1">+$Q$9</f>
        <v>¿EL CONTRATO CUMPLE CON LOS REQUERIMIENTOS ADICIONALES DE EXPERIENCIA  EN EL PLIEGO?
 (INSCRIPCIÓN EN RUP - CÓDIGO UNSPSC - VALOR EN RUP - % DE PARTICIPACIÓN)
(SI / NO)</v>
      </c>
      <c r="S315" s="328" t="str">
        <f ca="1">+$S$9</f>
        <v>PROPONENTE HÁBIL/NO HÁBIL</v>
      </c>
    </row>
    <row r="316" spans="1:20" ht="42" customHeight="1" x14ac:dyDescent="0.2">
      <c r="B316" s="331" t="str">
        <f ca="1">+$B$10</f>
        <v>ITEM</v>
      </c>
      <c r="C316" s="318" t="str">
        <f ca="1">+$C$10</f>
        <v>PROPONENTE 
/ 
INTEGRANTE OFERENTE PLURAL</v>
      </c>
      <c r="D316" s="333" t="str">
        <f ca="1">+$D$10</f>
        <v>INFORMACIÓN DEL CONTRATO</v>
      </c>
      <c r="E316" s="334"/>
      <c r="F316" s="334"/>
      <c r="G316" s="335"/>
      <c r="H316" s="318" t="str">
        <f>+H307</f>
        <v>CONSECUTIVO RUP</v>
      </c>
      <c r="I316" s="318" t="str">
        <f ca="1">+$I$10</f>
        <v>¿SE ENCUENTRA INSCRITO EN EL RUP Y CUMPLE CÓDIGOS UNSPSC?</v>
      </c>
      <c r="J316" s="318" t="str">
        <f ca="1">+$J$10</f>
        <v xml:space="preserve">VALOR EN RUP (SMMLV) </v>
      </c>
      <c r="K316" s="318" t="str">
        <f ca="1">+$K$10</f>
        <v>% PARTIC en el RUP</v>
      </c>
      <c r="L316" s="318" t="str">
        <f ca="1">+$L$10</f>
        <v>VALOR DEL CONTRATO TERMINADO (SMMLV) en el   RUP</v>
      </c>
      <c r="M316" s="318" t="str">
        <f ca="1">+$M$10</f>
        <v>VALOR CERTIFICADO CONTRATO &gt; VEH</v>
      </c>
      <c r="N316" s="318" t="str">
        <f ca="1">+$N$10</f>
        <v>VALIDACIÓN DE OBJETO Y/O ALCANCE
(SI/NO)
(INTERVENTORIA DE OBRA CIVIL)</v>
      </c>
      <c r="O316" s="324"/>
      <c r="Q316" s="326"/>
      <c r="S316" s="329">
        <f ca="1">+$S$10</f>
        <v>0</v>
      </c>
    </row>
    <row r="317" spans="1:20" ht="38.25" customHeight="1" thickBot="1" x14ac:dyDescent="0.25">
      <c r="B317" s="332"/>
      <c r="C317" s="319"/>
      <c r="D317" s="26" t="str">
        <f ca="1">+$D$11</f>
        <v>ENTIDAD</v>
      </c>
      <c r="E317" s="26" t="str">
        <f ca="1">+$E$11</f>
        <v>No. DE CONTRATO</v>
      </c>
      <c r="F317" s="26" t="str">
        <f ca="1">+$F$11</f>
        <v>OBJETO</v>
      </c>
      <c r="G317" s="26" t="str">
        <f ca="1">+$G$11</f>
        <v>CONTRATISTA</v>
      </c>
      <c r="H317" s="319"/>
      <c r="I317" s="319"/>
      <c r="J317" s="319"/>
      <c r="K317" s="319"/>
      <c r="L317" s="319"/>
      <c r="M317" s="319"/>
      <c r="N317" s="319"/>
      <c r="O317" s="324"/>
      <c r="Q317" s="327"/>
      <c r="S317" s="330"/>
    </row>
    <row r="318" spans="1:20" s="27" customFormat="1" ht="12.75" x14ac:dyDescent="0.2">
      <c r="B318" s="101">
        <v>1</v>
      </c>
      <c r="C318" s="102"/>
      <c r="D318" s="102"/>
      <c r="E318" s="103"/>
      <c r="F318" s="103"/>
      <c r="G318" s="102"/>
      <c r="H318" s="104"/>
      <c r="I318" s="105"/>
      <c r="J318" s="106"/>
      <c r="K318" s="107"/>
      <c r="L318" s="34">
        <f>IF(OR(H318="",I318&lt;&gt;"SI",I318="NO",J318="",J318=0,K318="",K318=0,Q318&lt;&gt;"SI",N318&lt;&gt;"SI"),0,J318*K318)</f>
        <v>0</v>
      </c>
      <c r="M318" s="108" t="str">
        <f>+IF(C318&lt;&gt;"",IF(SUM(L318:L319)&gt;=$H$6,"SI","NO"),"")</f>
        <v/>
      </c>
      <c r="N318" s="129"/>
      <c r="O318" s="109"/>
      <c r="Q318" s="37" t="str">
        <f>+IF(C318="","",IF(AND(H318&lt;&gt;"",I318="SI",J318&lt;&gt;"",J318&gt;0,K318&lt;&gt;"",K318&gt;0),"SI","NO"))</f>
        <v/>
      </c>
      <c r="S318" s="37" t="str">
        <f>+IF(C318&lt;&gt;"",IF(AND(M318="SI",N318="SI",Q318="SI"),"HÁBIL","NO HÁBIL"),"")</f>
        <v/>
      </c>
    </row>
    <row r="319" spans="1:20" s="27" customFormat="1" ht="12.75" x14ac:dyDescent="0.2">
      <c r="B319" s="110">
        <v>1</v>
      </c>
      <c r="C319" s="111"/>
      <c r="D319" s="111"/>
      <c r="E319" s="112"/>
      <c r="F319" s="112"/>
      <c r="G319" s="111"/>
      <c r="H319" s="113"/>
      <c r="I319" s="114"/>
      <c r="J319" s="115"/>
      <c r="K319" s="116"/>
      <c r="L319" s="44">
        <f t="shared" ref="L319:L321" si="34">IF(OR(H319="",I319&lt;&gt;"SI",I319="NO",J319="",J319=0,K319="",K319=0,Q319&lt;&gt;"SI",N319&lt;&gt;"SI"),0,J319*K319)</f>
        <v>0</v>
      </c>
      <c r="M319" s="117" t="str">
        <f>+IF(C318&lt;&gt;"",IF(SUM(L318:L319)&gt;=$H$6,"SI","NO"),"")</f>
        <v/>
      </c>
      <c r="N319" s="114"/>
      <c r="O319" s="118"/>
      <c r="Q319" s="37" t="str">
        <f>+IF(C319="","",IF(AND(H319&lt;&gt;"",I319="SI",J319&lt;&gt;"",J319&gt;0,K319&lt;&gt;"",K319&gt;0),"SI","NO"))</f>
        <v/>
      </c>
      <c r="S319" s="37" t="str">
        <f>+IF(C319&lt;&gt;"",IF(AND(M319="SI",N319="SI",Q319="SI"),"HÁBIL","NO HÁBIL"),"")</f>
        <v/>
      </c>
    </row>
    <row r="320" spans="1:20" s="27" customFormat="1" ht="12.75" x14ac:dyDescent="0.2">
      <c r="B320" s="110">
        <v>2</v>
      </c>
      <c r="C320" s="111"/>
      <c r="D320" s="111"/>
      <c r="E320" s="112"/>
      <c r="F320" s="112"/>
      <c r="G320" s="111"/>
      <c r="H320" s="113"/>
      <c r="I320" s="114"/>
      <c r="J320" s="115"/>
      <c r="K320" s="116"/>
      <c r="L320" s="44">
        <f t="shared" si="34"/>
        <v>0</v>
      </c>
      <c r="M320" s="117" t="str">
        <f>+IF(C320&lt;&gt;"",IF(L320&gt;=$H$6,"SI","NO"),"")</f>
        <v/>
      </c>
      <c r="N320" s="114"/>
      <c r="O320" s="118"/>
      <c r="Q320" s="37" t="str">
        <f>+IF(C320="","",IF(AND(H320&lt;&gt;"",I320="SI",J320&lt;&gt;"",J320&gt;0,K320&lt;&gt;"",K320&gt;0),"SI","NO"))</f>
        <v/>
      </c>
      <c r="S320" s="37" t="str">
        <f>+IF(C320&lt;&gt;"",IF(AND(M320="SI",N320="SI",Q320="SI"),"HÁBIL","NO HÁBIL"),"")</f>
        <v/>
      </c>
    </row>
    <row r="321" spans="1:20" s="27" customFormat="1" ht="13.5" thickBot="1" x14ac:dyDescent="0.25">
      <c r="B321" s="119">
        <v>3</v>
      </c>
      <c r="C321" s="120"/>
      <c r="D321" s="120"/>
      <c r="E321" s="121"/>
      <c r="F321" s="121"/>
      <c r="G321" s="120"/>
      <c r="H321" s="122"/>
      <c r="I321" s="123"/>
      <c r="J321" s="124"/>
      <c r="K321" s="125"/>
      <c r="L321" s="53">
        <f t="shared" si="34"/>
        <v>0</v>
      </c>
      <c r="M321" s="126" t="str">
        <f>+IF(C321&lt;&gt;"",IF(L321&gt;=$H$6,"SI","NO"),"")</f>
        <v/>
      </c>
      <c r="N321" s="123"/>
      <c r="O321" s="127"/>
      <c r="Q321" s="55" t="str">
        <f>+IF(C321="","",IF(AND(H321&lt;&gt;"",I321="SI",J321&lt;&gt;"",J321&gt;0,K321&lt;&gt;"",K321&gt;0),"SI","NO"))</f>
        <v/>
      </c>
      <c r="S321" s="55" t="str">
        <f>+IF(C321&lt;&gt;"",IF(AND(M321="SI",N321="SI",Q321="SI"),"HÁBIL","NO HÁBIL"),"")</f>
        <v/>
      </c>
    </row>
    <row r="322" spans="1:20" ht="36" customHeight="1" thickBot="1" x14ac:dyDescent="0.25">
      <c r="A322" s="56">
        <f>+$B315</f>
        <v>35</v>
      </c>
      <c r="B322" s="57" t="str">
        <f>"A"&amp;B315</f>
        <v>A35</v>
      </c>
      <c r="C322" s="340" t="str">
        <f>+$C$16</f>
        <v>PROPONENTE HÁBIL / NO HÁBIL</v>
      </c>
      <c r="D322" s="341"/>
      <c r="E322" s="341"/>
      <c r="F322" s="341"/>
      <c r="G322" s="341"/>
      <c r="H322" s="342"/>
      <c r="I322" s="58" t="str">
        <f>IF(S318="","",IF(OR(S318="HÁBIL",S319="HÁBIL",S320="HÁBIL",S321="HÁBIL"),"HÁBIL","NO HÁBIL"))</f>
        <v/>
      </c>
      <c r="J322" s="59"/>
      <c r="K322" s="27"/>
      <c r="L322" s="27"/>
      <c r="M322" s="27"/>
      <c r="N322" s="60"/>
      <c r="O322" s="1"/>
      <c r="P322" s="61"/>
      <c r="Q322" s="61"/>
      <c r="R322" s="61"/>
      <c r="S322" s="61"/>
      <c r="T322" s="61"/>
    </row>
    <row r="323" spans="1:20" ht="12" thickBot="1" x14ac:dyDescent="0.25"/>
    <row r="324" spans="1:20" ht="36.75" customHeight="1" thickBot="1" x14ac:dyDescent="0.25">
      <c r="B324" s="23">
        <f>1+B315</f>
        <v>36</v>
      </c>
      <c r="C324" s="336" t="s">
        <v>932</v>
      </c>
      <c r="D324" s="337"/>
      <c r="E324" s="337"/>
      <c r="F324" s="337"/>
      <c r="G324" s="337"/>
      <c r="H324" s="337"/>
      <c r="I324" s="338"/>
      <c r="J324" s="24" t="str">
        <f>+IF(C324="","",$J$9)</f>
        <v/>
      </c>
      <c r="K324" s="339" t="s">
        <v>932</v>
      </c>
      <c r="L324" s="339"/>
      <c r="M324" s="339"/>
      <c r="N324" s="25">
        <f>+B324</f>
        <v>36</v>
      </c>
      <c r="O324" s="323" t="str">
        <f ca="1">+$O$9</f>
        <v>OBSERVACIONES</v>
      </c>
      <c r="Q324" s="325" t="str">
        <f ca="1">+$Q$9</f>
        <v>¿EL CONTRATO CUMPLE CON LOS REQUERIMIENTOS ADICIONALES DE EXPERIENCIA  EN EL PLIEGO?
 (INSCRIPCIÓN EN RUP - CÓDIGO UNSPSC - VALOR EN RUP - % DE PARTICIPACIÓN)
(SI / NO)</v>
      </c>
      <c r="S324" s="328" t="str">
        <f ca="1">+$S$9</f>
        <v>PROPONENTE HÁBIL/NO HÁBIL</v>
      </c>
    </row>
    <row r="325" spans="1:20" ht="42" customHeight="1" x14ac:dyDescent="0.2">
      <c r="B325" s="331" t="str">
        <f ca="1">+$B$10</f>
        <v>ITEM</v>
      </c>
      <c r="C325" s="318" t="str">
        <f ca="1">+$C$10</f>
        <v>PROPONENTE 
/ 
INTEGRANTE OFERENTE PLURAL</v>
      </c>
      <c r="D325" s="333" t="str">
        <f ca="1">+$D$10</f>
        <v>INFORMACIÓN DEL CONTRATO</v>
      </c>
      <c r="E325" s="334"/>
      <c r="F325" s="334"/>
      <c r="G325" s="335"/>
      <c r="H325" s="318" t="str">
        <f>+H316</f>
        <v>CONSECUTIVO RUP</v>
      </c>
      <c r="I325" s="318" t="str">
        <f ca="1">+$I$10</f>
        <v>¿SE ENCUENTRA INSCRITO EN EL RUP Y CUMPLE CÓDIGOS UNSPSC?</v>
      </c>
      <c r="J325" s="318" t="str">
        <f ca="1">+$J$10</f>
        <v xml:space="preserve">VALOR EN RUP (SMMLV) </v>
      </c>
      <c r="K325" s="318" t="str">
        <f ca="1">+$K$10</f>
        <v>% PARTIC en el RUP</v>
      </c>
      <c r="L325" s="318" t="str">
        <f ca="1">+$L$10</f>
        <v>VALOR DEL CONTRATO TERMINADO (SMMLV) en el   RUP</v>
      </c>
      <c r="M325" s="318" t="str">
        <f ca="1">+$M$10</f>
        <v>VALOR CERTIFICADO CONTRATO &gt; VEH</v>
      </c>
      <c r="N325" s="318" t="str">
        <f ca="1">+$N$10</f>
        <v>VALIDACIÓN DE OBJETO Y/O ALCANCE
(SI/NO)
(INTERVENTORIA DE OBRA CIVIL)</v>
      </c>
      <c r="O325" s="324"/>
      <c r="Q325" s="326"/>
      <c r="S325" s="329">
        <f ca="1">+$S$10</f>
        <v>0</v>
      </c>
    </row>
    <row r="326" spans="1:20" ht="38.25" customHeight="1" thickBot="1" x14ac:dyDescent="0.25">
      <c r="B326" s="332"/>
      <c r="C326" s="319"/>
      <c r="D326" s="26" t="str">
        <f ca="1">+$D$11</f>
        <v>ENTIDAD</v>
      </c>
      <c r="E326" s="26" t="str">
        <f ca="1">+$E$11</f>
        <v>No. DE CONTRATO</v>
      </c>
      <c r="F326" s="26" t="str">
        <f ca="1">+$F$11</f>
        <v>OBJETO</v>
      </c>
      <c r="G326" s="26" t="str">
        <f ca="1">+$G$11</f>
        <v>CONTRATISTA</v>
      </c>
      <c r="H326" s="319"/>
      <c r="I326" s="319"/>
      <c r="J326" s="319"/>
      <c r="K326" s="319"/>
      <c r="L326" s="319"/>
      <c r="M326" s="319"/>
      <c r="N326" s="319"/>
      <c r="O326" s="324"/>
      <c r="Q326" s="327"/>
      <c r="S326" s="330"/>
    </row>
    <row r="327" spans="1:20" s="27" customFormat="1" ht="90" customHeight="1" x14ac:dyDescent="0.2">
      <c r="B327" s="101">
        <v>1</v>
      </c>
      <c r="C327" s="102"/>
      <c r="D327" s="102"/>
      <c r="E327" s="103"/>
      <c r="F327" s="103"/>
      <c r="G327" s="102"/>
      <c r="H327" s="104"/>
      <c r="I327" s="105"/>
      <c r="J327" s="106"/>
      <c r="K327" s="107"/>
      <c r="L327" s="34">
        <f>IF(OR(H327="",I327&lt;&gt;"SI",I327="NO",J327="",J327=0,K327="",K327=0,Q327&lt;&gt;"SI",N327&lt;&gt;"SI"),0,J327*K327)</f>
        <v>0</v>
      </c>
      <c r="M327" s="108" t="str">
        <f>+IF(C327&lt;&gt;"",IF(L327&gt;=$H$6,"SI","NO"),"")</f>
        <v/>
      </c>
      <c r="N327" s="129"/>
      <c r="O327" s="109"/>
      <c r="Q327" s="37" t="str">
        <f>+IF(C327="","",IF(AND(H327&lt;&gt;"",I327="SI",J327&lt;&gt;"",J327&gt;0,K327&lt;&gt;"",K327&gt;0),"SI","NO"))</f>
        <v/>
      </c>
      <c r="S327" s="37" t="str">
        <f>+IF(C327&lt;&gt;"",IF(AND(M327="SI",N327="SI",Q327="SI"),"HÁBIL","NO HÁBIL"),"")</f>
        <v/>
      </c>
    </row>
    <row r="328" spans="1:20" s="27" customFormat="1" ht="51.75" customHeight="1" x14ac:dyDescent="0.2">
      <c r="B328" s="110">
        <v>2</v>
      </c>
      <c r="C328" s="111"/>
      <c r="D328" s="111"/>
      <c r="E328" s="112"/>
      <c r="F328" s="112"/>
      <c r="G328" s="111"/>
      <c r="H328" s="113"/>
      <c r="I328" s="114"/>
      <c r="J328" s="115"/>
      <c r="K328" s="116"/>
      <c r="L328" s="44">
        <f t="shared" ref="L328:L330" si="35">IF(OR(H328="",I328&lt;&gt;"SI",I328="NO",J328="",J328=0,K328="",K328=0,Q328&lt;&gt;"SI",N328&lt;&gt;"SI"),0,J328*K328)</f>
        <v>0</v>
      </c>
      <c r="M328" s="117" t="str">
        <f>+IF(C328&lt;&gt;"",IF(L328&gt;=$H$6,"SI","NO"),"")</f>
        <v/>
      </c>
      <c r="N328" s="114"/>
      <c r="O328" s="118"/>
      <c r="Q328" s="37" t="str">
        <f>+IF(C328="","",IF(AND(H328&lt;&gt;"",I328="SI",J328&lt;&gt;"",J328&gt;0,K328&lt;&gt;"",K328&gt;0),"SI","NO"))</f>
        <v/>
      </c>
      <c r="S328" s="37" t="str">
        <f>+IF(C328&lt;&gt;"",IF(AND(M328="SI",N328="SI",Q328="SI"),"HÁBIL","NO HÁBIL"),"")</f>
        <v/>
      </c>
    </row>
    <row r="329" spans="1:20" s="27" customFormat="1" ht="36" customHeight="1" x14ac:dyDescent="0.2">
      <c r="B329" s="110">
        <v>3</v>
      </c>
      <c r="C329" s="111"/>
      <c r="D329" s="111"/>
      <c r="E329" s="112"/>
      <c r="F329" s="112"/>
      <c r="G329" s="111"/>
      <c r="H329" s="113"/>
      <c r="I329" s="114"/>
      <c r="J329" s="115"/>
      <c r="K329" s="116"/>
      <c r="L329" s="44">
        <f t="shared" si="35"/>
        <v>0</v>
      </c>
      <c r="M329" s="117" t="str">
        <f>+IF(C329&lt;&gt;"",IF(L329&gt;=$H$6,"SI","NO"),"")</f>
        <v/>
      </c>
      <c r="N329" s="114"/>
      <c r="O329" s="118"/>
      <c r="Q329" s="37" t="str">
        <f>+IF(C329="","",IF(AND(H329&lt;&gt;"",I329="SI",J329&lt;&gt;"",J329&gt;0,K329&lt;&gt;"",K329&gt;0),"SI","NO"))</f>
        <v/>
      </c>
      <c r="S329" s="37" t="str">
        <f>+IF(C329&lt;&gt;"",IF(AND(M329="SI",N329="SI",Q329="SI"),"HÁBIL","NO HÁBIL"),"")</f>
        <v/>
      </c>
    </row>
    <row r="330" spans="1:20" s="27" customFormat="1" ht="36" customHeight="1" thickBot="1" x14ac:dyDescent="0.25">
      <c r="B330" s="119">
        <v>4</v>
      </c>
      <c r="C330" s="120"/>
      <c r="D330" s="120"/>
      <c r="E330" s="121"/>
      <c r="F330" s="121"/>
      <c r="G330" s="120"/>
      <c r="H330" s="122"/>
      <c r="I330" s="123"/>
      <c r="J330" s="124"/>
      <c r="K330" s="125"/>
      <c r="L330" s="53">
        <f t="shared" si="35"/>
        <v>0</v>
      </c>
      <c r="M330" s="126" t="str">
        <f>+IF(C330&lt;&gt;"",IF(L330&gt;=$H$6,"SI","NO"),"")</f>
        <v/>
      </c>
      <c r="N330" s="123"/>
      <c r="O330" s="127"/>
      <c r="Q330" s="55" t="str">
        <f>+IF(C330="","",IF(AND(H330&lt;&gt;"",I330="SI",J330&lt;&gt;"",J330&gt;0,K330&lt;&gt;"",K330&gt;0),"SI","NO"))</f>
        <v/>
      </c>
      <c r="S330" s="55" t="str">
        <f>+IF(C330&lt;&gt;"",IF(AND(M330="SI",N330="SI",Q330="SI"),"HÁBIL","NO HÁBIL"),"")</f>
        <v/>
      </c>
    </row>
    <row r="331" spans="1:20" ht="36" customHeight="1" thickBot="1" x14ac:dyDescent="0.25">
      <c r="A331" s="56">
        <f>+$B324</f>
        <v>36</v>
      </c>
      <c r="B331" s="57" t="str">
        <f>"A"&amp;B324</f>
        <v>A36</v>
      </c>
      <c r="C331" s="340" t="str">
        <f>+$C$16</f>
        <v>PROPONENTE HÁBIL / NO HÁBIL</v>
      </c>
      <c r="D331" s="341"/>
      <c r="E331" s="341"/>
      <c r="F331" s="341"/>
      <c r="G331" s="341"/>
      <c r="H331" s="342"/>
      <c r="I331" s="58" t="str">
        <f>IF(S327="","",IF(OR(S327="HÁBIL",S328="HÁBIL",S329="HÁBIL",S330="HÁBIL"),"HÁBIL","NO HÁBIL"))</f>
        <v/>
      </c>
      <c r="J331" s="59"/>
      <c r="K331" s="27"/>
      <c r="L331" s="27"/>
      <c r="M331" s="27"/>
      <c r="N331" s="60"/>
      <c r="O331" s="1"/>
      <c r="P331" s="61"/>
      <c r="Q331" s="61"/>
      <c r="R331" s="61"/>
      <c r="S331" s="61"/>
      <c r="T331" s="61"/>
    </row>
    <row r="332" spans="1:20" ht="12" thickBot="1" x14ac:dyDescent="0.25"/>
    <row r="333" spans="1:20" ht="36.75" customHeight="1" thickBot="1" x14ac:dyDescent="0.25">
      <c r="B333" s="23">
        <f>1+B324</f>
        <v>37</v>
      </c>
      <c r="C333" s="336" t="s">
        <v>932</v>
      </c>
      <c r="D333" s="337"/>
      <c r="E333" s="337"/>
      <c r="F333" s="337"/>
      <c r="G333" s="337"/>
      <c r="H333" s="337"/>
      <c r="I333" s="338"/>
      <c r="J333" s="24" t="str">
        <f>+IF(C333="","",$J$9)</f>
        <v/>
      </c>
      <c r="K333" s="339" t="s">
        <v>932</v>
      </c>
      <c r="L333" s="339"/>
      <c r="M333" s="339"/>
      <c r="N333" s="25">
        <f>+B333</f>
        <v>37</v>
      </c>
      <c r="O333" s="323" t="str">
        <f ca="1">+$O$9</f>
        <v>OBSERVACIONES</v>
      </c>
      <c r="Q333" s="325" t="str">
        <f ca="1">+$Q$9</f>
        <v>¿EL CONTRATO CUMPLE CON LOS REQUERIMIENTOS ADICIONALES DE EXPERIENCIA  EN EL PLIEGO?
 (INSCRIPCIÓN EN RUP - CÓDIGO UNSPSC - VALOR EN RUP - % DE PARTICIPACIÓN)
(SI / NO)</v>
      </c>
      <c r="S333" s="328" t="str">
        <f ca="1">+$S$9</f>
        <v>PROPONENTE HÁBIL/NO HÁBIL</v>
      </c>
    </row>
    <row r="334" spans="1:20" ht="42" customHeight="1" x14ac:dyDescent="0.2">
      <c r="B334" s="331" t="str">
        <f ca="1">+$B$10</f>
        <v>ITEM</v>
      </c>
      <c r="C334" s="318" t="str">
        <f ca="1">+$C$10</f>
        <v>PROPONENTE 
/ 
INTEGRANTE OFERENTE PLURAL</v>
      </c>
      <c r="D334" s="333" t="str">
        <f ca="1">+$D$10</f>
        <v>INFORMACIÓN DEL CONTRATO</v>
      </c>
      <c r="E334" s="334"/>
      <c r="F334" s="334"/>
      <c r="G334" s="335"/>
      <c r="H334" s="318" t="str">
        <f>+H325</f>
        <v>CONSECUTIVO RUP</v>
      </c>
      <c r="I334" s="318" t="str">
        <f ca="1">+$I$10</f>
        <v>¿SE ENCUENTRA INSCRITO EN EL RUP Y CUMPLE CÓDIGOS UNSPSC?</v>
      </c>
      <c r="J334" s="318" t="str">
        <f ca="1">+$J$10</f>
        <v xml:space="preserve">VALOR EN RUP (SMMLV) </v>
      </c>
      <c r="K334" s="318" t="str">
        <f ca="1">+$K$10</f>
        <v>% PARTIC en el RUP</v>
      </c>
      <c r="L334" s="318" t="str">
        <f ca="1">+$L$10</f>
        <v>VALOR DEL CONTRATO TERMINADO (SMMLV) en el   RUP</v>
      </c>
      <c r="M334" s="318" t="str">
        <f ca="1">+$M$10</f>
        <v>VALOR CERTIFICADO CONTRATO &gt; VEH</v>
      </c>
      <c r="N334" s="318" t="str">
        <f ca="1">+$N$10</f>
        <v>VALIDACIÓN DE OBJETO Y/O ALCANCE
(SI/NO)
(INTERVENTORIA DE OBRA CIVIL)</v>
      </c>
      <c r="O334" s="324"/>
      <c r="Q334" s="326"/>
      <c r="S334" s="329">
        <f ca="1">+$S$10</f>
        <v>0</v>
      </c>
    </row>
    <row r="335" spans="1:20" ht="38.25" customHeight="1" thickBot="1" x14ac:dyDescent="0.25">
      <c r="B335" s="332"/>
      <c r="C335" s="319"/>
      <c r="D335" s="26" t="str">
        <f ca="1">+$D$11</f>
        <v>ENTIDAD</v>
      </c>
      <c r="E335" s="26" t="str">
        <f ca="1">+$E$11</f>
        <v>No. DE CONTRATO</v>
      </c>
      <c r="F335" s="26" t="str">
        <f ca="1">+$F$11</f>
        <v>OBJETO</v>
      </c>
      <c r="G335" s="26" t="str">
        <f ca="1">+$G$11</f>
        <v>CONTRATISTA</v>
      </c>
      <c r="H335" s="319"/>
      <c r="I335" s="319"/>
      <c r="J335" s="319"/>
      <c r="K335" s="319"/>
      <c r="L335" s="319"/>
      <c r="M335" s="319"/>
      <c r="N335" s="319"/>
      <c r="O335" s="324"/>
      <c r="Q335" s="327"/>
      <c r="S335" s="330"/>
    </row>
    <row r="336" spans="1:20" s="27" customFormat="1" ht="71.25" customHeight="1" x14ac:dyDescent="0.2">
      <c r="B336" s="101">
        <v>1</v>
      </c>
      <c r="C336" s="102"/>
      <c r="D336" s="102"/>
      <c r="E336" s="103"/>
      <c r="F336" s="103"/>
      <c r="G336" s="102"/>
      <c r="H336" s="104"/>
      <c r="I336" s="105"/>
      <c r="J336" s="106"/>
      <c r="K336" s="107"/>
      <c r="L336" s="34">
        <f>IF(OR(H336="",I336&lt;&gt;"SI",I336="NO",J336="",J336=0,K336="",K336=0,Q336&lt;&gt;"SI",N336&lt;&gt;"SI"),0,J336*K336)</f>
        <v>0</v>
      </c>
      <c r="M336" s="108" t="str">
        <f>+IF(C336&lt;&gt;"",IF(L336&gt;=$H$6,"SI","NO"),"")</f>
        <v/>
      </c>
      <c r="N336" s="129"/>
      <c r="O336" s="109"/>
      <c r="Q336" s="37" t="str">
        <f>+IF(C336="","",IF(AND(H336&lt;&gt;"",I336="SI",J336&lt;&gt;"",J336&gt;0,K336&lt;&gt;"",K336&gt;0),"SI","NO"))</f>
        <v/>
      </c>
      <c r="S336" s="37" t="str">
        <f>+IF(C336&lt;&gt;"",IF(AND(M336="SI",N336="SI",Q336="SI"),"HÁBIL","NO HÁBIL"),"")</f>
        <v/>
      </c>
    </row>
    <row r="337" spans="1:20" s="27" customFormat="1" ht="51.75" customHeight="1" x14ac:dyDescent="0.2">
      <c r="B337" s="110">
        <v>2</v>
      </c>
      <c r="C337" s="111"/>
      <c r="D337" s="111"/>
      <c r="E337" s="112"/>
      <c r="F337" s="112"/>
      <c r="G337" s="111"/>
      <c r="H337" s="113"/>
      <c r="I337" s="114"/>
      <c r="J337" s="115"/>
      <c r="K337" s="116"/>
      <c r="L337" s="44">
        <f t="shared" ref="L337:L339" si="36">IF(OR(H337="",I337&lt;&gt;"SI",I337="NO",J337="",J337=0,K337="",K337=0,Q337&lt;&gt;"SI",N337&lt;&gt;"SI"),0,J337*K337)</f>
        <v>0</v>
      </c>
      <c r="M337" s="117" t="str">
        <f>+IF(C337&lt;&gt;"",IF(L337&gt;=$H$6,"SI","NO"),"")</f>
        <v/>
      </c>
      <c r="N337" s="114"/>
      <c r="O337" s="118"/>
      <c r="Q337" s="37" t="str">
        <f>+IF(C337="","",IF(AND(H337&lt;&gt;"",I337="SI",J337&lt;&gt;"",J337&gt;0,K337&lt;&gt;"",K337&gt;0),"SI","NO"))</f>
        <v/>
      </c>
      <c r="S337" s="37" t="str">
        <f>+IF(C337&lt;&gt;"",IF(AND(M337="SI",N337="SI",Q337="SI"),"HÁBIL","NO HÁBIL"),"")</f>
        <v/>
      </c>
    </row>
    <row r="338" spans="1:20" s="27" customFormat="1" ht="36" customHeight="1" x14ac:dyDescent="0.2">
      <c r="B338" s="110">
        <v>3</v>
      </c>
      <c r="C338" s="111"/>
      <c r="D338" s="111"/>
      <c r="E338" s="112"/>
      <c r="F338" s="112"/>
      <c r="G338" s="111"/>
      <c r="H338" s="113"/>
      <c r="I338" s="114"/>
      <c r="J338" s="115"/>
      <c r="K338" s="116"/>
      <c r="L338" s="44">
        <f t="shared" si="36"/>
        <v>0</v>
      </c>
      <c r="M338" s="117" t="str">
        <f>+IF(C338&lt;&gt;"",IF(L338&gt;=$H$6,"SI","NO"),"")</f>
        <v/>
      </c>
      <c r="N338" s="114"/>
      <c r="O338" s="118"/>
      <c r="Q338" s="37" t="str">
        <f>+IF(C338="","",IF(AND(H338&lt;&gt;"",I338="SI",J338&lt;&gt;"",J338&gt;0,K338&lt;&gt;"",K338&gt;0),"SI","NO"))</f>
        <v/>
      </c>
      <c r="S338" s="37" t="str">
        <f>+IF(C338&lt;&gt;"",IF(AND(M338="SI",N338="SI",Q338="SI"),"HÁBIL","NO HÁBIL"),"")</f>
        <v/>
      </c>
    </row>
    <row r="339" spans="1:20" s="27" customFormat="1" ht="36" customHeight="1" thickBot="1" x14ac:dyDescent="0.25">
      <c r="B339" s="119">
        <v>4</v>
      </c>
      <c r="C339" s="120"/>
      <c r="D339" s="120"/>
      <c r="E339" s="121"/>
      <c r="F339" s="121"/>
      <c r="G339" s="120"/>
      <c r="H339" s="122"/>
      <c r="I339" s="123"/>
      <c r="J339" s="124"/>
      <c r="K339" s="125"/>
      <c r="L339" s="53">
        <f t="shared" si="36"/>
        <v>0</v>
      </c>
      <c r="M339" s="126" t="str">
        <f>+IF(C339&lt;&gt;"",IF(L339&gt;=$H$6,"SI","NO"),"")</f>
        <v/>
      </c>
      <c r="N339" s="123"/>
      <c r="O339" s="127"/>
      <c r="Q339" s="55" t="str">
        <f>+IF(C339="","",IF(AND(H339&lt;&gt;"",I339="SI",J339&lt;&gt;"",J339&gt;0,K339&lt;&gt;"",K339&gt;0),"SI","NO"))</f>
        <v/>
      </c>
      <c r="S339" s="55" t="str">
        <f>+IF(C339&lt;&gt;"",IF(AND(M339="SI",N339="SI",Q339="SI"),"HÁBIL","NO HÁBIL"),"")</f>
        <v/>
      </c>
    </row>
    <row r="340" spans="1:20" ht="36" customHeight="1" thickBot="1" x14ac:dyDescent="0.25">
      <c r="A340" s="56">
        <f>+$B333</f>
        <v>37</v>
      </c>
      <c r="B340" s="57" t="str">
        <f>"A"&amp;B333</f>
        <v>A37</v>
      </c>
      <c r="C340" s="340" t="str">
        <f>+$C$16</f>
        <v>PROPONENTE HÁBIL / NO HÁBIL</v>
      </c>
      <c r="D340" s="341"/>
      <c r="E340" s="341"/>
      <c r="F340" s="341"/>
      <c r="G340" s="341"/>
      <c r="H340" s="342"/>
      <c r="I340" s="58" t="str">
        <f>IF(S336="","",IF(OR(S336="HÁBIL",S337="HÁBIL",S338="HÁBIL",S339="HÁBIL"),"HÁBIL","NO HÁBIL"))</f>
        <v/>
      </c>
      <c r="J340" s="59"/>
      <c r="K340" s="27"/>
      <c r="L340" s="27"/>
      <c r="M340" s="27"/>
      <c r="N340" s="60"/>
      <c r="O340" s="1"/>
      <c r="P340" s="61"/>
      <c r="Q340" s="61"/>
      <c r="R340" s="61"/>
      <c r="S340" s="61"/>
      <c r="T340" s="61"/>
    </row>
    <row r="341" spans="1:20" ht="12" thickBot="1" x14ac:dyDescent="0.25"/>
    <row r="342" spans="1:20" ht="36.75" customHeight="1" thickBot="1" x14ac:dyDescent="0.25">
      <c r="B342" s="23">
        <f>1+B333</f>
        <v>38</v>
      </c>
      <c r="C342" s="336" t="s">
        <v>932</v>
      </c>
      <c r="D342" s="337"/>
      <c r="E342" s="337"/>
      <c r="F342" s="337"/>
      <c r="G342" s="337"/>
      <c r="H342" s="337"/>
      <c r="I342" s="338"/>
      <c r="J342" s="24" t="str">
        <f>+IF(C342="","",$J$9)</f>
        <v/>
      </c>
      <c r="K342" s="339" t="s">
        <v>932</v>
      </c>
      <c r="L342" s="339"/>
      <c r="M342" s="339"/>
      <c r="N342" s="25">
        <f>+B342</f>
        <v>38</v>
      </c>
      <c r="O342" s="323" t="str">
        <f ca="1">+$O$9</f>
        <v>OBSERVACIONES</v>
      </c>
      <c r="Q342" s="325" t="str">
        <f ca="1">+$Q$9</f>
        <v>¿EL CONTRATO CUMPLE CON LOS REQUERIMIENTOS ADICIONALES DE EXPERIENCIA  EN EL PLIEGO?
 (INSCRIPCIÓN EN RUP - CÓDIGO UNSPSC - VALOR EN RUP - % DE PARTICIPACIÓN)
(SI / NO)</v>
      </c>
      <c r="S342" s="328" t="str">
        <f ca="1">+$S$9</f>
        <v>PROPONENTE HÁBIL/NO HÁBIL</v>
      </c>
    </row>
    <row r="343" spans="1:20" ht="42" customHeight="1" x14ac:dyDescent="0.2">
      <c r="B343" s="331" t="str">
        <f ca="1">+$B$10</f>
        <v>ITEM</v>
      </c>
      <c r="C343" s="318" t="str">
        <f ca="1">+$C$10</f>
        <v>PROPONENTE 
/ 
INTEGRANTE OFERENTE PLURAL</v>
      </c>
      <c r="D343" s="333" t="str">
        <f ca="1">+$D$10</f>
        <v>INFORMACIÓN DEL CONTRATO</v>
      </c>
      <c r="E343" s="334"/>
      <c r="F343" s="334"/>
      <c r="G343" s="335"/>
      <c r="H343" s="318" t="str">
        <f>+H334</f>
        <v>CONSECUTIVO RUP</v>
      </c>
      <c r="I343" s="318" t="str">
        <f ca="1">+$I$10</f>
        <v>¿SE ENCUENTRA INSCRITO EN EL RUP Y CUMPLE CÓDIGOS UNSPSC?</v>
      </c>
      <c r="J343" s="318" t="str">
        <f ca="1">+$J$10</f>
        <v xml:space="preserve">VALOR EN RUP (SMMLV) </v>
      </c>
      <c r="K343" s="318" t="str">
        <f ca="1">+$K$10</f>
        <v>% PARTIC en el RUP</v>
      </c>
      <c r="L343" s="318" t="str">
        <f ca="1">+$L$10</f>
        <v>VALOR DEL CONTRATO TERMINADO (SMMLV) en el   RUP</v>
      </c>
      <c r="M343" s="318" t="str">
        <f ca="1">+$M$10</f>
        <v>VALOR CERTIFICADO CONTRATO &gt; VEH</v>
      </c>
      <c r="N343" s="318" t="str">
        <f ca="1">+$N$10</f>
        <v>VALIDACIÓN DE OBJETO Y/O ALCANCE
(SI/NO)
(INTERVENTORIA DE OBRA CIVIL)</v>
      </c>
      <c r="O343" s="324"/>
      <c r="Q343" s="326"/>
      <c r="S343" s="329">
        <f ca="1">+$S$10</f>
        <v>0</v>
      </c>
    </row>
    <row r="344" spans="1:20" ht="38.25" customHeight="1" thickBot="1" x14ac:dyDescent="0.25">
      <c r="B344" s="332"/>
      <c r="C344" s="319"/>
      <c r="D344" s="26" t="str">
        <f ca="1">+$D$11</f>
        <v>ENTIDAD</v>
      </c>
      <c r="E344" s="26" t="str">
        <f ca="1">+$E$11</f>
        <v>No. DE CONTRATO</v>
      </c>
      <c r="F344" s="26" t="str">
        <f ca="1">+$F$11</f>
        <v>OBJETO</v>
      </c>
      <c r="G344" s="26" t="str">
        <f ca="1">+$G$11</f>
        <v>CONTRATISTA</v>
      </c>
      <c r="H344" s="319"/>
      <c r="I344" s="319"/>
      <c r="J344" s="319"/>
      <c r="K344" s="319"/>
      <c r="L344" s="319"/>
      <c r="M344" s="319"/>
      <c r="N344" s="319"/>
      <c r="O344" s="324"/>
      <c r="Q344" s="327"/>
      <c r="S344" s="330"/>
    </row>
    <row r="345" spans="1:20" s="27" customFormat="1" ht="51.75" customHeight="1" x14ac:dyDescent="0.2">
      <c r="B345" s="101">
        <v>1</v>
      </c>
      <c r="C345" s="102"/>
      <c r="D345" s="102"/>
      <c r="E345" s="103"/>
      <c r="F345" s="103"/>
      <c r="G345" s="102"/>
      <c r="H345" s="104"/>
      <c r="I345" s="105"/>
      <c r="J345" s="106"/>
      <c r="K345" s="107"/>
      <c r="L345" s="34">
        <f>IF(OR(H345="",I345&lt;&gt;"SI",I345="NO",J345="",J345=0,K345="",K345=0,Q345&lt;&gt;"SI",N345&lt;&gt;"SI"),0,J345*K345)</f>
        <v>0</v>
      </c>
      <c r="M345" s="108" t="str">
        <f>+IF(C345&lt;&gt;"",IF(L345&gt;=$H$6,"SI","NO"),"")</f>
        <v/>
      </c>
      <c r="N345" s="129"/>
      <c r="O345" s="109"/>
      <c r="Q345" s="37" t="str">
        <f>+IF(C345="","",IF(AND(H345&lt;&gt;"",I345="SI",J345&lt;&gt;"",J345&gt;0,K345&lt;&gt;"",K345&gt;0),"SI","NO"))</f>
        <v/>
      </c>
      <c r="S345" s="37" t="str">
        <f>+IF(C345&lt;&gt;"",IF(AND(M345="SI",N345="SI",Q345="SI"),"HÁBIL","NO HÁBIL"),"")</f>
        <v/>
      </c>
    </row>
    <row r="346" spans="1:20" s="27" customFormat="1" ht="51.75" customHeight="1" x14ac:dyDescent="0.2">
      <c r="B346" s="110">
        <v>2</v>
      </c>
      <c r="C346" s="111"/>
      <c r="D346" s="111"/>
      <c r="E346" s="112"/>
      <c r="F346" s="112"/>
      <c r="G346" s="111"/>
      <c r="H346" s="113"/>
      <c r="I346" s="114"/>
      <c r="J346" s="115"/>
      <c r="K346" s="116"/>
      <c r="L346" s="44">
        <f t="shared" ref="L346:L348" si="37">IF(OR(H346="",I346&lt;&gt;"SI",I346="NO",J346="",J346=0,K346="",K346=0,Q346&lt;&gt;"SI",N346&lt;&gt;"SI"),0,J346*K346)</f>
        <v>0</v>
      </c>
      <c r="M346" s="117" t="str">
        <f>+IF(C346&lt;&gt;"",IF(L346&gt;=$H$6,"SI","NO"),"")</f>
        <v/>
      </c>
      <c r="N346" s="114"/>
      <c r="O346" s="118"/>
      <c r="Q346" s="37" t="str">
        <f>+IF(C346="","",IF(AND(H346&lt;&gt;"",I346="SI",J346&lt;&gt;"",J346&gt;0,K346&lt;&gt;"",K346&gt;0),"SI","NO"))</f>
        <v/>
      </c>
      <c r="S346" s="37" t="str">
        <f>+IF(C346&lt;&gt;"",IF(AND(M346="SI",N346="SI",Q346="SI"),"HÁBIL","NO HÁBIL"),"")</f>
        <v/>
      </c>
    </row>
    <row r="347" spans="1:20" s="27" customFormat="1" ht="36" customHeight="1" x14ac:dyDescent="0.2">
      <c r="B347" s="110">
        <v>3</v>
      </c>
      <c r="C347" s="111"/>
      <c r="D347" s="111"/>
      <c r="E347" s="112"/>
      <c r="F347" s="112"/>
      <c r="G347" s="111"/>
      <c r="H347" s="113"/>
      <c r="I347" s="114"/>
      <c r="J347" s="115"/>
      <c r="K347" s="116"/>
      <c r="L347" s="44">
        <f t="shared" si="37"/>
        <v>0</v>
      </c>
      <c r="M347" s="117" t="str">
        <f>+IF(C347&lt;&gt;"",IF(L347&gt;=$H$6,"SI","NO"),"")</f>
        <v/>
      </c>
      <c r="N347" s="114"/>
      <c r="O347" s="118"/>
      <c r="Q347" s="37" t="str">
        <f>+IF(C347="","",IF(AND(H347&lt;&gt;"",I347="SI",J347&lt;&gt;"",J347&gt;0,K347&lt;&gt;"",K347&gt;0),"SI","NO"))</f>
        <v/>
      </c>
      <c r="S347" s="37" t="str">
        <f>+IF(C347&lt;&gt;"",IF(AND(M347="SI",N347="SI",Q347="SI"),"HÁBIL","NO HÁBIL"),"")</f>
        <v/>
      </c>
    </row>
    <row r="348" spans="1:20" s="27" customFormat="1" ht="36" customHeight="1" thickBot="1" x14ac:dyDescent="0.25">
      <c r="B348" s="119">
        <v>4</v>
      </c>
      <c r="C348" s="120"/>
      <c r="D348" s="120"/>
      <c r="E348" s="121"/>
      <c r="F348" s="121"/>
      <c r="G348" s="120"/>
      <c r="H348" s="122"/>
      <c r="I348" s="123"/>
      <c r="J348" s="124"/>
      <c r="K348" s="125"/>
      <c r="L348" s="53">
        <f t="shared" si="37"/>
        <v>0</v>
      </c>
      <c r="M348" s="126" t="str">
        <f>+IF(C348&lt;&gt;"",IF(L348&gt;=$H$6,"SI","NO"),"")</f>
        <v/>
      </c>
      <c r="N348" s="123"/>
      <c r="O348" s="127"/>
      <c r="Q348" s="55" t="str">
        <f>+IF(C348="","",IF(AND(H348&lt;&gt;"",I348="SI",J348&lt;&gt;"",J348&gt;0,K348&lt;&gt;"",K348&gt;0),"SI","NO"))</f>
        <v/>
      </c>
      <c r="S348" s="55" t="str">
        <f>+IF(C348&lt;&gt;"",IF(AND(M348="SI",N348="SI",Q348="SI"),"HÁBIL","NO HÁBIL"),"")</f>
        <v/>
      </c>
    </row>
    <row r="349" spans="1:20" ht="36" customHeight="1" thickBot="1" x14ac:dyDescent="0.25">
      <c r="A349" s="56">
        <f>+$B342</f>
        <v>38</v>
      </c>
      <c r="B349" s="57" t="str">
        <f>"A"&amp;B342</f>
        <v>A38</v>
      </c>
      <c r="C349" s="340" t="str">
        <f>+$C$16</f>
        <v>PROPONENTE HÁBIL / NO HÁBIL</v>
      </c>
      <c r="D349" s="341"/>
      <c r="E349" s="341"/>
      <c r="F349" s="341"/>
      <c r="G349" s="341"/>
      <c r="H349" s="342"/>
      <c r="I349" s="58" t="str">
        <f>IF(S345="","",IF(OR(S345="HÁBIL",S346="HÁBIL",S347="HÁBIL",S348="HÁBIL"),"HÁBIL","NO HÁBIL"))</f>
        <v/>
      </c>
      <c r="J349" s="59"/>
      <c r="K349" s="27"/>
      <c r="L349" s="27"/>
      <c r="M349" s="27"/>
      <c r="N349" s="60"/>
      <c r="O349" s="1"/>
      <c r="P349" s="61"/>
      <c r="Q349" s="61"/>
      <c r="R349" s="61"/>
      <c r="S349" s="61"/>
      <c r="T349" s="61"/>
    </row>
    <row r="350" spans="1:20" ht="12" thickBot="1" x14ac:dyDescent="0.25"/>
    <row r="351" spans="1:20" ht="36.75" customHeight="1" thickBot="1" x14ac:dyDescent="0.25">
      <c r="B351" s="23">
        <f>1+B342</f>
        <v>39</v>
      </c>
      <c r="C351" s="336" t="s">
        <v>932</v>
      </c>
      <c r="D351" s="337"/>
      <c r="E351" s="337"/>
      <c r="F351" s="337"/>
      <c r="G351" s="337"/>
      <c r="H351" s="337"/>
      <c r="I351" s="338"/>
      <c r="J351" s="24" t="str">
        <f>+IF(C351="","",$J$9)</f>
        <v/>
      </c>
      <c r="K351" s="339" t="s">
        <v>932</v>
      </c>
      <c r="L351" s="339"/>
      <c r="M351" s="339"/>
      <c r="N351" s="25">
        <f>+B351</f>
        <v>39</v>
      </c>
      <c r="O351" s="323" t="str">
        <f ca="1">+$O$9</f>
        <v>OBSERVACIONES</v>
      </c>
      <c r="Q351" s="325" t="str">
        <f ca="1">+$Q$9</f>
        <v>¿EL CONTRATO CUMPLE CON LOS REQUERIMIENTOS ADICIONALES DE EXPERIENCIA  EN EL PLIEGO?
 (INSCRIPCIÓN EN RUP - CÓDIGO UNSPSC - VALOR EN RUP - % DE PARTICIPACIÓN)
(SI / NO)</v>
      </c>
      <c r="S351" s="328" t="str">
        <f ca="1">+$S$9</f>
        <v>PROPONENTE HÁBIL/NO HÁBIL</v>
      </c>
    </row>
    <row r="352" spans="1:20" ht="42" customHeight="1" x14ac:dyDescent="0.2">
      <c r="B352" s="331" t="str">
        <f ca="1">+$B$10</f>
        <v>ITEM</v>
      </c>
      <c r="C352" s="318" t="str">
        <f ca="1">+$C$10</f>
        <v>PROPONENTE 
/ 
INTEGRANTE OFERENTE PLURAL</v>
      </c>
      <c r="D352" s="333" t="str">
        <f ca="1">+$D$10</f>
        <v>INFORMACIÓN DEL CONTRATO</v>
      </c>
      <c r="E352" s="334"/>
      <c r="F352" s="334"/>
      <c r="G352" s="335"/>
      <c r="H352" s="318" t="str">
        <f>+H343</f>
        <v>CONSECUTIVO RUP</v>
      </c>
      <c r="I352" s="318" t="str">
        <f ca="1">+$I$10</f>
        <v>¿SE ENCUENTRA INSCRITO EN EL RUP Y CUMPLE CÓDIGOS UNSPSC?</v>
      </c>
      <c r="J352" s="318" t="str">
        <f ca="1">+$J$10</f>
        <v xml:space="preserve">VALOR EN RUP (SMMLV) </v>
      </c>
      <c r="K352" s="318" t="str">
        <f ca="1">+$K$10</f>
        <v>% PARTIC en el RUP</v>
      </c>
      <c r="L352" s="318" t="str">
        <f ca="1">+$L$10</f>
        <v>VALOR DEL CONTRATO TERMINADO (SMMLV) en el   RUP</v>
      </c>
      <c r="M352" s="318" t="str">
        <f ca="1">+$M$10</f>
        <v>VALOR CERTIFICADO CONTRATO &gt; VEH</v>
      </c>
      <c r="N352" s="318" t="str">
        <f ca="1">+$N$10</f>
        <v>VALIDACIÓN DE OBJETO Y/O ALCANCE
(SI/NO)
(INTERVENTORIA DE OBRA CIVIL)</v>
      </c>
      <c r="O352" s="324"/>
      <c r="Q352" s="326"/>
      <c r="S352" s="329">
        <f ca="1">+$S$10</f>
        <v>0</v>
      </c>
    </row>
    <row r="353" spans="1:20" ht="38.25" customHeight="1" thickBot="1" x14ac:dyDescent="0.25">
      <c r="B353" s="332"/>
      <c r="C353" s="319"/>
      <c r="D353" s="26" t="str">
        <f ca="1">+$D$11</f>
        <v>ENTIDAD</v>
      </c>
      <c r="E353" s="26" t="str">
        <f ca="1">+$E$11</f>
        <v>No. DE CONTRATO</v>
      </c>
      <c r="F353" s="26" t="str">
        <f ca="1">+$F$11</f>
        <v>OBJETO</v>
      </c>
      <c r="G353" s="26" t="str">
        <f ca="1">+$G$11</f>
        <v>CONTRATISTA</v>
      </c>
      <c r="H353" s="319"/>
      <c r="I353" s="319"/>
      <c r="J353" s="319"/>
      <c r="K353" s="319"/>
      <c r="L353" s="319"/>
      <c r="M353" s="319"/>
      <c r="N353" s="319"/>
      <c r="O353" s="324"/>
      <c r="Q353" s="327"/>
      <c r="S353" s="330"/>
    </row>
    <row r="354" spans="1:20" s="27" customFormat="1" ht="51.75" customHeight="1" x14ac:dyDescent="0.2">
      <c r="B354" s="101">
        <v>1</v>
      </c>
      <c r="C354" s="102"/>
      <c r="D354" s="102"/>
      <c r="E354" s="103"/>
      <c r="F354" s="103"/>
      <c r="G354" s="102"/>
      <c r="H354" s="104"/>
      <c r="I354" s="105"/>
      <c r="J354" s="106"/>
      <c r="K354" s="107"/>
      <c r="L354" s="34">
        <f>IF(OR(H354="",I354&lt;&gt;"SI",I354="NO",J354="",J354=0,K354="",K354=0,Q354&lt;&gt;"SI",N354&lt;&gt;"SI"),0,J354*K354)</f>
        <v>0</v>
      </c>
      <c r="M354" s="108" t="str">
        <f>+IF(C354&lt;&gt;"",IF(L354&gt;=$H$6,"SI","NO"),"")</f>
        <v/>
      </c>
      <c r="N354" s="129"/>
      <c r="O354" s="109"/>
      <c r="Q354" s="37" t="str">
        <f>+IF(C354="","",IF(AND(H354&lt;&gt;"",I354="SI",J354&lt;&gt;"",J354&gt;0,K354&lt;&gt;"",K354&gt;0),"SI","NO"))</f>
        <v/>
      </c>
      <c r="S354" s="37" t="str">
        <f>+IF(C354&lt;&gt;"",IF(AND(M354="SI",N354="SI",Q354="SI"),"HÁBIL","NO HÁBIL"),"")</f>
        <v/>
      </c>
    </row>
    <row r="355" spans="1:20" s="27" customFormat="1" ht="51.75" customHeight="1" x14ac:dyDescent="0.2">
      <c r="B355" s="110">
        <v>2</v>
      </c>
      <c r="C355" s="111"/>
      <c r="D355" s="111"/>
      <c r="E355" s="112"/>
      <c r="F355" s="112"/>
      <c r="G355" s="111"/>
      <c r="H355" s="113"/>
      <c r="I355" s="114"/>
      <c r="J355" s="115"/>
      <c r="K355" s="116"/>
      <c r="L355" s="44">
        <f t="shared" ref="L355:L357" si="38">IF(OR(H355="",I355&lt;&gt;"SI",I355="NO",J355="",J355=0,K355="",K355=0,Q355&lt;&gt;"SI",N355&lt;&gt;"SI"),0,J355*K355)</f>
        <v>0</v>
      </c>
      <c r="M355" s="117" t="str">
        <f>+IF(C355&lt;&gt;"",IF(L355&gt;=$H$6,"SI","NO"),"")</f>
        <v/>
      </c>
      <c r="N355" s="114"/>
      <c r="O355" s="118"/>
      <c r="Q355" s="37" t="str">
        <f>+IF(C355="","",IF(AND(H355&lt;&gt;"",I355="SI",J355&lt;&gt;"",J355&gt;0,K355&lt;&gt;"",K355&gt;0),"SI","NO"))</f>
        <v/>
      </c>
      <c r="S355" s="37" t="str">
        <f>+IF(C355&lt;&gt;"",IF(AND(M355="SI",N355="SI",Q355="SI"),"HÁBIL","NO HÁBIL"),"")</f>
        <v/>
      </c>
    </row>
    <row r="356" spans="1:20" s="27" customFormat="1" ht="36" customHeight="1" x14ac:dyDescent="0.2">
      <c r="B356" s="110">
        <v>3</v>
      </c>
      <c r="C356" s="111"/>
      <c r="D356" s="111"/>
      <c r="E356" s="112"/>
      <c r="F356" s="112"/>
      <c r="G356" s="111"/>
      <c r="H356" s="113"/>
      <c r="I356" s="114"/>
      <c r="J356" s="115"/>
      <c r="K356" s="116"/>
      <c r="L356" s="44">
        <f t="shared" si="38"/>
        <v>0</v>
      </c>
      <c r="M356" s="117" t="str">
        <f>+IF(C356&lt;&gt;"",IF(L356&gt;=$H$6,"SI","NO"),"")</f>
        <v/>
      </c>
      <c r="N356" s="114"/>
      <c r="O356" s="118"/>
      <c r="Q356" s="37" t="str">
        <f>+IF(C356="","",IF(AND(H356&lt;&gt;"",I356="SI",J356&lt;&gt;"",J356&gt;0,K356&lt;&gt;"",K356&gt;0),"SI","NO"))</f>
        <v/>
      </c>
      <c r="S356" s="37" t="str">
        <f>+IF(C356&lt;&gt;"",IF(AND(M356="SI",N356="SI",Q356="SI"),"HÁBIL","NO HÁBIL"),"")</f>
        <v/>
      </c>
    </row>
    <row r="357" spans="1:20" s="27" customFormat="1" ht="36" customHeight="1" thickBot="1" x14ac:dyDescent="0.25">
      <c r="B357" s="119">
        <v>4</v>
      </c>
      <c r="C357" s="120"/>
      <c r="D357" s="120"/>
      <c r="E357" s="121"/>
      <c r="F357" s="121"/>
      <c r="G357" s="120"/>
      <c r="H357" s="122"/>
      <c r="I357" s="123"/>
      <c r="J357" s="124"/>
      <c r="K357" s="125"/>
      <c r="L357" s="53">
        <f t="shared" si="38"/>
        <v>0</v>
      </c>
      <c r="M357" s="126" t="str">
        <f>+IF(C357&lt;&gt;"",IF(L357&gt;=$H$6,"SI","NO"),"")</f>
        <v/>
      </c>
      <c r="N357" s="123"/>
      <c r="O357" s="127"/>
      <c r="Q357" s="55" t="str">
        <f>+IF(C357="","",IF(AND(H357&lt;&gt;"",I357="SI",J357&lt;&gt;"",J357&gt;0,K357&lt;&gt;"",K357&gt;0),"SI","NO"))</f>
        <v/>
      </c>
      <c r="S357" s="55" t="str">
        <f>+IF(C357&lt;&gt;"",IF(AND(M357="SI",N357="SI",Q357="SI"),"HÁBIL","NO HÁBIL"),"")</f>
        <v/>
      </c>
    </row>
    <row r="358" spans="1:20" ht="36" customHeight="1" thickBot="1" x14ac:dyDescent="0.25">
      <c r="A358" s="56">
        <f>+$B351</f>
        <v>39</v>
      </c>
      <c r="B358" s="57" t="str">
        <f>"A"&amp;B351</f>
        <v>A39</v>
      </c>
      <c r="C358" s="340" t="str">
        <f>+$C$16</f>
        <v>PROPONENTE HÁBIL / NO HÁBIL</v>
      </c>
      <c r="D358" s="341"/>
      <c r="E358" s="341"/>
      <c r="F358" s="341"/>
      <c r="G358" s="341"/>
      <c r="H358" s="342"/>
      <c r="I358" s="58" t="str">
        <f>IF(S354="","",IF(OR(S354="HÁBIL",S355="HÁBIL",S356="HÁBIL",S357="HÁBIL"),"HÁBIL","NO HÁBIL"))</f>
        <v/>
      </c>
      <c r="J358" s="59"/>
      <c r="K358" s="27"/>
      <c r="L358" s="27"/>
      <c r="M358" s="27"/>
      <c r="N358" s="60"/>
      <c r="O358" s="1"/>
      <c r="P358" s="61"/>
      <c r="Q358" s="61"/>
      <c r="R358" s="61"/>
      <c r="S358" s="61"/>
      <c r="T358" s="61"/>
    </row>
    <row r="359" spans="1:20" ht="12" thickBot="1" x14ac:dyDescent="0.25"/>
    <row r="360" spans="1:20" ht="36.75" customHeight="1" thickBot="1" x14ac:dyDescent="0.25">
      <c r="B360" s="23">
        <f>1+B351</f>
        <v>40</v>
      </c>
      <c r="C360" s="336" t="s">
        <v>932</v>
      </c>
      <c r="D360" s="337"/>
      <c r="E360" s="337"/>
      <c r="F360" s="337"/>
      <c r="G360" s="337"/>
      <c r="H360" s="337"/>
      <c r="I360" s="338"/>
      <c r="J360" s="24" t="str">
        <f>+IF(C360="","",$J$9)</f>
        <v/>
      </c>
      <c r="K360" s="339" t="s">
        <v>932</v>
      </c>
      <c r="L360" s="339"/>
      <c r="M360" s="339"/>
      <c r="N360" s="25">
        <f>+B360</f>
        <v>40</v>
      </c>
      <c r="O360" s="323" t="str">
        <f ca="1">+$O$9</f>
        <v>OBSERVACIONES</v>
      </c>
      <c r="Q360" s="325" t="str">
        <f ca="1">+$Q$9</f>
        <v>¿EL CONTRATO CUMPLE CON LOS REQUERIMIENTOS ADICIONALES DE EXPERIENCIA  EN EL PLIEGO?
 (INSCRIPCIÓN EN RUP - CÓDIGO UNSPSC - VALOR EN RUP - % DE PARTICIPACIÓN)
(SI / NO)</v>
      </c>
      <c r="S360" s="328" t="str">
        <f ca="1">+$S$9</f>
        <v>PROPONENTE HÁBIL/NO HÁBIL</v>
      </c>
    </row>
    <row r="361" spans="1:20" ht="42" customHeight="1" x14ac:dyDescent="0.2">
      <c r="B361" s="331" t="str">
        <f ca="1">+$B$10</f>
        <v>ITEM</v>
      </c>
      <c r="C361" s="318" t="str">
        <f ca="1">+$C$10</f>
        <v>PROPONENTE 
/ 
INTEGRANTE OFERENTE PLURAL</v>
      </c>
      <c r="D361" s="333" t="str">
        <f ca="1">+$D$10</f>
        <v>INFORMACIÓN DEL CONTRATO</v>
      </c>
      <c r="E361" s="334"/>
      <c r="F361" s="334"/>
      <c r="G361" s="335"/>
      <c r="H361" s="318" t="str">
        <f>+H352</f>
        <v>CONSECUTIVO RUP</v>
      </c>
      <c r="I361" s="318" t="str">
        <f ca="1">+$I$10</f>
        <v>¿SE ENCUENTRA INSCRITO EN EL RUP Y CUMPLE CÓDIGOS UNSPSC?</v>
      </c>
      <c r="J361" s="318" t="str">
        <f ca="1">+$J$10</f>
        <v xml:space="preserve">VALOR EN RUP (SMMLV) </v>
      </c>
      <c r="K361" s="318" t="str">
        <f ca="1">+$K$10</f>
        <v>% PARTIC en el RUP</v>
      </c>
      <c r="L361" s="318" t="str">
        <f ca="1">+$L$10</f>
        <v>VALOR DEL CONTRATO TERMINADO (SMMLV) en el   RUP</v>
      </c>
      <c r="M361" s="318" t="str">
        <f ca="1">+$M$10</f>
        <v>VALOR CERTIFICADO CONTRATO &gt; VEH</v>
      </c>
      <c r="N361" s="318" t="str">
        <f ca="1">+$N$10</f>
        <v>VALIDACIÓN DE OBJETO Y/O ALCANCE
(SI/NO)
(INTERVENTORIA DE OBRA CIVIL)</v>
      </c>
      <c r="O361" s="324"/>
      <c r="Q361" s="326"/>
      <c r="S361" s="329">
        <f ca="1">+$S$10</f>
        <v>0</v>
      </c>
    </row>
    <row r="362" spans="1:20" ht="38.25" customHeight="1" thickBot="1" x14ac:dyDescent="0.25">
      <c r="B362" s="332"/>
      <c r="C362" s="319"/>
      <c r="D362" s="26" t="str">
        <f ca="1">+$D$11</f>
        <v>ENTIDAD</v>
      </c>
      <c r="E362" s="26" t="str">
        <f ca="1">+$E$11</f>
        <v>No. DE CONTRATO</v>
      </c>
      <c r="F362" s="26" t="str">
        <f ca="1">+$F$11</f>
        <v>OBJETO</v>
      </c>
      <c r="G362" s="26" t="str">
        <f ca="1">+$G$11</f>
        <v>CONTRATISTA</v>
      </c>
      <c r="H362" s="319"/>
      <c r="I362" s="319"/>
      <c r="J362" s="319"/>
      <c r="K362" s="319"/>
      <c r="L362" s="319"/>
      <c r="M362" s="319"/>
      <c r="N362" s="319"/>
      <c r="O362" s="324"/>
      <c r="Q362" s="327"/>
      <c r="S362" s="330"/>
    </row>
    <row r="363" spans="1:20" s="27" customFormat="1" ht="72.75" customHeight="1" x14ac:dyDescent="0.2">
      <c r="B363" s="101">
        <v>1</v>
      </c>
      <c r="C363" s="102"/>
      <c r="D363" s="102"/>
      <c r="E363" s="103"/>
      <c r="F363" s="103"/>
      <c r="G363" s="102"/>
      <c r="H363" s="104"/>
      <c r="I363" s="105"/>
      <c r="J363" s="106"/>
      <c r="K363" s="107"/>
      <c r="L363" s="34">
        <f>IF(OR(H363="",I363&lt;&gt;"SI",I363="NO",J363="",J363=0,K363="",K363=0,Q363&lt;&gt;"SI",N363&lt;&gt;"SI"),0,J363*K363)</f>
        <v>0</v>
      </c>
      <c r="M363" s="108" t="str">
        <f>+IF(C363&lt;&gt;"",IF(L363&gt;=$H$6,"SI","NO"),"")</f>
        <v/>
      </c>
      <c r="N363" s="129"/>
      <c r="O363" s="145"/>
      <c r="P363" s="146"/>
      <c r="Q363" s="147" t="str">
        <f>+IF(C363="","",IF(AND(H363&lt;&gt;"",I363="SI",J363&lt;&gt;"",J363&gt;0,K363&lt;&gt;"",K363&gt;0),"SI","NO"))</f>
        <v/>
      </c>
      <c r="S363" s="37" t="str">
        <f>+IF(C363&lt;&gt;"",IF(AND(M363="SI",N363="SI",Q363="SI"),"HÁBIL","NO HÁBIL"),"")</f>
        <v/>
      </c>
    </row>
    <row r="364" spans="1:20" s="27" customFormat="1" ht="51.75" customHeight="1" x14ac:dyDescent="0.2">
      <c r="B364" s="110">
        <v>2</v>
      </c>
      <c r="C364" s="111"/>
      <c r="D364" s="111"/>
      <c r="E364" s="112"/>
      <c r="F364" s="112"/>
      <c r="G364" s="111"/>
      <c r="H364" s="113"/>
      <c r="I364" s="114"/>
      <c r="J364" s="115"/>
      <c r="K364" s="116"/>
      <c r="L364" s="44">
        <f t="shared" ref="L364:L366" si="39">IF(OR(H364="",I364&lt;&gt;"SI",I364="NO",J364="",J364=0,K364="",K364=0,Q364&lt;&gt;"SI",N364&lt;&gt;"SI"),0,J364*K364)</f>
        <v>0</v>
      </c>
      <c r="M364" s="117" t="str">
        <f>+IF(C364&lt;&gt;"",IF(L364&gt;=$H$6,"SI","NO"),"")</f>
        <v/>
      </c>
      <c r="N364" s="114"/>
      <c r="O364" s="133"/>
      <c r="P364" s="148"/>
      <c r="Q364" s="147" t="str">
        <f>+IF(C364="","",IF(AND(H364&lt;&gt;"",I364="SI",J364&lt;&gt;"",J364&gt;0,K364&lt;&gt;"",K364&gt;0),"SI","NO"))</f>
        <v/>
      </c>
      <c r="S364" s="37" t="str">
        <f>+IF(C364&lt;&gt;"",IF(AND(M364="SI",N364="SI",Q364="SI"),"HÁBIL","NO HÁBIL"),"")</f>
        <v/>
      </c>
    </row>
    <row r="365" spans="1:20" s="27" customFormat="1" ht="36" customHeight="1" x14ac:dyDescent="0.2">
      <c r="B365" s="110">
        <v>3</v>
      </c>
      <c r="C365" s="111"/>
      <c r="D365" s="111"/>
      <c r="E365" s="112"/>
      <c r="F365" s="112"/>
      <c r="G365" s="111"/>
      <c r="H365" s="113"/>
      <c r="I365" s="114"/>
      <c r="J365" s="115"/>
      <c r="K365" s="116"/>
      <c r="L365" s="44">
        <f t="shared" si="39"/>
        <v>0</v>
      </c>
      <c r="M365" s="117" t="str">
        <f>+IF(C365&lt;&gt;"",IF(L365&gt;=$H$6,"SI","NO"),"")</f>
        <v/>
      </c>
      <c r="N365" s="114"/>
      <c r="O365" s="133"/>
      <c r="P365" s="148"/>
      <c r="Q365" s="147" t="str">
        <f>+IF(C365="","",IF(AND(H365&lt;&gt;"",I365="SI",J365&lt;&gt;"",J365&gt;0,K365&lt;&gt;"",K365&gt;0),"SI","NO"))</f>
        <v/>
      </c>
      <c r="S365" s="37" t="str">
        <f>+IF(C365&lt;&gt;"",IF(AND(M365="SI",N365="SI",Q365="SI"),"HÁBIL","NO HÁBIL"),"")</f>
        <v/>
      </c>
    </row>
    <row r="366" spans="1:20" s="27" customFormat="1" ht="36" customHeight="1" thickBot="1" x14ac:dyDescent="0.25">
      <c r="B366" s="119">
        <v>4</v>
      </c>
      <c r="C366" s="120"/>
      <c r="D366" s="120"/>
      <c r="E366" s="121"/>
      <c r="F366" s="121"/>
      <c r="G366" s="120"/>
      <c r="H366" s="122"/>
      <c r="I366" s="123"/>
      <c r="J366" s="124"/>
      <c r="K366" s="125"/>
      <c r="L366" s="53">
        <f t="shared" si="39"/>
        <v>0</v>
      </c>
      <c r="M366" s="126" t="str">
        <f>+IF(C366&lt;&gt;"",IF(L366&gt;=$H$6,"SI","NO"),"")</f>
        <v/>
      </c>
      <c r="N366" s="123"/>
      <c r="O366" s="136"/>
      <c r="P366" s="149"/>
      <c r="Q366" s="150" t="str">
        <f>+IF(C366="","",IF(AND(H366&lt;&gt;"",I366="SI",J366&lt;&gt;"",J366&gt;0,K366&lt;&gt;"",K366&gt;0),"SI","NO"))</f>
        <v/>
      </c>
      <c r="S366" s="55" t="str">
        <f>+IF(C366&lt;&gt;"",IF(AND(M366="SI",N366="SI",Q366="SI"),"HÁBIL","NO HÁBIL"),"")</f>
        <v/>
      </c>
    </row>
    <row r="367" spans="1:20" ht="36" customHeight="1" thickBot="1" x14ac:dyDescent="0.25">
      <c r="A367" s="56">
        <f>+$B360</f>
        <v>40</v>
      </c>
      <c r="B367" s="57" t="str">
        <f>"A"&amp;B360</f>
        <v>A40</v>
      </c>
      <c r="C367" s="340" t="str">
        <f>+$C$16</f>
        <v>PROPONENTE HÁBIL / NO HÁBIL</v>
      </c>
      <c r="D367" s="341"/>
      <c r="E367" s="341"/>
      <c r="F367" s="341"/>
      <c r="G367" s="341"/>
      <c r="H367" s="342"/>
      <c r="I367" s="58" t="str">
        <f>IF(S363="","",IF(OR(S363="HÁBIL",S364="HÁBIL",S365="HÁBIL",S366="HÁBIL"),"HÁBIL","NO HÁBIL"))</f>
        <v/>
      </c>
      <c r="J367" s="59"/>
      <c r="K367" s="27"/>
      <c r="L367" s="27"/>
      <c r="M367" s="27"/>
      <c r="N367" s="60"/>
      <c r="O367" s="1"/>
      <c r="P367" s="61"/>
      <c r="Q367" s="61"/>
      <c r="R367" s="61"/>
      <c r="S367" s="61"/>
      <c r="T367" s="61"/>
    </row>
    <row r="368" spans="1:20" ht="12" thickBot="1" x14ac:dyDescent="0.25"/>
    <row r="369" spans="1:20" ht="36.75" customHeight="1" thickBot="1" x14ac:dyDescent="0.25">
      <c r="B369" s="23">
        <f>1+B360</f>
        <v>41</v>
      </c>
      <c r="C369" s="336" t="s">
        <v>932</v>
      </c>
      <c r="D369" s="337"/>
      <c r="E369" s="337"/>
      <c r="F369" s="337"/>
      <c r="G369" s="337"/>
      <c r="H369" s="337"/>
      <c r="I369" s="338"/>
      <c r="J369" s="24" t="str">
        <f>+IF(C369="","",$J$9)</f>
        <v/>
      </c>
      <c r="K369" s="339" t="s">
        <v>932</v>
      </c>
      <c r="L369" s="339"/>
      <c r="M369" s="339"/>
      <c r="N369" s="25">
        <f>+B369</f>
        <v>41</v>
      </c>
      <c r="O369" s="323" t="str">
        <f ca="1">+$O$9</f>
        <v>OBSERVACIONES</v>
      </c>
      <c r="Q369" s="325" t="str">
        <f ca="1">+$Q$9</f>
        <v>¿EL CONTRATO CUMPLE CON LOS REQUERIMIENTOS ADICIONALES DE EXPERIENCIA  EN EL PLIEGO?
 (INSCRIPCIÓN EN RUP - CÓDIGO UNSPSC - VALOR EN RUP - % DE PARTICIPACIÓN)
(SI / NO)</v>
      </c>
      <c r="S369" s="328" t="str">
        <f ca="1">+$S$9</f>
        <v>PROPONENTE HÁBIL/NO HÁBIL</v>
      </c>
    </row>
    <row r="370" spans="1:20" ht="42" customHeight="1" x14ac:dyDescent="0.2">
      <c r="B370" s="331" t="str">
        <f ca="1">+$B$10</f>
        <v>ITEM</v>
      </c>
      <c r="C370" s="318" t="str">
        <f ca="1">+$C$10</f>
        <v>PROPONENTE 
/ 
INTEGRANTE OFERENTE PLURAL</v>
      </c>
      <c r="D370" s="333" t="str">
        <f ca="1">+$D$10</f>
        <v>INFORMACIÓN DEL CONTRATO</v>
      </c>
      <c r="E370" s="334"/>
      <c r="F370" s="334"/>
      <c r="G370" s="335"/>
      <c r="H370" s="318" t="str">
        <f>+H361</f>
        <v>CONSECUTIVO RUP</v>
      </c>
      <c r="I370" s="318" t="str">
        <f ca="1">+$I$10</f>
        <v>¿SE ENCUENTRA INSCRITO EN EL RUP Y CUMPLE CÓDIGOS UNSPSC?</v>
      </c>
      <c r="J370" s="318" t="str">
        <f ca="1">+$J$10</f>
        <v xml:space="preserve">VALOR EN RUP (SMMLV) </v>
      </c>
      <c r="K370" s="318" t="str">
        <f ca="1">+$K$10</f>
        <v>% PARTIC en el RUP</v>
      </c>
      <c r="L370" s="318" t="str">
        <f ca="1">+$L$10</f>
        <v>VALOR DEL CONTRATO TERMINADO (SMMLV) en el   RUP</v>
      </c>
      <c r="M370" s="318" t="str">
        <f ca="1">+$M$10</f>
        <v>VALOR CERTIFICADO CONTRATO &gt; VEH</v>
      </c>
      <c r="N370" s="318" t="str">
        <f ca="1">+$N$10</f>
        <v>VALIDACIÓN DE OBJETO Y/O ALCANCE
(SI/NO)
(INTERVENTORIA DE OBRA CIVIL)</v>
      </c>
      <c r="O370" s="324"/>
      <c r="Q370" s="326"/>
      <c r="S370" s="329">
        <f ca="1">+$S$10</f>
        <v>0</v>
      </c>
    </row>
    <row r="371" spans="1:20" ht="38.25" customHeight="1" thickBot="1" x14ac:dyDescent="0.25">
      <c r="B371" s="332"/>
      <c r="C371" s="319"/>
      <c r="D371" s="26" t="str">
        <f ca="1">+$D$11</f>
        <v>ENTIDAD</v>
      </c>
      <c r="E371" s="26" t="str">
        <f ca="1">+$E$11</f>
        <v>No. DE CONTRATO</v>
      </c>
      <c r="F371" s="26" t="str">
        <f ca="1">+$F$11</f>
        <v>OBJETO</v>
      </c>
      <c r="G371" s="26" t="str">
        <f ca="1">+$G$11</f>
        <v>CONTRATISTA</v>
      </c>
      <c r="H371" s="319"/>
      <c r="I371" s="319"/>
      <c r="J371" s="319"/>
      <c r="K371" s="319"/>
      <c r="L371" s="319"/>
      <c r="M371" s="319"/>
      <c r="N371" s="319"/>
      <c r="O371" s="324"/>
      <c r="Q371" s="327"/>
      <c r="S371" s="330"/>
    </row>
    <row r="372" spans="1:20" s="27" customFormat="1" ht="51.75" customHeight="1" x14ac:dyDescent="0.2">
      <c r="B372" s="101">
        <v>1</v>
      </c>
      <c r="C372" s="102"/>
      <c r="D372" s="102"/>
      <c r="E372" s="103"/>
      <c r="F372" s="103"/>
      <c r="G372" s="102"/>
      <c r="H372" s="104"/>
      <c r="I372" s="105"/>
      <c r="J372" s="106"/>
      <c r="K372" s="107"/>
      <c r="L372" s="34">
        <f>IF(OR(H372="",I372&lt;&gt;"SI",I372="NO",J372="",J372=0,K372="",K372=0,Q372&lt;&gt;"SI",N372&lt;&gt;"SI"),0,J372*K372)</f>
        <v>0</v>
      </c>
      <c r="M372" s="108" t="str">
        <f>+IF(C372&lt;&gt;"",IF(L372&gt;=$H$6,"SI","NO"),"")</f>
        <v/>
      </c>
      <c r="N372" s="129"/>
      <c r="O372" s="109"/>
      <c r="Q372" s="37" t="str">
        <f>+IF(C372="","",IF(AND(H372&lt;&gt;"",I372="SI",J372&lt;&gt;"",J372&gt;0,K372&lt;&gt;"",K372&gt;0),"SI","NO"))</f>
        <v/>
      </c>
      <c r="S372" s="37" t="str">
        <f>+IF(C372&lt;&gt;"",IF(AND(M372="SI",N372="SI",Q372="SI"),"HÁBIL","NO HÁBIL"),"")</f>
        <v/>
      </c>
    </row>
    <row r="373" spans="1:20" s="27" customFormat="1" ht="51.75" customHeight="1" x14ac:dyDescent="0.2">
      <c r="B373" s="110">
        <v>2</v>
      </c>
      <c r="C373" s="111"/>
      <c r="D373" s="111"/>
      <c r="E373" s="112"/>
      <c r="F373" s="112"/>
      <c r="G373" s="111"/>
      <c r="H373" s="113"/>
      <c r="I373" s="114"/>
      <c r="J373" s="115"/>
      <c r="K373" s="116"/>
      <c r="L373" s="44">
        <f t="shared" ref="L373:L375" si="40">IF(OR(H373="",I373&lt;&gt;"SI",I373="NO",J373="",J373=0,K373="",K373=0,Q373&lt;&gt;"SI",N373&lt;&gt;"SI"),0,J373*K373)</f>
        <v>0</v>
      </c>
      <c r="M373" s="117" t="str">
        <f>+IF(C373&lt;&gt;"",IF(L373&gt;=$H$6,"SI","NO"),"")</f>
        <v/>
      </c>
      <c r="N373" s="114"/>
      <c r="O373" s="118"/>
      <c r="Q373" s="37" t="str">
        <f>+IF(C373="","",IF(AND(H373&lt;&gt;"",I373="SI",J373&lt;&gt;"",J373&gt;0,K373&lt;&gt;"",K373&gt;0),"SI","NO"))</f>
        <v/>
      </c>
      <c r="S373" s="37" t="str">
        <f>+IF(C373&lt;&gt;"",IF(AND(M373="SI",N373="SI",Q373="SI"),"HÁBIL","NO HÁBIL"),"")</f>
        <v/>
      </c>
    </row>
    <row r="374" spans="1:20" s="27" customFormat="1" ht="36" customHeight="1" x14ac:dyDescent="0.2">
      <c r="B374" s="110">
        <v>3</v>
      </c>
      <c r="C374" s="111"/>
      <c r="D374" s="111"/>
      <c r="E374" s="112"/>
      <c r="F374" s="112"/>
      <c r="G374" s="111"/>
      <c r="H374" s="113"/>
      <c r="I374" s="114"/>
      <c r="J374" s="115"/>
      <c r="K374" s="116"/>
      <c r="L374" s="44">
        <f t="shared" si="40"/>
        <v>0</v>
      </c>
      <c r="M374" s="117" t="str">
        <f>+IF(C374&lt;&gt;"",IF(L374&gt;=$H$6,"SI","NO"),"")</f>
        <v/>
      </c>
      <c r="N374" s="114"/>
      <c r="O374" s="118"/>
      <c r="Q374" s="37" t="str">
        <f>+IF(C374="","",IF(AND(H374&lt;&gt;"",I374="SI",J374&lt;&gt;"",J374&gt;0,K374&lt;&gt;"",K374&gt;0),"SI","NO"))</f>
        <v/>
      </c>
      <c r="S374" s="37" t="str">
        <f>+IF(C374&lt;&gt;"",IF(AND(M374="SI",N374="SI",Q374="SI"),"HÁBIL","NO HÁBIL"),"")</f>
        <v/>
      </c>
    </row>
    <row r="375" spans="1:20" s="27" customFormat="1" ht="36" customHeight="1" thickBot="1" x14ac:dyDescent="0.25">
      <c r="B375" s="119">
        <v>4</v>
      </c>
      <c r="C375" s="120"/>
      <c r="D375" s="120"/>
      <c r="E375" s="121"/>
      <c r="F375" s="121"/>
      <c r="G375" s="120"/>
      <c r="H375" s="122"/>
      <c r="I375" s="123"/>
      <c r="J375" s="124"/>
      <c r="K375" s="125"/>
      <c r="L375" s="53">
        <f t="shared" si="40"/>
        <v>0</v>
      </c>
      <c r="M375" s="126" t="str">
        <f>+IF(C375&lt;&gt;"",IF(L375&gt;=$H$6,"SI","NO"),"")</f>
        <v/>
      </c>
      <c r="N375" s="123"/>
      <c r="O375" s="127"/>
      <c r="Q375" s="55" t="str">
        <f>+IF(C375="","",IF(AND(H375&lt;&gt;"",I375="SI",J375&lt;&gt;"",J375&gt;0,K375&lt;&gt;"",K375&gt;0),"SI","NO"))</f>
        <v/>
      </c>
      <c r="S375" s="55" t="str">
        <f>+IF(C375&lt;&gt;"",IF(AND(M375="SI",N375="SI",Q375="SI"),"HÁBIL","NO HÁBIL"),"")</f>
        <v/>
      </c>
    </row>
    <row r="376" spans="1:20" ht="36" customHeight="1" thickBot="1" x14ac:dyDescent="0.25">
      <c r="A376" s="56">
        <f>+$B369</f>
        <v>41</v>
      </c>
      <c r="B376" s="57" t="str">
        <f>"A"&amp;B369</f>
        <v>A41</v>
      </c>
      <c r="C376" s="340" t="str">
        <f>+$C$16</f>
        <v>PROPONENTE HÁBIL / NO HÁBIL</v>
      </c>
      <c r="D376" s="341"/>
      <c r="E376" s="341"/>
      <c r="F376" s="341"/>
      <c r="G376" s="341"/>
      <c r="H376" s="342"/>
      <c r="I376" s="58" t="str">
        <f>IF(S372="","",IF(OR(S372="HÁBIL",S373="HÁBIL",S374="HÁBIL",S375="HÁBIL"),"HÁBIL","NO HÁBIL"))</f>
        <v/>
      </c>
      <c r="J376" s="59"/>
      <c r="K376" s="27"/>
      <c r="L376" s="27"/>
      <c r="M376" s="27"/>
      <c r="N376" s="60"/>
      <c r="O376" s="1"/>
      <c r="P376" s="61"/>
      <c r="Q376" s="61"/>
      <c r="R376" s="61"/>
      <c r="S376" s="61"/>
      <c r="T376" s="61"/>
    </row>
    <row r="377" spans="1:20" ht="12" thickBot="1" x14ac:dyDescent="0.25"/>
    <row r="378" spans="1:20" ht="36.75" customHeight="1" thickBot="1" x14ac:dyDescent="0.25">
      <c r="B378" s="23">
        <f>1+B369</f>
        <v>42</v>
      </c>
      <c r="C378" s="336" t="s">
        <v>932</v>
      </c>
      <c r="D378" s="337"/>
      <c r="E378" s="337"/>
      <c r="F378" s="337"/>
      <c r="G378" s="337"/>
      <c r="H378" s="337"/>
      <c r="I378" s="338"/>
      <c r="J378" s="24" t="str">
        <f>+IF(C378="","",$J$9)</f>
        <v/>
      </c>
      <c r="K378" s="339" t="s">
        <v>932</v>
      </c>
      <c r="L378" s="339"/>
      <c r="M378" s="339"/>
      <c r="N378" s="25">
        <f>+B378</f>
        <v>42</v>
      </c>
      <c r="O378" s="323" t="str">
        <f ca="1">+$O$9</f>
        <v>OBSERVACIONES</v>
      </c>
      <c r="Q378" s="325" t="str">
        <f ca="1">+$Q$9</f>
        <v>¿EL CONTRATO CUMPLE CON LOS REQUERIMIENTOS ADICIONALES DE EXPERIENCIA  EN EL PLIEGO?
 (INSCRIPCIÓN EN RUP - CÓDIGO UNSPSC - VALOR EN RUP - % DE PARTICIPACIÓN)
(SI / NO)</v>
      </c>
      <c r="S378" s="328" t="str">
        <f ca="1">+$S$9</f>
        <v>PROPONENTE HÁBIL/NO HÁBIL</v>
      </c>
    </row>
    <row r="379" spans="1:20" ht="42" customHeight="1" x14ac:dyDescent="0.2">
      <c r="B379" s="331" t="str">
        <f ca="1">+$B$10</f>
        <v>ITEM</v>
      </c>
      <c r="C379" s="318" t="str">
        <f ca="1">+$C$10</f>
        <v>PROPONENTE 
/ 
INTEGRANTE OFERENTE PLURAL</v>
      </c>
      <c r="D379" s="333" t="str">
        <f ca="1">+$D$10</f>
        <v>INFORMACIÓN DEL CONTRATO</v>
      </c>
      <c r="E379" s="334"/>
      <c r="F379" s="334"/>
      <c r="G379" s="335"/>
      <c r="H379" s="318" t="str">
        <f>+H370</f>
        <v>CONSECUTIVO RUP</v>
      </c>
      <c r="I379" s="318" t="str">
        <f ca="1">+$I$10</f>
        <v>¿SE ENCUENTRA INSCRITO EN EL RUP Y CUMPLE CÓDIGOS UNSPSC?</v>
      </c>
      <c r="J379" s="318" t="str">
        <f ca="1">+$J$10</f>
        <v xml:space="preserve">VALOR EN RUP (SMMLV) </v>
      </c>
      <c r="K379" s="318" t="str">
        <f ca="1">+$K$10</f>
        <v>% PARTIC en el RUP</v>
      </c>
      <c r="L379" s="318" t="str">
        <f ca="1">+$L$10</f>
        <v>VALOR DEL CONTRATO TERMINADO (SMMLV) en el   RUP</v>
      </c>
      <c r="M379" s="318" t="str">
        <f ca="1">+$M$10</f>
        <v>VALOR CERTIFICADO CONTRATO &gt; VEH</v>
      </c>
      <c r="N379" s="318" t="str">
        <f ca="1">+$N$10</f>
        <v>VALIDACIÓN DE OBJETO Y/O ALCANCE
(SI/NO)
(INTERVENTORIA DE OBRA CIVIL)</v>
      </c>
      <c r="O379" s="324"/>
      <c r="Q379" s="326"/>
      <c r="S379" s="329">
        <f ca="1">+$S$10</f>
        <v>0</v>
      </c>
    </row>
    <row r="380" spans="1:20" ht="38.25" customHeight="1" thickBot="1" x14ac:dyDescent="0.25">
      <c r="B380" s="332"/>
      <c r="C380" s="319"/>
      <c r="D380" s="26" t="str">
        <f ca="1">+$D$11</f>
        <v>ENTIDAD</v>
      </c>
      <c r="E380" s="26" t="str">
        <f ca="1">+$E$11</f>
        <v>No. DE CONTRATO</v>
      </c>
      <c r="F380" s="26" t="str">
        <f ca="1">+$F$11</f>
        <v>OBJETO</v>
      </c>
      <c r="G380" s="26" t="str">
        <f ca="1">+$G$11</f>
        <v>CONTRATISTA</v>
      </c>
      <c r="H380" s="319"/>
      <c r="I380" s="319"/>
      <c r="J380" s="319"/>
      <c r="K380" s="319"/>
      <c r="L380" s="319"/>
      <c r="M380" s="319"/>
      <c r="N380" s="319"/>
      <c r="O380" s="324"/>
      <c r="Q380" s="327"/>
      <c r="S380" s="330"/>
    </row>
    <row r="381" spans="1:20" s="27" customFormat="1" ht="51.75" customHeight="1" x14ac:dyDescent="0.2">
      <c r="B381" s="101">
        <v>1</v>
      </c>
      <c r="C381" s="102"/>
      <c r="D381" s="102"/>
      <c r="E381" s="103"/>
      <c r="F381" s="103"/>
      <c r="G381" s="102"/>
      <c r="H381" s="104"/>
      <c r="I381" s="105"/>
      <c r="J381" s="106"/>
      <c r="K381" s="107"/>
      <c r="L381" s="34">
        <f>IF(OR(H381="",I381&lt;&gt;"SI",I381="NO",J381="",J381=0,K381="",K381=0,Q381&lt;&gt;"SI",N381&lt;&gt;"SI"),0,J381*K381)</f>
        <v>0</v>
      </c>
      <c r="M381" s="108" t="str">
        <f>+IF(C381&lt;&gt;"",IF(L381&gt;=$H$6,"SI","NO"),"")</f>
        <v/>
      </c>
      <c r="N381" s="129"/>
      <c r="O381" s="109"/>
      <c r="Q381" s="37" t="str">
        <f>+IF(C381="","",IF(AND(H381&lt;&gt;"",I381="SI",J381&lt;&gt;"",J381&gt;0,K381&lt;&gt;"",K381&gt;0),"SI","NO"))</f>
        <v/>
      </c>
      <c r="S381" s="37" t="str">
        <f>+IF(C381&lt;&gt;"",IF(AND(M381="SI",N381="SI",Q381="SI"),"HÁBIL","NO HÁBIL"),"")</f>
        <v/>
      </c>
    </row>
    <row r="382" spans="1:20" s="27" customFormat="1" ht="51.75" customHeight="1" x14ac:dyDescent="0.2">
      <c r="B382" s="110">
        <v>2</v>
      </c>
      <c r="C382" s="111"/>
      <c r="D382" s="111"/>
      <c r="E382" s="112"/>
      <c r="F382" s="112"/>
      <c r="G382" s="111"/>
      <c r="H382" s="113"/>
      <c r="I382" s="114"/>
      <c r="J382" s="115"/>
      <c r="K382" s="116"/>
      <c r="L382" s="44">
        <f t="shared" ref="L382:L384" si="41">IF(OR(H382="",I382&lt;&gt;"SI",I382="NO",J382="",J382=0,K382="",K382=0,Q382&lt;&gt;"SI",N382&lt;&gt;"SI"),0,J382*K382)</f>
        <v>0</v>
      </c>
      <c r="M382" s="117" t="str">
        <f>+IF(C382&lt;&gt;"",IF(L382&gt;=$H$6,"SI","NO"),"")</f>
        <v/>
      </c>
      <c r="N382" s="114"/>
      <c r="O382" s="118"/>
      <c r="Q382" s="37" t="str">
        <f>+IF(C382="","",IF(AND(H382&lt;&gt;"",I382="SI",J382&lt;&gt;"",J382&gt;0,K382&lt;&gt;"",K382&gt;0),"SI","NO"))</f>
        <v/>
      </c>
      <c r="S382" s="37" t="str">
        <f>+IF(C382&lt;&gt;"",IF(AND(M382="SI",N382="SI",Q382="SI"),"HÁBIL","NO HÁBIL"),"")</f>
        <v/>
      </c>
    </row>
    <row r="383" spans="1:20" s="27" customFormat="1" ht="36" customHeight="1" x14ac:dyDescent="0.2">
      <c r="B383" s="110">
        <v>3</v>
      </c>
      <c r="C383" s="111"/>
      <c r="D383" s="111"/>
      <c r="E383" s="112"/>
      <c r="F383" s="112"/>
      <c r="G383" s="111"/>
      <c r="H383" s="113"/>
      <c r="I383" s="114"/>
      <c r="J383" s="115"/>
      <c r="K383" s="116"/>
      <c r="L383" s="44">
        <f t="shared" si="41"/>
        <v>0</v>
      </c>
      <c r="M383" s="117" t="str">
        <f>+IF(C383&lt;&gt;"",IF(L383&gt;=$H$6,"SI","NO"),"")</f>
        <v/>
      </c>
      <c r="N383" s="114"/>
      <c r="O383" s="118"/>
      <c r="Q383" s="37" t="str">
        <f>+IF(C383="","",IF(AND(H383&lt;&gt;"",I383="SI",J383&lt;&gt;"",J383&gt;0,K383&lt;&gt;"",K383&gt;0),"SI","NO"))</f>
        <v/>
      </c>
      <c r="S383" s="37" t="str">
        <f>+IF(C383&lt;&gt;"",IF(AND(M383="SI",N383="SI",Q383="SI"),"HÁBIL","NO HÁBIL"),"")</f>
        <v/>
      </c>
    </row>
    <row r="384" spans="1:20" s="27" customFormat="1" ht="36" customHeight="1" thickBot="1" x14ac:dyDescent="0.25">
      <c r="B384" s="119">
        <v>4</v>
      </c>
      <c r="C384" s="120"/>
      <c r="D384" s="120"/>
      <c r="E384" s="121"/>
      <c r="F384" s="121"/>
      <c r="G384" s="120"/>
      <c r="H384" s="122"/>
      <c r="I384" s="123"/>
      <c r="J384" s="124"/>
      <c r="K384" s="125"/>
      <c r="L384" s="53">
        <f t="shared" si="41"/>
        <v>0</v>
      </c>
      <c r="M384" s="126" t="str">
        <f>+IF(C384&lt;&gt;"",IF(L384&gt;=$H$6,"SI","NO"),"")</f>
        <v/>
      </c>
      <c r="N384" s="123"/>
      <c r="O384" s="127"/>
      <c r="Q384" s="55" t="str">
        <f>+IF(C384="","",IF(AND(H384&lt;&gt;"",I384="SI",J384&lt;&gt;"",J384&gt;0,K384&lt;&gt;"",K384&gt;0),"SI","NO"))</f>
        <v/>
      </c>
      <c r="S384" s="55" t="str">
        <f>+IF(C384&lt;&gt;"",IF(AND(M384="SI",N384="SI",Q384="SI"),"HÁBIL","NO HÁBIL"),"")</f>
        <v/>
      </c>
    </row>
    <row r="385" spans="1:20" ht="36" customHeight="1" thickBot="1" x14ac:dyDescent="0.25">
      <c r="A385" s="56">
        <f>+$B378</f>
        <v>42</v>
      </c>
      <c r="B385" s="57" t="str">
        <f>"A"&amp;B378</f>
        <v>A42</v>
      </c>
      <c r="C385" s="340" t="str">
        <f>+$C$16</f>
        <v>PROPONENTE HÁBIL / NO HÁBIL</v>
      </c>
      <c r="D385" s="341"/>
      <c r="E385" s="341"/>
      <c r="F385" s="341"/>
      <c r="G385" s="341"/>
      <c r="H385" s="342"/>
      <c r="I385" s="58" t="str">
        <f>IF(S381="","",IF(OR(S381="HÁBIL",S382="HÁBIL",S383="HÁBIL",S384="HÁBIL"),"HÁBIL","NO HÁBIL"))</f>
        <v/>
      </c>
      <c r="J385" s="59"/>
      <c r="K385" s="27"/>
      <c r="L385" s="27"/>
      <c r="M385" s="27"/>
      <c r="N385" s="60"/>
      <c r="O385" s="1"/>
      <c r="P385" s="61"/>
      <c r="Q385" s="61"/>
      <c r="R385" s="61"/>
      <c r="S385" s="61"/>
      <c r="T385" s="61"/>
    </row>
    <row r="386" spans="1:20" ht="12" thickBot="1" x14ac:dyDescent="0.25"/>
    <row r="387" spans="1:20" ht="36.75" customHeight="1" thickBot="1" x14ac:dyDescent="0.25">
      <c r="B387" s="23">
        <f>1+B378</f>
        <v>43</v>
      </c>
      <c r="C387" s="336" t="s">
        <v>932</v>
      </c>
      <c r="D387" s="337"/>
      <c r="E387" s="337"/>
      <c r="F387" s="337"/>
      <c r="G387" s="337"/>
      <c r="H387" s="337"/>
      <c r="I387" s="338"/>
      <c r="J387" s="24" t="str">
        <f>+IF(C387="","",$J$9)</f>
        <v/>
      </c>
      <c r="K387" s="339" t="s">
        <v>932</v>
      </c>
      <c r="L387" s="339"/>
      <c r="M387" s="339"/>
      <c r="N387" s="25">
        <f>+B387</f>
        <v>43</v>
      </c>
      <c r="O387" s="323" t="str">
        <f ca="1">+$O$9</f>
        <v>OBSERVACIONES</v>
      </c>
      <c r="Q387" s="325" t="str">
        <f ca="1">+$Q$9</f>
        <v>¿EL CONTRATO CUMPLE CON LOS REQUERIMIENTOS ADICIONALES DE EXPERIENCIA  EN EL PLIEGO?
 (INSCRIPCIÓN EN RUP - CÓDIGO UNSPSC - VALOR EN RUP - % DE PARTICIPACIÓN)
(SI / NO)</v>
      </c>
      <c r="S387" s="328" t="str">
        <f ca="1">+$S$9</f>
        <v>PROPONENTE HÁBIL/NO HÁBIL</v>
      </c>
    </row>
    <row r="388" spans="1:20" ht="42" customHeight="1" x14ac:dyDescent="0.2">
      <c r="B388" s="331" t="str">
        <f ca="1">+$B$10</f>
        <v>ITEM</v>
      </c>
      <c r="C388" s="318" t="str">
        <f ca="1">+$C$10</f>
        <v>PROPONENTE 
/ 
INTEGRANTE OFERENTE PLURAL</v>
      </c>
      <c r="D388" s="333" t="str">
        <f ca="1">+$D$10</f>
        <v>INFORMACIÓN DEL CONTRATO</v>
      </c>
      <c r="E388" s="334"/>
      <c r="F388" s="334"/>
      <c r="G388" s="335"/>
      <c r="H388" s="318" t="str">
        <f>+H379</f>
        <v>CONSECUTIVO RUP</v>
      </c>
      <c r="I388" s="318" t="str">
        <f ca="1">+$I$10</f>
        <v>¿SE ENCUENTRA INSCRITO EN EL RUP Y CUMPLE CÓDIGOS UNSPSC?</v>
      </c>
      <c r="J388" s="318" t="str">
        <f ca="1">+$J$10</f>
        <v xml:space="preserve">VALOR EN RUP (SMMLV) </v>
      </c>
      <c r="K388" s="318" t="str">
        <f ca="1">+$K$10</f>
        <v>% PARTIC en el RUP</v>
      </c>
      <c r="L388" s="318" t="str">
        <f ca="1">+$L$10</f>
        <v>VALOR DEL CONTRATO TERMINADO (SMMLV) en el   RUP</v>
      </c>
      <c r="M388" s="318" t="str">
        <f ca="1">+$M$10</f>
        <v>VALOR CERTIFICADO CONTRATO &gt; VEH</v>
      </c>
      <c r="N388" s="318" t="str">
        <f ca="1">+$N$10</f>
        <v>VALIDACIÓN DE OBJETO Y/O ALCANCE
(SI/NO)
(INTERVENTORIA DE OBRA CIVIL)</v>
      </c>
      <c r="O388" s="324"/>
      <c r="Q388" s="326"/>
      <c r="S388" s="329">
        <f ca="1">+$S$10</f>
        <v>0</v>
      </c>
    </row>
    <row r="389" spans="1:20" ht="38.25" customHeight="1" thickBot="1" x14ac:dyDescent="0.25">
      <c r="B389" s="332"/>
      <c r="C389" s="319"/>
      <c r="D389" s="26" t="str">
        <f ca="1">+$D$11</f>
        <v>ENTIDAD</v>
      </c>
      <c r="E389" s="26" t="str">
        <f ca="1">+$E$11</f>
        <v>No. DE CONTRATO</v>
      </c>
      <c r="F389" s="26" t="str">
        <f ca="1">+$F$11</f>
        <v>OBJETO</v>
      </c>
      <c r="G389" s="26" t="str">
        <f ca="1">+$G$11</f>
        <v>CONTRATISTA</v>
      </c>
      <c r="H389" s="319"/>
      <c r="I389" s="319"/>
      <c r="J389" s="319"/>
      <c r="K389" s="319"/>
      <c r="L389" s="319"/>
      <c r="M389" s="319"/>
      <c r="N389" s="319"/>
      <c r="O389" s="324"/>
      <c r="Q389" s="327"/>
      <c r="S389" s="330"/>
    </row>
    <row r="390" spans="1:20" s="27" customFormat="1" ht="98.25" customHeight="1" x14ac:dyDescent="0.2">
      <c r="B390" s="101">
        <v>1</v>
      </c>
      <c r="C390" s="102"/>
      <c r="D390" s="102"/>
      <c r="E390" s="103"/>
      <c r="F390" s="103"/>
      <c r="G390" s="102"/>
      <c r="H390" s="104"/>
      <c r="I390" s="105"/>
      <c r="J390" s="106"/>
      <c r="K390" s="107"/>
      <c r="L390" s="34">
        <f>IF(OR(H390="",I390&lt;&gt;"SI",I390="NO",J390="",J390=0,K390="",K390=0,Q390&lt;&gt;"SI",N390&lt;&gt;"SI"),0,J390*K390)</f>
        <v>0</v>
      </c>
      <c r="M390" s="108" t="str">
        <f>+IF(C390&lt;&gt;"",IF(L390&gt;=$H$6,"SI","NO"),"")</f>
        <v/>
      </c>
      <c r="N390" s="129"/>
      <c r="O390" s="109"/>
      <c r="Q390" s="37" t="str">
        <f>+IF(C390="","",IF(AND(H390&lt;&gt;"",I390="SI",J390&lt;&gt;"",J390&gt;0,K390&lt;&gt;"",K390&gt;0),"SI","NO"))</f>
        <v/>
      </c>
      <c r="S390" s="37" t="str">
        <f>+IF(C390&lt;&gt;"",IF(AND(M390="SI",N390="SI",Q390="SI"),"HÁBIL","NO HÁBIL"),"")</f>
        <v/>
      </c>
    </row>
    <row r="391" spans="1:20" s="27" customFormat="1" ht="51.75" customHeight="1" x14ac:dyDescent="0.2">
      <c r="B391" s="110">
        <v>2</v>
      </c>
      <c r="C391" s="111"/>
      <c r="D391" s="111"/>
      <c r="E391" s="112"/>
      <c r="F391" s="112"/>
      <c r="G391" s="111"/>
      <c r="H391" s="113"/>
      <c r="I391" s="114"/>
      <c r="J391" s="115"/>
      <c r="K391" s="116"/>
      <c r="L391" s="44">
        <f t="shared" ref="L391:L393" si="42">IF(OR(H391="",I391&lt;&gt;"SI",I391="NO",J391="",J391=0,K391="",K391=0,Q391&lt;&gt;"SI",N391&lt;&gt;"SI"),0,J391*K391)</f>
        <v>0</v>
      </c>
      <c r="M391" s="117" t="str">
        <f>+IF(C391&lt;&gt;"",IF(L391&gt;=$H$6,"SI","NO"),"")</f>
        <v/>
      </c>
      <c r="N391" s="114"/>
      <c r="O391" s="118"/>
      <c r="Q391" s="37" t="str">
        <f>+IF(C391="","",IF(AND(H391&lt;&gt;"",I391="SI",J391&lt;&gt;"",J391&gt;0,K391&lt;&gt;"",K391&gt;0),"SI","NO"))</f>
        <v/>
      </c>
      <c r="S391" s="37" t="str">
        <f>+IF(C391&lt;&gt;"",IF(AND(M391="SI",N391="SI",Q391="SI"),"HÁBIL","NO HÁBIL"),"")</f>
        <v/>
      </c>
    </row>
    <row r="392" spans="1:20" s="27" customFormat="1" ht="36" customHeight="1" x14ac:dyDescent="0.2">
      <c r="B392" s="110">
        <v>3</v>
      </c>
      <c r="C392" s="111"/>
      <c r="D392" s="111"/>
      <c r="E392" s="112"/>
      <c r="F392" s="112"/>
      <c r="G392" s="111"/>
      <c r="H392" s="113"/>
      <c r="I392" s="114"/>
      <c r="J392" s="115"/>
      <c r="K392" s="116"/>
      <c r="L392" s="44">
        <f t="shared" si="42"/>
        <v>0</v>
      </c>
      <c r="M392" s="117" t="str">
        <f>+IF(C392&lt;&gt;"",IF(L392&gt;=$H$6,"SI","NO"),"")</f>
        <v/>
      </c>
      <c r="N392" s="114"/>
      <c r="O392" s="118"/>
      <c r="Q392" s="37" t="str">
        <f>+IF(C392="","",IF(AND(H392&lt;&gt;"",I392="SI",J392&lt;&gt;"",J392&gt;0,K392&lt;&gt;"",K392&gt;0),"SI","NO"))</f>
        <v/>
      </c>
      <c r="S392" s="37" t="str">
        <f>+IF(C392&lt;&gt;"",IF(AND(M392="SI",N392="SI",Q392="SI"),"HÁBIL","NO HÁBIL"),"")</f>
        <v/>
      </c>
    </row>
    <row r="393" spans="1:20" s="27" customFormat="1" ht="36" customHeight="1" thickBot="1" x14ac:dyDescent="0.25">
      <c r="B393" s="119">
        <v>4</v>
      </c>
      <c r="C393" s="120"/>
      <c r="D393" s="120"/>
      <c r="E393" s="121"/>
      <c r="F393" s="121"/>
      <c r="G393" s="120"/>
      <c r="H393" s="122"/>
      <c r="I393" s="123"/>
      <c r="J393" s="124"/>
      <c r="K393" s="125"/>
      <c r="L393" s="53">
        <f t="shared" si="42"/>
        <v>0</v>
      </c>
      <c r="M393" s="126" t="str">
        <f>+IF(C393&lt;&gt;"",IF(L393&gt;=$H$6,"SI","NO"),"")</f>
        <v/>
      </c>
      <c r="N393" s="123"/>
      <c r="O393" s="127"/>
      <c r="Q393" s="55" t="str">
        <f>+IF(C393="","",IF(AND(H393&lt;&gt;"",I393="SI",J393&lt;&gt;"",J393&gt;0,K393&lt;&gt;"",K393&gt;0),"SI","NO"))</f>
        <v/>
      </c>
      <c r="S393" s="55" t="str">
        <f>+IF(C393&lt;&gt;"",IF(AND(M393="SI",N393="SI",Q393="SI"),"HÁBIL","NO HÁBIL"),"")</f>
        <v/>
      </c>
    </row>
    <row r="394" spans="1:20" ht="30" customHeight="1" thickBot="1" x14ac:dyDescent="0.25">
      <c r="A394" s="56">
        <f>+$B387</f>
        <v>43</v>
      </c>
      <c r="B394" s="57" t="str">
        <f>"A"&amp;B387</f>
        <v>A43</v>
      </c>
      <c r="C394" s="340" t="str">
        <f>+$C$16</f>
        <v>PROPONENTE HÁBIL / NO HÁBIL</v>
      </c>
      <c r="D394" s="341"/>
      <c r="E394" s="341"/>
      <c r="F394" s="341"/>
      <c r="G394" s="341"/>
      <c r="H394" s="342"/>
      <c r="I394" s="58" t="str">
        <f>IF(S390="","",IF(OR(S390="HÁBIL",S391="HÁBIL",S392="HÁBIL",S393="HÁBIL"),"HÁBIL","NO HÁBIL"))</f>
        <v/>
      </c>
      <c r="J394" s="59"/>
      <c r="K394" s="27"/>
      <c r="L394" s="27"/>
      <c r="M394" s="27"/>
      <c r="N394" s="60"/>
      <c r="O394" s="1"/>
      <c r="P394" s="61"/>
      <c r="Q394" s="61"/>
      <c r="R394" s="61"/>
      <c r="S394" s="61"/>
      <c r="T394" s="61"/>
    </row>
    <row r="395" spans="1:20" ht="12" thickBot="1" x14ac:dyDescent="0.25"/>
    <row r="396" spans="1:20" ht="36.75" customHeight="1" thickBot="1" x14ac:dyDescent="0.25">
      <c r="B396" s="23">
        <f>1+B387</f>
        <v>44</v>
      </c>
      <c r="C396" s="336" t="s">
        <v>932</v>
      </c>
      <c r="D396" s="337"/>
      <c r="E396" s="337"/>
      <c r="F396" s="337"/>
      <c r="G396" s="337"/>
      <c r="H396" s="337"/>
      <c r="I396" s="338"/>
      <c r="J396" s="24" t="str">
        <f>+IF(C396="","",$J$9)</f>
        <v/>
      </c>
      <c r="K396" s="339" t="s">
        <v>932</v>
      </c>
      <c r="L396" s="339"/>
      <c r="M396" s="339"/>
      <c r="N396" s="25">
        <f>+B396</f>
        <v>44</v>
      </c>
      <c r="O396" s="323" t="str">
        <f ca="1">+$O$9</f>
        <v>OBSERVACIONES</v>
      </c>
      <c r="Q396" s="325" t="str">
        <f ca="1">+$Q$9</f>
        <v>¿EL CONTRATO CUMPLE CON LOS REQUERIMIENTOS ADICIONALES DE EXPERIENCIA  EN EL PLIEGO?
 (INSCRIPCIÓN EN RUP - CÓDIGO UNSPSC - VALOR EN RUP - % DE PARTICIPACIÓN)
(SI / NO)</v>
      </c>
      <c r="S396" s="328" t="str">
        <f ca="1">+$S$9</f>
        <v>PROPONENTE HÁBIL/NO HÁBIL</v>
      </c>
    </row>
    <row r="397" spans="1:20" ht="42" customHeight="1" x14ac:dyDescent="0.2">
      <c r="B397" s="331" t="str">
        <f ca="1">+$B$10</f>
        <v>ITEM</v>
      </c>
      <c r="C397" s="318" t="str">
        <f ca="1">+$C$10</f>
        <v>PROPONENTE 
/ 
INTEGRANTE OFERENTE PLURAL</v>
      </c>
      <c r="D397" s="333" t="str">
        <f ca="1">+$D$10</f>
        <v>INFORMACIÓN DEL CONTRATO</v>
      </c>
      <c r="E397" s="334"/>
      <c r="F397" s="334"/>
      <c r="G397" s="335"/>
      <c r="H397" s="318" t="str">
        <f>+H388</f>
        <v>CONSECUTIVO RUP</v>
      </c>
      <c r="I397" s="318" t="str">
        <f ca="1">+$I$10</f>
        <v>¿SE ENCUENTRA INSCRITO EN EL RUP Y CUMPLE CÓDIGOS UNSPSC?</v>
      </c>
      <c r="J397" s="318" t="str">
        <f ca="1">+$J$10</f>
        <v xml:space="preserve">VALOR EN RUP (SMMLV) </v>
      </c>
      <c r="K397" s="318" t="str">
        <f ca="1">+$K$10</f>
        <v>% PARTIC en el RUP</v>
      </c>
      <c r="L397" s="318" t="str">
        <f ca="1">+$L$10</f>
        <v>VALOR DEL CONTRATO TERMINADO (SMMLV) en el   RUP</v>
      </c>
      <c r="M397" s="318" t="str">
        <f ca="1">+$M$10</f>
        <v>VALOR CERTIFICADO CONTRATO &gt; VEH</v>
      </c>
      <c r="N397" s="318" t="str">
        <f ca="1">+$N$10</f>
        <v>VALIDACIÓN DE OBJETO Y/O ALCANCE
(SI/NO)
(INTERVENTORIA DE OBRA CIVIL)</v>
      </c>
      <c r="O397" s="324"/>
      <c r="Q397" s="326"/>
      <c r="S397" s="329">
        <f ca="1">+$S$10</f>
        <v>0</v>
      </c>
    </row>
    <row r="398" spans="1:20" ht="38.25" customHeight="1" thickBot="1" x14ac:dyDescent="0.25">
      <c r="B398" s="332"/>
      <c r="C398" s="319"/>
      <c r="D398" s="26" t="str">
        <f ca="1">+$D$11</f>
        <v>ENTIDAD</v>
      </c>
      <c r="E398" s="26" t="str">
        <f ca="1">+$E$11</f>
        <v>No. DE CONTRATO</v>
      </c>
      <c r="F398" s="26" t="str">
        <f ca="1">+$F$11</f>
        <v>OBJETO</v>
      </c>
      <c r="G398" s="26" t="str">
        <f ca="1">+$G$11</f>
        <v>CONTRATISTA</v>
      </c>
      <c r="H398" s="319"/>
      <c r="I398" s="319"/>
      <c r="J398" s="319"/>
      <c r="K398" s="319"/>
      <c r="L398" s="319"/>
      <c r="M398" s="319"/>
      <c r="N398" s="319"/>
      <c r="O398" s="324"/>
      <c r="Q398" s="327"/>
      <c r="S398" s="330"/>
    </row>
    <row r="399" spans="1:20" s="27" customFormat="1" ht="97.5" customHeight="1" x14ac:dyDescent="0.2">
      <c r="B399" s="101">
        <v>1</v>
      </c>
      <c r="C399" s="102"/>
      <c r="D399" s="102"/>
      <c r="E399" s="103"/>
      <c r="F399" s="103"/>
      <c r="G399" s="102"/>
      <c r="H399" s="104"/>
      <c r="I399" s="105"/>
      <c r="J399" s="106"/>
      <c r="K399" s="107"/>
      <c r="L399" s="34">
        <f>IF(OR(H399="",I399&lt;&gt;"SI",I399="NO",J399="",J399=0,K399="",K399=0,Q399&lt;&gt;"SI",N399&lt;&gt;"SI"),0,J399*K399)</f>
        <v>0</v>
      </c>
      <c r="M399" s="108" t="str">
        <f>+IF(C399&lt;&gt;"",IF(L399&gt;=$H$6,"SI","NO"),"")</f>
        <v/>
      </c>
      <c r="N399" s="129"/>
      <c r="O399" s="109"/>
      <c r="Q399" s="37" t="str">
        <f>+IF(C399="","",IF(AND(H399&lt;&gt;"",I399="SI",J399&lt;&gt;"",J399&gt;0,K399&lt;&gt;"",K399&gt;0),"SI","NO"))</f>
        <v/>
      </c>
      <c r="S399" s="37" t="str">
        <f>+IF(C399&lt;&gt;"",IF(AND(M399="SI",N399="SI",Q399="SI"),"HÁBIL","NO HÁBIL"),"")</f>
        <v/>
      </c>
    </row>
    <row r="400" spans="1:20" s="27" customFormat="1" ht="103.5" customHeight="1" x14ac:dyDescent="0.2">
      <c r="B400" s="110">
        <v>1</v>
      </c>
      <c r="C400" s="111"/>
      <c r="D400" s="111"/>
      <c r="E400" s="112"/>
      <c r="F400" s="112"/>
      <c r="G400" s="111"/>
      <c r="H400" s="113"/>
      <c r="I400" s="114"/>
      <c r="J400" s="115"/>
      <c r="K400" s="116"/>
      <c r="L400" s="44">
        <f t="shared" ref="L400:L402" si="43">IF(OR(H400="",I400&lt;&gt;"SI",I400="NO",J400="",J400=0,K400="",K400=0,Q400&lt;&gt;"SI",N400&lt;&gt;"SI"),0,J400*K400)</f>
        <v>0</v>
      </c>
      <c r="M400" s="117" t="str">
        <f>+IF(C400&lt;&gt;"",IF(L400&gt;=$H$6,"SI","NO"),"")</f>
        <v/>
      </c>
      <c r="N400" s="114"/>
      <c r="O400" s="118"/>
      <c r="Q400" s="37" t="str">
        <f>+IF(C400="","",IF(AND(H400&lt;&gt;"",I400="SI",J400&lt;&gt;"",J400&gt;0,K400&lt;&gt;"",K400&gt;0),"SI","NO"))</f>
        <v/>
      </c>
      <c r="S400" s="37" t="str">
        <f>+IF(C400&lt;&gt;"",IF(AND(M400="SI",N400="SI",Q400="SI"),"HÁBIL","NO HÁBIL"),"")</f>
        <v/>
      </c>
    </row>
    <row r="401" spans="1:20" s="27" customFormat="1" ht="36" customHeight="1" x14ac:dyDescent="0.2">
      <c r="B401" s="110">
        <v>2</v>
      </c>
      <c r="C401" s="111"/>
      <c r="D401" s="111"/>
      <c r="E401" s="112"/>
      <c r="F401" s="112"/>
      <c r="G401" s="111"/>
      <c r="H401" s="113"/>
      <c r="I401" s="114"/>
      <c r="J401" s="115"/>
      <c r="K401" s="116"/>
      <c r="L401" s="44">
        <f t="shared" si="43"/>
        <v>0</v>
      </c>
      <c r="M401" s="117" t="str">
        <f>+IF(C401&lt;&gt;"",IF(L401&gt;=$H$6,"SI","NO"),"")</f>
        <v/>
      </c>
      <c r="N401" s="114"/>
      <c r="O401" s="118"/>
      <c r="Q401" s="37" t="str">
        <f>+IF(C401="","",IF(AND(H401&lt;&gt;"",I401="SI",J401&lt;&gt;"",J401&gt;0,K401&lt;&gt;"",K401&gt;0),"SI","NO"))</f>
        <v/>
      </c>
      <c r="S401" s="37" t="str">
        <f>+IF(C401&lt;&gt;"",IF(AND(M401="SI",N401="SI",Q401="SI"),"HÁBIL","NO HÁBIL"),"")</f>
        <v/>
      </c>
    </row>
    <row r="402" spans="1:20" s="27" customFormat="1" ht="36" customHeight="1" thickBot="1" x14ac:dyDescent="0.25">
      <c r="B402" s="119">
        <v>3</v>
      </c>
      <c r="C402" s="120"/>
      <c r="D402" s="120"/>
      <c r="E402" s="121"/>
      <c r="F402" s="121"/>
      <c r="G402" s="120"/>
      <c r="H402" s="122"/>
      <c r="I402" s="123"/>
      <c r="J402" s="124"/>
      <c r="K402" s="125"/>
      <c r="L402" s="53">
        <f t="shared" si="43"/>
        <v>0</v>
      </c>
      <c r="M402" s="126" t="str">
        <f>+IF(C402&lt;&gt;"",IF(L402&gt;=$H$6,"SI","NO"),"")</f>
        <v/>
      </c>
      <c r="N402" s="123"/>
      <c r="O402" s="127"/>
      <c r="Q402" s="55" t="str">
        <f>+IF(C402="","",IF(AND(H402&lt;&gt;"",I402="SI",J402&lt;&gt;"",J402&gt;0,K402&lt;&gt;"",K402&gt;0),"SI","NO"))</f>
        <v/>
      </c>
      <c r="S402" s="55" t="str">
        <f>+IF(C402&lt;&gt;"",IF(AND(M402="SI",N402="SI",Q402="SI"),"HÁBIL","NO HÁBIL"),"")</f>
        <v/>
      </c>
    </row>
    <row r="403" spans="1:20" ht="36" customHeight="1" thickBot="1" x14ac:dyDescent="0.25">
      <c r="A403" s="56">
        <f>+$B396</f>
        <v>44</v>
      </c>
      <c r="B403" s="57" t="str">
        <f>"A"&amp;B396</f>
        <v>A44</v>
      </c>
      <c r="C403" s="340" t="str">
        <f>+$C$16</f>
        <v>PROPONENTE HÁBIL / NO HÁBIL</v>
      </c>
      <c r="D403" s="341"/>
      <c r="E403" s="341"/>
      <c r="F403" s="341"/>
      <c r="G403" s="341"/>
      <c r="H403" s="342"/>
      <c r="I403" s="58" t="str">
        <f>IF(S399="","",IF(OR(S399="HÁBIL",S400="HÁBIL",S401="HÁBIL",S402="HÁBIL"),"HÁBIL","NO HÁBIL"))</f>
        <v/>
      </c>
      <c r="J403" s="59"/>
      <c r="K403" s="27"/>
      <c r="L403" s="27"/>
      <c r="M403" s="27"/>
      <c r="N403" s="60"/>
      <c r="O403" s="1"/>
      <c r="P403" s="61"/>
      <c r="Q403" s="61"/>
      <c r="R403" s="61"/>
      <c r="S403" s="61"/>
      <c r="T403" s="61"/>
    </row>
    <row r="404" spans="1:20" ht="12" thickBot="1" x14ac:dyDescent="0.25"/>
    <row r="405" spans="1:20" ht="36.75" customHeight="1" thickBot="1" x14ac:dyDescent="0.25">
      <c r="B405" s="23">
        <f>1+B396</f>
        <v>45</v>
      </c>
      <c r="C405" s="336" t="s">
        <v>932</v>
      </c>
      <c r="D405" s="337"/>
      <c r="E405" s="337"/>
      <c r="F405" s="337"/>
      <c r="G405" s="337"/>
      <c r="H405" s="337"/>
      <c r="I405" s="338"/>
      <c r="J405" s="24" t="str">
        <f>+IF(C405="","",$J$9)</f>
        <v/>
      </c>
      <c r="K405" s="339" t="s">
        <v>932</v>
      </c>
      <c r="L405" s="339"/>
      <c r="M405" s="339"/>
      <c r="N405" s="25">
        <f>+B405</f>
        <v>45</v>
      </c>
      <c r="O405" s="323" t="str">
        <f ca="1">+$O$9</f>
        <v>OBSERVACIONES</v>
      </c>
      <c r="Q405" s="325" t="str">
        <f ca="1">+$Q$9</f>
        <v>¿EL CONTRATO CUMPLE CON LOS REQUERIMIENTOS ADICIONALES DE EXPERIENCIA  EN EL PLIEGO?
 (INSCRIPCIÓN EN RUP - CÓDIGO UNSPSC - VALOR EN RUP - % DE PARTICIPACIÓN)
(SI / NO)</v>
      </c>
      <c r="S405" s="328" t="str">
        <f ca="1">+$S$9</f>
        <v>PROPONENTE HÁBIL/NO HÁBIL</v>
      </c>
    </row>
    <row r="406" spans="1:20" ht="42" customHeight="1" x14ac:dyDescent="0.2">
      <c r="B406" s="331" t="str">
        <f ca="1">+$B$10</f>
        <v>ITEM</v>
      </c>
      <c r="C406" s="318" t="str">
        <f ca="1">+$C$10</f>
        <v>PROPONENTE 
/ 
INTEGRANTE OFERENTE PLURAL</v>
      </c>
      <c r="D406" s="333" t="str">
        <f ca="1">+$D$10</f>
        <v>INFORMACIÓN DEL CONTRATO</v>
      </c>
      <c r="E406" s="334"/>
      <c r="F406" s="334"/>
      <c r="G406" s="335"/>
      <c r="H406" s="318" t="str">
        <f>+H397</f>
        <v>CONSECUTIVO RUP</v>
      </c>
      <c r="I406" s="318" t="str">
        <f ca="1">+$I$10</f>
        <v>¿SE ENCUENTRA INSCRITO EN EL RUP Y CUMPLE CÓDIGOS UNSPSC?</v>
      </c>
      <c r="J406" s="318" t="str">
        <f ca="1">+$J$10</f>
        <v xml:space="preserve">VALOR EN RUP (SMMLV) </v>
      </c>
      <c r="K406" s="318" t="str">
        <f ca="1">+$K$10</f>
        <v>% PARTIC en el RUP</v>
      </c>
      <c r="L406" s="318" t="str">
        <f ca="1">+$L$10</f>
        <v>VALOR DEL CONTRATO TERMINADO (SMMLV) en el   RUP</v>
      </c>
      <c r="M406" s="318" t="str">
        <f ca="1">+$M$10</f>
        <v>VALOR CERTIFICADO CONTRATO &gt; VEH</v>
      </c>
      <c r="N406" s="318" t="str">
        <f ca="1">+$N$10</f>
        <v>VALIDACIÓN DE OBJETO Y/O ALCANCE
(SI/NO)
(INTERVENTORIA DE OBRA CIVIL)</v>
      </c>
      <c r="O406" s="324"/>
      <c r="Q406" s="326"/>
      <c r="S406" s="329">
        <f ca="1">+$S$10</f>
        <v>0</v>
      </c>
    </row>
    <row r="407" spans="1:20" ht="38.25" customHeight="1" thickBot="1" x14ac:dyDescent="0.25">
      <c r="B407" s="332"/>
      <c r="C407" s="319"/>
      <c r="D407" s="26" t="str">
        <f ca="1">+$D$11</f>
        <v>ENTIDAD</v>
      </c>
      <c r="E407" s="26" t="str">
        <f ca="1">+$E$11</f>
        <v>No. DE CONTRATO</v>
      </c>
      <c r="F407" s="26" t="str">
        <f ca="1">+$F$11</f>
        <v>OBJETO</v>
      </c>
      <c r="G407" s="26" t="str">
        <f ca="1">+$G$11</f>
        <v>CONTRATISTA</v>
      </c>
      <c r="H407" s="319"/>
      <c r="I407" s="319"/>
      <c r="J407" s="319"/>
      <c r="K407" s="319"/>
      <c r="L407" s="319"/>
      <c r="M407" s="319"/>
      <c r="N407" s="319"/>
      <c r="O407" s="324"/>
      <c r="Q407" s="327"/>
      <c r="S407" s="330"/>
    </row>
    <row r="408" spans="1:20" s="27" customFormat="1" ht="84.75" customHeight="1" x14ac:dyDescent="0.2">
      <c r="B408" s="101">
        <v>1</v>
      </c>
      <c r="C408" s="102"/>
      <c r="D408" s="102"/>
      <c r="E408" s="103"/>
      <c r="F408" s="103"/>
      <c r="G408" s="102"/>
      <c r="H408" s="104"/>
      <c r="I408" s="105"/>
      <c r="J408" s="106"/>
      <c r="K408" s="107"/>
      <c r="L408" s="34">
        <f>IF(OR(H408="",I408&lt;&gt;"SI",I408="NO",J408="",J408=0,K408="",K408=0,Q408&lt;&gt;"SI",N408&lt;&gt;"SI"),0,J408*K408)</f>
        <v>0</v>
      </c>
      <c r="M408" s="108" t="str">
        <f>+IF(C408&lt;&gt;"",IF(L408&gt;=$H$6,"SI","NO"),"")</f>
        <v/>
      </c>
      <c r="N408" s="129"/>
      <c r="O408" s="109"/>
      <c r="Q408" s="37" t="str">
        <f>+IF(C408="","",IF(AND(H408&lt;&gt;"",I408="SI",J408&lt;&gt;"",J408&gt;0,K408&lt;&gt;"",K408&gt;0),"SI","NO"))</f>
        <v/>
      </c>
      <c r="S408" s="37" t="str">
        <f>+IF(C408&lt;&gt;"",IF(AND(M408="SI",N408="SI",Q408="SI"),"HÁBIL","NO HÁBIL"),"")</f>
        <v/>
      </c>
    </row>
    <row r="409" spans="1:20" s="27" customFormat="1" ht="51.75" customHeight="1" x14ac:dyDescent="0.2">
      <c r="B409" s="110">
        <v>2</v>
      </c>
      <c r="C409" s="111"/>
      <c r="D409" s="111"/>
      <c r="E409" s="112"/>
      <c r="F409" s="112"/>
      <c r="G409" s="111"/>
      <c r="H409" s="113"/>
      <c r="I409" s="114"/>
      <c r="J409" s="115"/>
      <c r="K409" s="116"/>
      <c r="L409" s="44">
        <f t="shared" ref="L409:L411" si="44">IF(OR(H409="",I409&lt;&gt;"SI",I409="NO",J409="",J409=0,K409="",K409=0,Q409&lt;&gt;"SI",N409&lt;&gt;"SI"),0,J409*K409)</f>
        <v>0</v>
      </c>
      <c r="M409" s="117" t="str">
        <f>+IF(C409&lt;&gt;"",IF(L409&gt;=$H$6,"SI","NO"),"")</f>
        <v/>
      </c>
      <c r="N409" s="114"/>
      <c r="O409" s="118"/>
      <c r="Q409" s="37" t="str">
        <f>+IF(C409="","",IF(AND(H409&lt;&gt;"",I409="SI",J409&lt;&gt;"",J409&gt;0,K409&lt;&gt;"",K409&gt;0),"SI","NO"))</f>
        <v/>
      </c>
      <c r="S409" s="37" t="str">
        <f>+IF(C409&lt;&gt;"",IF(AND(M409="SI",N409="SI",Q409="SI"),"HÁBIL","NO HÁBIL"),"")</f>
        <v/>
      </c>
    </row>
    <row r="410" spans="1:20" s="27" customFormat="1" ht="36" customHeight="1" x14ac:dyDescent="0.2">
      <c r="B410" s="110">
        <v>3</v>
      </c>
      <c r="C410" s="111"/>
      <c r="D410" s="111"/>
      <c r="E410" s="112"/>
      <c r="F410" s="112"/>
      <c r="G410" s="111"/>
      <c r="H410" s="113"/>
      <c r="I410" s="114"/>
      <c r="J410" s="115"/>
      <c r="K410" s="116"/>
      <c r="L410" s="44">
        <f t="shared" si="44"/>
        <v>0</v>
      </c>
      <c r="M410" s="117" t="str">
        <f>+IF(C410&lt;&gt;"",IF(L410&gt;=$H$6,"SI","NO"),"")</f>
        <v/>
      </c>
      <c r="N410" s="114"/>
      <c r="O410" s="118"/>
      <c r="Q410" s="37" t="str">
        <f>+IF(C410="","",IF(AND(H410&lt;&gt;"",I410="SI",J410&lt;&gt;"",J410&gt;0,K410&lt;&gt;"",K410&gt;0),"SI","NO"))</f>
        <v/>
      </c>
      <c r="S410" s="37" t="str">
        <f>+IF(C410&lt;&gt;"",IF(AND(M410="SI",N410="SI",Q410="SI"),"HÁBIL","NO HÁBIL"),"")</f>
        <v/>
      </c>
    </row>
    <row r="411" spans="1:20" s="27" customFormat="1" ht="36" customHeight="1" thickBot="1" x14ac:dyDescent="0.25">
      <c r="B411" s="119">
        <v>4</v>
      </c>
      <c r="C411" s="120"/>
      <c r="D411" s="120"/>
      <c r="E411" s="121"/>
      <c r="F411" s="121"/>
      <c r="G411" s="120"/>
      <c r="H411" s="122"/>
      <c r="I411" s="123"/>
      <c r="J411" s="124"/>
      <c r="K411" s="125"/>
      <c r="L411" s="53">
        <f t="shared" si="44"/>
        <v>0</v>
      </c>
      <c r="M411" s="126" t="str">
        <f>+IF(C411&lt;&gt;"",IF(L411&gt;=$H$6,"SI","NO"),"")</f>
        <v/>
      </c>
      <c r="N411" s="123"/>
      <c r="O411" s="127"/>
      <c r="Q411" s="55" t="str">
        <f>+IF(C411="","",IF(AND(H411&lt;&gt;"",I411="SI",J411&lt;&gt;"",J411&gt;0,K411&lt;&gt;"",K411&gt;0),"SI","NO"))</f>
        <v/>
      </c>
      <c r="S411" s="55" t="str">
        <f>+IF(C411&lt;&gt;"",IF(AND(M411="SI",N411="SI",Q411="SI"),"HÁBIL","NO HÁBIL"),"")</f>
        <v/>
      </c>
    </row>
    <row r="412" spans="1:20" ht="36" customHeight="1" thickBot="1" x14ac:dyDescent="0.25">
      <c r="A412" s="56">
        <f>+$B405</f>
        <v>45</v>
      </c>
      <c r="B412" s="57" t="str">
        <f>"A"&amp;B405</f>
        <v>A45</v>
      </c>
      <c r="C412" s="340" t="str">
        <f>+$C$16</f>
        <v>PROPONENTE HÁBIL / NO HÁBIL</v>
      </c>
      <c r="D412" s="341"/>
      <c r="E412" s="341"/>
      <c r="F412" s="341"/>
      <c r="G412" s="341"/>
      <c r="H412" s="342"/>
      <c r="I412" s="151" t="str">
        <f>+IF(OR(S408="HÁBIL",S409="HÁBIL",S410="HÁBIL",S411="HÁBIL"),"HÁBIL","NO HÁBIL")</f>
        <v>NO HÁBIL</v>
      </c>
      <c r="J412" s="59"/>
      <c r="K412" s="27"/>
      <c r="L412" s="27"/>
      <c r="M412" s="27"/>
      <c r="N412" s="60"/>
      <c r="O412" s="1"/>
      <c r="P412" s="61"/>
      <c r="Q412" s="61"/>
      <c r="R412" s="61"/>
      <c r="S412" s="61"/>
      <c r="T412" s="61"/>
    </row>
    <row r="413" spans="1:20" ht="12" thickBot="1" x14ac:dyDescent="0.25"/>
    <row r="414" spans="1:20" ht="36.75" customHeight="1" thickBot="1" x14ac:dyDescent="0.25">
      <c r="B414" s="23">
        <f>1+B405</f>
        <v>46</v>
      </c>
      <c r="C414" s="336" t="s">
        <v>932</v>
      </c>
      <c r="D414" s="337"/>
      <c r="E414" s="337"/>
      <c r="F414" s="337"/>
      <c r="G414" s="337"/>
      <c r="H414" s="337"/>
      <c r="I414" s="338"/>
      <c r="J414" s="24" t="str">
        <f>+IF(C414="","",$J$9)</f>
        <v/>
      </c>
      <c r="K414" s="339" t="s">
        <v>932</v>
      </c>
      <c r="L414" s="339"/>
      <c r="M414" s="339"/>
      <c r="N414" s="25">
        <f>+B414</f>
        <v>46</v>
      </c>
      <c r="O414" s="323" t="str">
        <f ca="1">+$O$9</f>
        <v>OBSERVACIONES</v>
      </c>
      <c r="Q414" s="325" t="str">
        <f ca="1">+$Q$9</f>
        <v>¿EL CONTRATO CUMPLE CON LOS REQUERIMIENTOS ADICIONALES DE EXPERIENCIA  EN EL PLIEGO?
 (INSCRIPCIÓN EN RUP - CÓDIGO UNSPSC - VALOR EN RUP - % DE PARTICIPACIÓN)
(SI / NO)</v>
      </c>
      <c r="S414" s="328" t="str">
        <f ca="1">+$S$9</f>
        <v>PROPONENTE HÁBIL/NO HÁBIL</v>
      </c>
    </row>
    <row r="415" spans="1:20" ht="42" customHeight="1" x14ac:dyDescent="0.2">
      <c r="B415" s="331" t="str">
        <f ca="1">+$B$10</f>
        <v>ITEM</v>
      </c>
      <c r="C415" s="318" t="str">
        <f ca="1">+$C$10</f>
        <v>PROPONENTE 
/ 
INTEGRANTE OFERENTE PLURAL</v>
      </c>
      <c r="D415" s="333" t="str">
        <f ca="1">+$D$10</f>
        <v>INFORMACIÓN DEL CONTRATO</v>
      </c>
      <c r="E415" s="334"/>
      <c r="F415" s="334"/>
      <c r="G415" s="335"/>
      <c r="H415" s="318" t="str">
        <f>+H406</f>
        <v>CONSECUTIVO RUP</v>
      </c>
      <c r="I415" s="318" t="str">
        <f ca="1">+$I$10</f>
        <v>¿SE ENCUENTRA INSCRITO EN EL RUP Y CUMPLE CÓDIGOS UNSPSC?</v>
      </c>
      <c r="J415" s="318" t="str">
        <f ca="1">+$J$10</f>
        <v xml:space="preserve">VALOR EN RUP (SMMLV) </v>
      </c>
      <c r="K415" s="318" t="str">
        <f ca="1">+$K$10</f>
        <v>% PARTIC en el RUP</v>
      </c>
      <c r="L415" s="318" t="str">
        <f ca="1">+$L$10</f>
        <v>VALOR DEL CONTRATO TERMINADO (SMMLV) en el   RUP</v>
      </c>
      <c r="M415" s="318" t="str">
        <f ca="1">+$M$10</f>
        <v>VALOR CERTIFICADO CONTRATO &gt; VEH</v>
      </c>
      <c r="N415" s="318" t="str">
        <f ca="1">+$N$10</f>
        <v>VALIDACIÓN DE OBJETO Y/O ALCANCE
(SI/NO)
(INTERVENTORIA DE OBRA CIVIL)</v>
      </c>
      <c r="O415" s="324"/>
      <c r="Q415" s="326"/>
      <c r="S415" s="329">
        <f ca="1">+$S$10</f>
        <v>0</v>
      </c>
    </row>
    <row r="416" spans="1:20" ht="38.25" customHeight="1" thickBot="1" x14ac:dyDescent="0.25">
      <c r="B416" s="332"/>
      <c r="C416" s="319"/>
      <c r="D416" s="26" t="str">
        <f ca="1">+$D$11</f>
        <v>ENTIDAD</v>
      </c>
      <c r="E416" s="26" t="str">
        <f ca="1">+$E$11</f>
        <v>No. DE CONTRATO</v>
      </c>
      <c r="F416" s="26" t="str">
        <f ca="1">+$F$11</f>
        <v>OBJETO</v>
      </c>
      <c r="G416" s="26" t="str">
        <f ca="1">+$G$11</f>
        <v>CONTRATISTA</v>
      </c>
      <c r="H416" s="319"/>
      <c r="I416" s="319"/>
      <c r="J416" s="319"/>
      <c r="K416" s="319"/>
      <c r="L416" s="319"/>
      <c r="M416" s="319"/>
      <c r="N416" s="319"/>
      <c r="O416" s="324"/>
      <c r="Q416" s="327"/>
      <c r="S416" s="330"/>
    </row>
    <row r="417" spans="1:20" s="27" customFormat="1" ht="66" customHeight="1" x14ac:dyDescent="0.2">
      <c r="B417" s="101">
        <v>1</v>
      </c>
      <c r="C417" s="102"/>
      <c r="D417" s="102"/>
      <c r="E417" s="103"/>
      <c r="F417" s="103"/>
      <c r="G417" s="102"/>
      <c r="H417" s="104"/>
      <c r="I417" s="105"/>
      <c r="J417" s="106"/>
      <c r="K417" s="107"/>
      <c r="L417" s="34">
        <f>IF(OR(H417="",I417&lt;&gt;"SI",I417="NO",J417="",J417=0,K417="",K417=0,Q417&lt;&gt;"SI",N417&lt;&gt;"SI"),0,J417*K417)</f>
        <v>0</v>
      </c>
      <c r="M417" s="108" t="str">
        <f>+IF(C417&lt;&gt;"",IF(L417&gt;=$H$6,"SI","NO"),"")</f>
        <v/>
      </c>
      <c r="N417" s="129"/>
      <c r="O417" s="109"/>
      <c r="Q417" s="37" t="str">
        <f>+IF(C417="","",IF(AND(H417&lt;&gt;"",I417="SI",J417&lt;&gt;"",J417&gt;0,K417&lt;&gt;"",K417&gt;0),"SI","NO"))</f>
        <v/>
      </c>
      <c r="S417" s="37" t="str">
        <f>+IF(C417&lt;&gt;"",IF(AND(M417="SI",N417="SI",Q417="SI"),"HÁBIL","NO HÁBIL"),"")</f>
        <v/>
      </c>
    </row>
    <row r="418" spans="1:20" s="27" customFormat="1" ht="51.75" customHeight="1" x14ac:dyDescent="0.2">
      <c r="B418" s="110">
        <v>2</v>
      </c>
      <c r="C418" s="111"/>
      <c r="D418" s="111"/>
      <c r="E418" s="112"/>
      <c r="F418" s="112"/>
      <c r="G418" s="111"/>
      <c r="H418" s="113"/>
      <c r="I418" s="114"/>
      <c r="J418" s="115"/>
      <c r="K418" s="116"/>
      <c r="L418" s="44">
        <f t="shared" ref="L418:L420" si="45">IF(OR(H418="",I418&lt;&gt;"SI",I418="NO",J418="",J418=0,K418="",K418=0,Q418&lt;&gt;"SI",N418&lt;&gt;"SI"),0,J418*K418)</f>
        <v>0</v>
      </c>
      <c r="M418" s="117" t="str">
        <f>+IF(C418&lt;&gt;"",IF(L418&gt;=$H$6,"SI","NO"),"")</f>
        <v/>
      </c>
      <c r="N418" s="114"/>
      <c r="O418" s="118"/>
      <c r="Q418" s="37" t="str">
        <f>+IF(C418="","",IF(AND(H418&lt;&gt;"",I418="SI",J418&lt;&gt;"",J418&gt;0,K418&lt;&gt;"",K418&gt;0),"SI","NO"))</f>
        <v/>
      </c>
      <c r="S418" s="37" t="str">
        <f>+IF(C418&lt;&gt;"",IF(AND(M418="SI",N418="SI",Q418="SI"),"HÁBIL","NO HÁBIL"),"")</f>
        <v/>
      </c>
    </row>
    <row r="419" spans="1:20" s="27" customFormat="1" ht="36" customHeight="1" x14ac:dyDescent="0.2">
      <c r="B419" s="110">
        <v>3</v>
      </c>
      <c r="C419" s="111"/>
      <c r="D419" s="111"/>
      <c r="E419" s="112"/>
      <c r="F419" s="112"/>
      <c r="G419" s="111"/>
      <c r="H419" s="113"/>
      <c r="I419" s="114"/>
      <c r="J419" s="115"/>
      <c r="K419" s="116"/>
      <c r="L419" s="44">
        <f t="shared" si="45"/>
        <v>0</v>
      </c>
      <c r="M419" s="117" t="str">
        <f>+IF(C419&lt;&gt;"",IF(L419&gt;=$H$6,"SI","NO"),"")</f>
        <v/>
      </c>
      <c r="N419" s="114"/>
      <c r="O419" s="118"/>
      <c r="Q419" s="37" t="str">
        <f>+IF(C419="","",IF(AND(H419&lt;&gt;"",I419="SI",J419&lt;&gt;"",J419&gt;0,K419&lt;&gt;"",K419&gt;0),"SI","NO"))</f>
        <v/>
      </c>
      <c r="S419" s="37" t="str">
        <f>+IF(C419&lt;&gt;"",IF(AND(M419="SI",N419="SI",Q419="SI"),"HÁBIL","NO HÁBIL"),"")</f>
        <v/>
      </c>
    </row>
    <row r="420" spans="1:20" s="27" customFormat="1" ht="36" customHeight="1" thickBot="1" x14ac:dyDescent="0.25">
      <c r="B420" s="119">
        <v>4</v>
      </c>
      <c r="C420" s="120"/>
      <c r="D420" s="120"/>
      <c r="E420" s="121"/>
      <c r="F420" s="121"/>
      <c r="G420" s="120"/>
      <c r="H420" s="122"/>
      <c r="I420" s="123"/>
      <c r="J420" s="124"/>
      <c r="K420" s="125"/>
      <c r="L420" s="53">
        <f t="shared" si="45"/>
        <v>0</v>
      </c>
      <c r="M420" s="126" t="str">
        <f>+IF(C420&lt;&gt;"",IF(L420&gt;=$H$6,"SI","NO"),"")</f>
        <v/>
      </c>
      <c r="N420" s="123"/>
      <c r="O420" s="127"/>
      <c r="Q420" s="55" t="str">
        <f>+IF(C420="","",IF(AND(H420&lt;&gt;"",I420="SI",J420&lt;&gt;"",J420&gt;0,K420&lt;&gt;"",K420&gt;0),"SI","NO"))</f>
        <v/>
      </c>
      <c r="S420" s="55" t="str">
        <f>+IF(C420&lt;&gt;"",IF(AND(M420="SI",N420="SI",Q420="SI"),"HÁBIL","NO HÁBIL"),"")</f>
        <v/>
      </c>
    </row>
    <row r="421" spans="1:20" ht="36" customHeight="1" thickBot="1" x14ac:dyDescent="0.25">
      <c r="A421" s="56">
        <f>+$B414</f>
        <v>46</v>
      </c>
      <c r="B421" s="57" t="str">
        <f>"A"&amp;B414</f>
        <v>A46</v>
      </c>
      <c r="C421" s="340" t="str">
        <f>+$C$16</f>
        <v>PROPONENTE HÁBIL / NO HÁBIL</v>
      </c>
      <c r="D421" s="341"/>
      <c r="E421" s="341"/>
      <c r="F421" s="341"/>
      <c r="G421" s="341"/>
      <c r="H421" s="342"/>
      <c r="I421" s="58" t="str">
        <f>IF(S417="","",IF(OR(S417="HÁBIL",S418="HÁBIL",S419="HÁBIL",S420="HÁBIL"),"HÁBIL","NO HÁBIL"))</f>
        <v/>
      </c>
      <c r="J421" s="59"/>
      <c r="K421" s="27"/>
      <c r="L421" s="27"/>
      <c r="M421" s="27"/>
      <c r="N421" s="60"/>
      <c r="O421" s="1"/>
      <c r="P421" s="61"/>
      <c r="Q421" s="61"/>
      <c r="R421" s="61"/>
      <c r="S421" s="61"/>
      <c r="T421" s="61"/>
    </row>
    <row r="422" spans="1:20" ht="12" thickBot="1" x14ac:dyDescent="0.25"/>
    <row r="423" spans="1:20" ht="36.75" customHeight="1" thickBot="1" x14ac:dyDescent="0.25">
      <c r="B423" s="23">
        <f>1+B414</f>
        <v>47</v>
      </c>
      <c r="C423" s="336" t="s">
        <v>932</v>
      </c>
      <c r="D423" s="337"/>
      <c r="E423" s="337"/>
      <c r="F423" s="337"/>
      <c r="G423" s="337"/>
      <c r="H423" s="337"/>
      <c r="I423" s="338"/>
      <c r="J423" s="24" t="str">
        <f>+IF(C423="","",$J$9)</f>
        <v/>
      </c>
      <c r="K423" s="339" t="s">
        <v>932</v>
      </c>
      <c r="L423" s="339"/>
      <c r="M423" s="339"/>
      <c r="N423" s="25">
        <f>+B423</f>
        <v>47</v>
      </c>
      <c r="O423" s="323" t="str">
        <f ca="1">+$O$9</f>
        <v>OBSERVACIONES</v>
      </c>
      <c r="Q423" s="325" t="str">
        <f ca="1">+$Q$9</f>
        <v>¿EL CONTRATO CUMPLE CON LOS REQUERIMIENTOS ADICIONALES DE EXPERIENCIA  EN EL PLIEGO?
 (INSCRIPCIÓN EN RUP - CÓDIGO UNSPSC - VALOR EN RUP - % DE PARTICIPACIÓN)
(SI / NO)</v>
      </c>
      <c r="S423" s="328" t="str">
        <f ca="1">+$S$9</f>
        <v>PROPONENTE HÁBIL/NO HÁBIL</v>
      </c>
    </row>
    <row r="424" spans="1:20" ht="42" customHeight="1" x14ac:dyDescent="0.2">
      <c r="B424" s="331" t="str">
        <f ca="1">+$B$10</f>
        <v>ITEM</v>
      </c>
      <c r="C424" s="318" t="str">
        <f ca="1">+$C$10</f>
        <v>PROPONENTE 
/ 
INTEGRANTE OFERENTE PLURAL</v>
      </c>
      <c r="D424" s="333" t="str">
        <f ca="1">+$D$10</f>
        <v>INFORMACIÓN DEL CONTRATO</v>
      </c>
      <c r="E424" s="334"/>
      <c r="F424" s="334"/>
      <c r="G424" s="335"/>
      <c r="H424" s="318" t="str">
        <f>+H415</f>
        <v>CONSECUTIVO RUP</v>
      </c>
      <c r="I424" s="318" t="str">
        <f ca="1">+$I$10</f>
        <v>¿SE ENCUENTRA INSCRITO EN EL RUP Y CUMPLE CÓDIGOS UNSPSC?</v>
      </c>
      <c r="J424" s="318" t="str">
        <f ca="1">+$J$10</f>
        <v xml:space="preserve">VALOR EN RUP (SMMLV) </v>
      </c>
      <c r="K424" s="318" t="str">
        <f ca="1">+$K$10</f>
        <v>% PARTIC en el RUP</v>
      </c>
      <c r="L424" s="318" t="str">
        <f ca="1">+$L$10</f>
        <v>VALOR DEL CONTRATO TERMINADO (SMMLV) en el   RUP</v>
      </c>
      <c r="M424" s="318" t="str">
        <f ca="1">+$M$10</f>
        <v>VALOR CERTIFICADO CONTRATO &gt; VEH</v>
      </c>
      <c r="N424" s="318" t="str">
        <f ca="1">+$N$10</f>
        <v>VALIDACIÓN DE OBJETO Y/O ALCANCE
(SI/NO)
(INTERVENTORIA DE OBRA CIVIL)</v>
      </c>
      <c r="O424" s="324"/>
      <c r="Q424" s="326"/>
      <c r="S424" s="329">
        <f ca="1">+$S$10</f>
        <v>0</v>
      </c>
    </row>
    <row r="425" spans="1:20" ht="38.25" customHeight="1" thickBot="1" x14ac:dyDescent="0.25">
      <c r="B425" s="332"/>
      <c r="C425" s="319"/>
      <c r="D425" s="26" t="str">
        <f ca="1">+$D$11</f>
        <v>ENTIDAD</v>
      </c>
      <c r="E425" s="26" t="str">
        <f ca="1">+$E$11</f>
        <v>No. DE CONTRATO</v>
      </c>
      <c r="F425" s="26" t="str">
        <f ca="1">+$F$11</f>
        <v>OBJETO</v>
      </c>
      <c r="G425" s="26" t="str">
        <f ca="1">+$G$11</f>
        <v>CONTRATISTA</v>
      </c>
      <c r="H425" s="319"/>
      <c r="I425" s="319"/>
      <c r="J425" s="319"/>
      <c r="K425" s="319"/>
      <c r="L425" s="319"/>
      <c r="M425" s="319"/>
      <c r="N425" s="319"/>
      <c r="O425" s="324"/>
      <c r="Q425" s="327"/>
      <c r="S425" s="330"/>
    </row>
    <row r="426" spans="1:20" s="27" customFormat="1" ht="51.75" customHeight="1" x14ac:dyDescent="0.2">
      <c r="B426" s="28">
        <v>1</v>
      </c>
      <c r="C426" s="86"/>
      <c r="D426" s="86"/>
      <c r="E426" s="87"/>
      <c r="F426" s="87"/>
      <c r="G426" s="86"/>
      <c r="H426" s="30"/>
      <c r="I426" s="31"/>
      <c r="J426" s="32"/>
      <c r="K426" s="33"/>
      <c r="L426" s="34">
        <f>IF(OR(H426="",I426&lt;&gt;"SI",I426="NO",J426="",J426=0,K426="",K426=0,Q426&lt;&gt;"SI",N426&lt;&gt;"SI"),0,J426*K426)</f>
        <v>0</v>
      </c>
      <c r="M426" s="34" t="str">
        <f>+IF(C426&lt;&gt;"",IF(L426&gt;=$H$6,"SI","NO"),"")</f>
        <v/>
      </c>
      <c r="N426" s="35"/>
      <c r="O426" s="36"/>
      <c r="Q426" s="37" t="str">
        <f>+IF(C426="","",IF(AND(H426&lt;&gt;"",I426="SI",J426&lt;&gt;"",J426&gt;0,K426&lt;&gt;"",K426&gt;0),"SI","NO"))</f>
        <v/>
      </c>
      <c r="S426" s="37" t="str">
        <f>+IF(C426&lt;&gt;"",IF(AND(M426="SI",N426="SI",Q426="SI"),"HÁBIL","NO HÁBIL"),"")</f>
        <v/>
      </c>
    </row>
    <row r="427" spans="1:20" s="27" customFormat="1" ht="51.75" customHeight="1" x14ac:dyDescent="0.2">
      <c r="B427" s="38">
        <v>2</v>
      </c>
      <c r="C427" s="39"/>
      <c r="D427" s="39"/>
      <c r="E427" s="46"/>
      <c r="F427" s="46"/>
      <c r="G427" s="39"/>
      <c r="H427" s="40"/>
      <c r="I427" s="41"/>
      <c r="J427" s="42"/>
      <c r="K427" s="43"/>
      <c r="L427" s="44">
        <f t="shared" ref="L427:L429" si="46">IF(OR(H427="",I427&lt;&gt;"SI",I427="NO",J427="",J427=0,K427="",K427=0,Q427&lt;&gt;"SI",N427&lt;&gt;"SI"),0,J427*K427)</f>
        <v>0</v>
      </c>
      <c r="M427" s="44" t="str">
        <f>+IF(C427&lt;&gt;"",IF(L427&gt;=$H$6,"SI","NO"),"")</f>
        <v/>
      </c>
      <c r="N427" s="41"/>
      <c r="O427" s="45"/>
      <c r="Q427" s="37" t="str">
        <f>+IF(C427="","",IF(AND(H427&lt;&gt;"",I427="SI",J427&lt;&gt;"",J427&gt;0,K427&lt;&gt;"",K427&gt;0),"SI","NO"))</f>
        <v/>
      </c>
      <c r="S427" s="37" t="str">
        <f>+IF(C427&lt;&gt;"",IF(AND(M427="SI",N427="SI",Q427="SI"),"HÁBIL","NO HÁBIL"),"")</f>
        <v/>
      </c>
    </row>
    <row r="428" spans="1:20" s="27" customFormat="1" ht="36" customHeight="1" x14ac:dyDescent="0.2">
      <c r="B428" s="38">
        <v>3</v>
      </c>
      <c r="C428" s="39"/>
      <c r="D428" s="39"/>
      <c r="E428" s="46"/>
      <c r="F428" s="46"/>
      <c r="G428" s="39"/>
      <c r="H428" s="40"/>
      <c r="I428" s="41"/>
      <c r="J428" s="42"/>
      <c r="K428" s="43"/>
      <c r="L428" s="44">
        <f t="shared" si="46"/>
        <v>0</v>
      </c>
      <c r="M428" s="44" t="str">
        <f>+IF(C428&lt;&gt;"",IF(L428&gt;=$H$6,"SI","NO"),"")</f>
        <v/>
      </c>
      <c r="N428" s="41"/>
      <c r="O428" s="45"/>
      <c r="Q428" s="37" t="str">
        <f>+IF(C428="","",IF(AND(H428&lt;&gt;"",I428="SI",J428&lt;&gt;"",J428&gt;0,K428&lt;&gt;"",K428&gt;0),"SI","NO"))</f>
        <v/>
      </c>
      <c r="S428" s="37" t="str">
        <f>+IF(C428&lt;&gt;"",IF(AND(M428="SI",N428="SI",Q428="SI"),"HÁBIL","NO HÁBIL"),"")</f>
        <v/>
      </c>
    </row>
    <row r="429" spans="1:20" s="27" customFormat="1" ht="36" customHeight="1" thickBot="1" x14ac:dyDescent="0.25">
      <c r="B429" s="47">
        <v>4</v>
      </c>
      <c r="C429" s="48"/>
      <c r="D429" s="48"/>
      <c r="E429" s="49"/>
      <c r="F429" s="49"/>
      <c r="G429" s="48"/>
      <c r="H429" s="50"/>
      <c r="I429" s="51"/>
      <c r="J429" s="14"/>
      <c r="K429" s="52"/>
      <c r="L429" s="53">
        <f t="shared" si="46"/>
        <v>0</v>
      </c>
      <c r="M429" s="53" t="str">
        <f>+IF(C429&lt;&gt;"",IF(L429&gt;=$H$6,"SI","NO"),"")</f>
        <v/>
      </c>
      <c r="N429" s="51"/>
      <c r="O429" s="54"/>
      <c r="Q429" s="55" t="str">
        <f>+IF(C429="","",IF(AND(H429&lt;&gt;"",I429="SI",J429&lt;&gt;"",J429&gt;0,K429&lt;&gt;"",K429&gt;0),"SI","NO"))</f>
        <v/>
      </c>
      <c r="S429" s="55" t="str">
        <f>+IF(C429&lt;&gt;"",IF(AND(M429="SI",N429="SI",Q429="SI"),"HÁBIL","NO HÁBIL"),"")</f>
        <v/>
      </c>
    </row>
    <row r="430" spans="1:20" ht="36" customHeight="1" thickBot="1" x14ac:dyDescent="0.25">
      <c r="A430" s="56">
        <f>+$B423</f>
        <v>47</v>
      </c>
      <c r="B430" s="57" t="str">
        <f>"A"&amp;B423</f>
        <v>A47</v>
      </c>
      <c r="C430" s="340" t="str">
        <f>+$C$16</f>
        <v>PROPONENTE HÁBIL / NO HÁBIL</v>
      </c>
      <c r="D430" s="341"/>
      <c r="E430" s="341"/>
      <c r="F430" s="341"/>
      <c r="G430" s="341"/>
      <c r="H430" s="342"/>
      <c r="I430" s="58" t="str">
        <f>IF(S426="","",IF(OR(S426="HÁBIL",S427="HÁBIL",S428="HÁBIL",S429="HÁBIL"),"HÁBIL","NO HÁBIL"))</f>
        <v/>
      </c>
      <c r="J430" s="59"/>
      <c r="K430" s="27"/>
      <c r="L430" s="27"/>
      <c r="M430" s="27"/>
      <c r="N430" s="60"/>
      <c r="O430" s="1"/>
      <c r="P430" s="61"/>
      <c r="Q430" s="61"/>
      <c r="R430" s="61"/>
      <c r="S430" s="61"/>
      <c r="T430" s="61"/>
    </row>
    <row r="431" spans="1:20" ht="12" thickBot="1" x14ac:dyDescent="0.25"/>
    <row r="432" spans="1:20" ht="36.75" customHeight="1" thickBot="1" x14ac:dyDescent="0.25">
      <c r="B432" s="23">
        <f>1+B423</f>
        <v>48</v>
      </c>
      <c r="C432" s="336" t="s">
        <v>932</v>
      </c>
      <c r="D432" s="337"/>
      <c r="E432" s="337"/>
      <c r="F432" s="337"/>
      <c r="G432" s="337"/>
      <c r="H432" s="337"/>
      <c r="I432" s="338"/>
      <c r="J432" s="24" t="str">
        <f>+IF(C432="","",$J$9)</f>
        <v/>
      </c>
      <c r="K432" s="339" t="s">
        <v>932</v>
      </c>
      <c r="L432" s="339"/>
      <c r="M432" s="339"/>
      <c r="N432" s="25">
        <f>+B432</f>
        <v>48</v>
      </c>
      <c r="O432" s="323" t="str">
        <f ca="1">+$O$9</f>
        <v>OBSERVACIONES</v>
      </c>
      <c r="Q432" s="325" t="str">
        <f ca="1">+$Q$9</f>
        <v>¿EL CONTRATO CUMPLE CON LOS REQUERIMIENTOS ADICIONALES DE EXPERIENCIA  EN EL PLIEGO?
 (INSCRIPCIÓN EN RUP - CÓDIGO UNSPSC - VALOR EN RUP - % DE PARTICIPACIÓN)
(SI / NO)</v>
      </c>
      <c r="S432" s="328" t="str">
        <f ca="1">+$S$9</f>
        <v>PROPONENTE HÁBIL/NO HÁBIL</v>
      </c>
    </row>
    <row r="433" spans="1:20" ht="42" customHeight="1" x14ac:dyDescent="0.2">
      <c r="B433" s="331" t="str">
        <f ca="1">+$B$10</f>
        <v>ITEM</v>
      </c>
      <c r="C433" s="318" t="str">
        <f ca="1">+$C$10</f>
        <v>PROPONENTE 
/ 
INTEGRANTE OFERENTE PLURAL</v>
      </c>
      <c r="D433" s="333" t="str">
        <f ca="1">+$D$10</f>
        <v>INFORMACIÓN DEL CONTRATO</v>
      </c>
      <c r="E433" s="334"/>
      <c r="F433" s="334"/>
      <c r="G433" s="335"/>
      <c r="H433" s="318" t="str">
        <f>+H424</f>
        <v>CONSECUTIVO RUP</v>
      </c>
      <c r="I433" s="318" t="str">
        <f ca="1">+$I$10</f>
        <v>¿SE ENCUENTRA INSCRITO EN EL RUP Y CUMPLE CÓDIGOS UNSPSC?</v>
      </c>
      <c r="J433" s="318" t="str">
        <f ca="1">+$J$10</f>
        <v xml:space="preserve">VALOR EN RUP (SMMLV) </v>
      </c>
      <c r="K433" s="318" t="str">
        <f ca="1">+$K$10</f>
        <v>% PARTIC en el RUP</v>
      </c>
      <c r="L433" s="318" t="str">
        <f ca="1">+$L$10</f>
        <v>VALOR DEL CONTRATO TERMINADO (SMMLV) en el   RUP</v>
      </c>
      <c r="M433" s="318" t="str">
        <f ca="1">+$M$10</f>
        <v>VALOR CERTIFICADO CONTRATO &gt; VEH</v>
      </c>
      <c r="N433" s="318" t="str">
        <f ca="1">+$N$10</f>
        <v>VALIDACIÓN DE OBJETO Y/O ALCANCE
(SI/NO)
(INTERVENTORIA DE OBRA CIVIL)</v>
      </c>
      <c r="O433" s="324"/>
      <c r="Q433" s="326"/>
      <c r="S433" s="329">
        <f ca="1">+$S$10</f>
        <v>0</v>
      </c>
    </row>
    <row r="434" spans="1:20" ht="38.25" customHeight="1" thickBot="1" x14ac:dyDescent="0.25">
      <c r="B434" s="332"/>
      <c r="C434" s="319"/>
      <c r="D434" s="26" t="str">
        <f ca="1">+$D$11</f>
        <v>ENTIDAD</v>
      </c>
      <c r="E434" s="26" t="str">
        <f ca="1">+$E$11</f>
        <v>No. DE CONTRATO</v>
      </c>
      <c r="F434" s="26" t="str">
        <f ca="1">+$F$11</f>
        <v>OBJETO</v>
      </c>
      <c r="G434" s="26" t="str">
        <f ca="1">+$G$11</f>
        <v>CONTRATISTA</v>
      </c>
      <c r="H434" s="319"/>
      <c r="I434" s="319"/>
      <c r="J434" s="319"/>
      <c r="K434" s="319"/>
      <c r="L434" s="319"/>
      <c r="M434" s="319"/>
      <c r="N434" s="319"/>
      <c r="O434" s="324"/>
      <c r="Q434" s="327"/>
      <c r="S434" s="330"/>
    </row>
    <row r="435" spans="1:20" s="27" customFormat="1" ht="51.75" customHeight="1" x14ac:dyDescent="0.2">
      <c r="B435" s="28">
        <v>1</v>
      </c>
      <c r="C435" s="86"/>
      <c r="D435" s="86"/>
      <c r="E435" s="87"/>
      <c r="F435" s="87"/>
      <c r="G435" s="86"/>
      <c r="H435" s="30"/>
      <c r="I435" s="31"/>
      <c r="J435" s="32"/>
      <c r="K435" s="33"/>
      <c r="L435" s="34">
        <f>IF(OR(H435="",I435&lt;&gt;"SI",I435="NO",J435="",J435=0,K435="",K435=0,Q435&lt;&gt;"SI",N435&lt;&gt;"SI"),0,J435*K435)</f>
        <v>0</v>
      </c>
      <c r="M435" s="34" t="str">
        <f>+IF(C435&lt;&gt;"",IF(L435&gt;=$H$6,"SI","NO"),"")</f>
        <v/>
      </c>
      <c r="N435" s="35"/>
      <c r="O435" s="36"/>
      <c r="Q435" s="37" t="str">
        <f>+IF(C435="","",IF(AND(H435&lt;&gt;"",I435="SI",J435&lt;&gt;"",J435&gt;0,K435&lt;&gt;"",K435&gt;0),"SI","NO"))</f>
        <v/>
      </c>
      <c r="S435" s="37" t="str">
        <f>+IF(C435&lt;&gt;"",IF(AND(M435="SI",N435="SI",Q435="SI"),"HÁBIL","NO HÁBIL"),"")</f>
        <v/>
      </c>
    </row>
    <row r="436" spans="1:20" s="27" customFormat="1" ht="51.75" customHeight="1" x14ac:dyDescent="0.2">
      <c r="B436" s="38">
        <v>2</v>
      </c>
      <c r="C436" s="39"/>
      <c r="D436" s="39"/>
      <c r="E436" s="46"/>
      <c r="F436" s="46"/>
      <c r="G436" s="39"/>
      <c r="H436" s="40"/>
      <c r="I436" s="41"/>
      <c r="J436" s="42"/>
      <c r="K436" s="43"/>
      <c r="L436" s="44">
        <f t="shared" ref="L436:L438" si="47">IF(OR(H436="",I436&lt;&gt;"SI",I436="NO",J436="",J436=0,K436="",K436=0,Q436&lt;&gt;"SI",N436&lt;&gt;"SI"),0,J436*K436)</f>
        <v>0</v>
      </c>
      <c r="M436" s="44" t="str">
        <f>+IF(C436&lt;&gt;"",IF(L436&gt;=$H$6,"SI","NO"),"")</f>
        <v/>
      </c>
      <c r="N436" s="41"/>
      <c r="O436" s="45"/>
      <c r="Q436" s="37" t="str">
        <f>+IF(C436="","",IF(AND(H436&lt;&gt;"",I436="SI",J436&lt;&gt;"",J436&gt;0,K436&lt;&gt;"",K436&gt;0),"SI","NO"))</f>
        <v/>
      </c>
      <c r="S436" s="37" t="str">
        <f>+IF(C436&lt;&gt;"",IF(AND(M436="SI",N436="SI",Q436="SI"),"HÁBIL","NO HÁBIL"),"")</f>
        <v/>
      </c>
    </row>
    <row r="437" spans="1:20" s="27" customFormat="1" ht="36" customHeight="1" x14ac:dyDescent="0.2">
      <c r="B437" s="38">
        <v>3</v>
      </c>
      <c r="C437" s="39"/>
      <c r="D437" s="39"/>
      <c r="E437" s="46"/>
      <c r="F437" s="46"/>
      <c r="G437" s="39"/>
      <c r="H437" s="40"/>
      <c r="I437" s="41"/>
      <c r="J437" s="42"/>
      <c r="K437" s="43"/>
      <c r="L437" s="44">
        <f t="shared" si="47"/>
        <v>0</v>
      </c>
      <c r="M437" s="44" t="str">
        <f>+IF(C437&lt;&gt;"",IF(L437&gt;=$H$6,"SI","NO"),"")</f>
        <v/>
      </c>
      <c r="N437" s="41"/>
      <c r="O437" s="45"/>
      <c r="Q437" s="37" t="str">
        <f>+IF(C437="","",IF(AND(H437&lt;&gt;"",I437="SI",J437&lt;&gt;"",J437&gt;0,K437&lt;&gt;"",K437&gt;0),"SI","NO"))</f>
        <v/>
      </c>
      <c r="S437" s="37" t="str">
        <f>+IF(C437&lt;&gt;"",IF(AND(M437="SI",N437="SI",Q437="SI"),"HÁBIL","NO HÁBIL"),"")</f>
        <v/>
      </c>
    </row>
    <row r="438" spans="1:20" s="27" customFormat="1" ht="36" customHeight="1" thickBot="1" x14ac:dyDescent="0.25">
      <c r="B438" s="47">
        <v>4</v>
      </c>
      <c r="C438" s="48"/>
      <c r="D438" s="48"/>
      <c r="E438" s="49"/>
      <c r="F438" s="49"/>
      <c r="G438" s="48"/>
      <c r="H438" s="50"/>
      <c r="I438" s="51"/>
      <c r="J438" s="14"/>
      <c r="K438" s="52"/>
      <c r="L438" s="53">
        <f t="shared" si="47"/>
        <v>0</v>
      </c>
      <c r="M438" s="53" t="str">
        <f>+IF(C438&lt;&gt;"",IF(L438&gt;=$H$6,"SI","NO"),"")</f>
        <v/>
      </c>
      <c r="N438" s="51"/>
      <c r="O438" s="54"/>
      <c r="Q438" s="55" t="str">
        <f>+IF(C438="","",IF(AND(H438&lt;&gt;"",I438="SI",J438&lt;&gt;"",J438&gt;0,K438&lt;&gt;"",K438&gt;0),"SI","NO"))</f>
        <v/>
      </c>
      <c r="S438" s="55" t="str">
        <f>+IF(C438&lt;&gt;"",IF(AND(M438="SI",N438="SI",Q438="SI"),"HÁBIL","NO HÁBIL"),"")</f>
        <v/>
      </c>
    </row>
    <row r="439" spans="1:20" ht="36" customHeight="1" thickBot="1" x14ac:dyDescent="0.25">
      <c r="A439" s="56">
        <f>+$B432</f>
        <v>48</v>
      </c>
      <c r="B439" s="57" t="str">
        <f>"A"&amp;B432</f>
        <v>A48</v>
      </c>
      <c r="C439" s="340" t="str">
        <f>+$C$16</f>
        <v>PROPONENTE HÁBIL / NO HÁBIL</v>
      </c>
      <c r="D439" s="341"/>
      <c r="E439" s="341"/>
      <c r="F439" s="341"/>
      <c r="G439" s="341"/>
      <c r="H439" s="342"/>
      <c r="I439" s="58" t="str">
        <f>IF(S435="","",IF(OR(S435="HÁBIL",S436="HÁBIL",S437="HÁBIL",S438="HÁBIL"),"HÁBIL","NO HÁBIL"))</f>
        <v/>
      </c>
      <c r="J439" s="59"/>
      <c r="K439" s="27"/>
      <c r="L439" s="27"/>
      <c r="M439" s="27"/>
      <c r="N439" s="60"/>
      <c r="O439" s="1"/>
      <c r="P439" s="61"/>
      <c r="Q439" s="61"/>
      <c r="R439" s="61"/>
      <c r="S439" s="61"/>
      <c r="T439" s="61"/>
    </row>
    <row r="440" spans="1:20" ht="12" thickBot="1" x14ac:dyDescent="0.25"/>
    <row r="441" spans="1:20" ht="36.75" customHeight="1" thickBot="1" x14ac:dyDescent="0.25">
      <c r="B441" s="23">
        <f>1+B432</f>
        <v>49</v>
      </c>
      <c r="C441" s="336" t="s">
        <v>932</v>
      </c>
      <c r="D441" s="337"/>
      <c r="E441" s="337"/>
      <c r="F441" s="337"/>
      <c r="G441" s="337"/>
      <c r="H441" s="337"/>
      <c r="I441" s="338"/>
      <c r="J441" s="24" t="str">
        <f>+IF(C441="","",$J$9)</f>
        <v/>
      </c>
      <c r="K441" s="339" t="s">
        <v>932</v>
      </c>
      <c r="L441" s="339"/>
      <c r="M441" s="339"/>
      <c r="N441" s="25">
        <f>+B441</f>
        <v>49</v>
      </c>
      <c r="O441" s="323" t="str">
        <f ca="1">+$O$9</f>
        <v>OBSERVACIONES</v>
      </c>
      <c r="Q441" s="325" t="str">
        <f ca="1">+$Q$9</f>
        <v>¿EL CONTRATO CUMPLE CON LOS REQUERIMIENTOS ADICIONALES DE EXPERIENCIA  EN EL PLIEGO?
 (INSCRIPCIÓN EN RUP - CÓDIGO UNSPSC - VALOR EN RUP - % DE PARTICIPACIÓN)
(SI / NO)</v>
      </c>
      <c r="S441" s="328" t="str">
        <f ca="1">+$S$9</f>
        <v>PROPONENTE HÁBIL/NO HÁBIL</v>
      </c>
    </row>
    <row r="442" spans="1:20" ht="42" customHeight="1" x14ac:dyDescent="0.2">
      <c r="B442" s="331" t="str">
        <f ca="1">+$B$10</f>
        <v>ITEM</v>
      </c>
      <c r="C442" s="318" t="str">
        <f ca="1">+$C$10</f>
        <v>PROPONENTE 
/ 
INTEGRANTE OFERENTE PLURAL</v>
      </c>
      <c r="D442" s="333" t="str">
        <f ca="1">+$D$10</f>
        <v>INFORMACIÓN DEL CONTRATO</v>
      </c>
      <c r="E442" s="334"/>
      <c r="F442" s="334"/>
      <c r="G442" s="335"/>
      <c r="H442" s="318" t="str">
        <f>+H433</f>
        <v>CONSECUTIVO RUP</v>
      </c>
      <c r="I442" s="318" t="str">
        <f ca="1">+$I$10</f>
        <v>¿SE ENCUENTRA INSCRITO EN EL RUP Y CUMPLE CÓDIGOS UNSPSC?</v>
      </c>
      <c r="J442" s="318" t="str">
        <f ca="1">+$J$10</f>
        <v xml:space="preserve">VALOR EN RUP (SMMLV) </v>
      </c>
      <c r="K442" s="318" t="str">
        <f ca="1">+$K$10</f>
        <v>% PARTIC en el RUP</v>
      </c>
      <c r="L442" s="318" t="str">
        <f ca="1">+$L$10</f>
        <v>VALOR DEL CONTRATO TERMINADO (SMMLV) en el   RUP</v>
      </c>
      <c r="M442" s="318" t="str">
        <f ca="1">+$M$10</f>
        <v>VALOR CERTIFICADO CONTRATO &gt; VEH</v>
      </c>
      <c r="N442" s="318" t="str">
        <f ca="1">+$N$10</f>
        <v>VALIDACIÓN DE OBJETO Y/O ALCANCE
(SI/NO)
(INTERVENTORIA DE OBRA CIVIL)</v>
      </c>
      <c r="O442" s="324"/>
      <c r="Q442" s="326"/>
      <c r="S442" s="329">
        <f ca="1">+$S$10</f>
        <v>0</v>
      </c>
    </row>
    <row r="443" spans="1:20" ht="38.25" customHeight="1" thickBot="1" x14ac:dyDescent="0.25">
      <c r="B443" s="332"/>
      <c r="C443" s="319"/>
      <c r="D443" s="26" t="str">
        <f ca="1">+$D$11</f>
        <v>ENTIDAD</v>
      </c>
      <c r="E443" s="26" t="str">
        <f ca="1">+$E$11</f>
        <v>No. DE CONTRATO</v>
      </c>
      <c r="F443" s="26" t="str">
        <f ca="1">+$F$11</f>
        <v>OBJETO</v>
      </c>
      <c r="G443" s="26" t="str">
        <f ca="1">+$G$11</f>
        <v>CONTRATISTA</v>
      </c>
      <c r="H443" s="319"/>
      <c r="I443" s="319"/>
      <c r="J443" s="319"/>
      <c r="K443" s="319"/>
      <c r="L443" s="319"/>
      <c r="M443" s="319"/>
      <c r="N443" s="319"/>
      <c r="O443" s="324"/>
      <c r="Q443" s="327"/>
      <c r="S443" s="330"/>
    </row>
    <row r="444" spans="1:20" s="27" customFormat="1" ht="51.75" customHeight="1" x14ac:dyDescent="0.2">
      <c r="B444" s="28">
        <v>1</v>
      </c>
      <c r="C444" s="86"/>
      <c r="D444" s="86"/>
      <c r="E444" s="87"/>
      <c r="F444" s="87"/>
      <c r="G444" s="86"/>
      <c r="H444" s="30"/>
      <c r="I444" s="31"/>
      <c r="J444" s="32"/>
      <c r="K444" s="33"/>
      <c r="L444" s="34">
        <f>IF(OR(H444="",I444&lt;&gt;"SI",I444="NO",J444="",J444=0,K444="",K444=0,Q444&lt;&gt;"SI",N444&lt;&gt;"SI"),0,J444*K444)</f>
        <v>0</v>
      </c>
      <c r="M444" s="34" t="str">
        <f>+IF(C444&lt;&gt;"",IF(L444&gt;=$H$6,"SI","NO"),"")</f>
        <v/>
      </c>
      <c r="N444" s="35"/>
      <c r="O444" s="36"/>
      <c r="Q444" s="37" t="str">
        <f>+IF(C444="","",IF(AND(H444&lt;&gt;"",I444="SI",J444&lt;&gt;"",J444&gt;0,K444&lt;&gt;"",K444&gt;0),"SI","NO"))</f>
        <v/>
      </c>
      <c r="S444" s="37" t="str">
        <f>+IF(C444&lt;&gt;"",IF(AND(M444="SI",N444="SI",Q444="SI"),"HÁBIL","NO HÁBIL"),"")</f>
        <v/>
      </c>
    </row>
    <row r="445" spans="1:20" s="27" customFormat="1" ht="51.75" customHeight="1" x14ac:dyDescent="0.2">
      <c r="B445" s="38">
        <v>2</v>
      </c>
      <c r="C445" s="39"/>
      <c r="D445" s="39"/>
      <c r="E445" s="46"/>
      <c r="F445" s="46"/>
      <c r="G445" s="39"/>
      <c r="H445" s="40"/>
      <c r="I445" s="41"/>
      <c r="J445" s="42"/>
      <c r="K445" s="43"/>
      <c r="L445" s="44">
        <f t="shared" ref="L445:L447" si="48">IF(OR(H445="",I445&lt;&gt;"SI",I445="NO",J445="",J445=0,K445="",K445=0,Q445&lt;&gt;"SI",N445&lt;&gt;"SI"),0,J445*K445)</f>
        <v>0</v>
      </c>
      <c r="M445" s="44" t="str">
        <f>+IF(C445&lt;&gt;"",IF(L445&gt;=$H$6,"SI","NO"),"")</f>
        <v/>
      </c>
      <c r="N445" s="41"/>
      <c r="O445" s="45"/>
      <c r="Q445" s="37" t="str">
        <f>+IF(C445="","",IF(AND(H445&lt;&gt;"",I445="SI",J445&lt;&gt;"",J445&gt;0,K445&lt;&gt;"",K445&gt;0),"SI","NO"))</f>
        <v/>
      </c>
      <c r="S445" s="37" t="str">
        <f>+IF(C445&lt;&gt;"",IF(AND(M445="SI",N445="SI",Q445="SI"),"HÁBIL","NO HÁBIL"),"")</f>
        <v/>
      </c>
    </row>
    <row r="446" spans="1:20" s="27" customFormat="1" ht="36" customHeight="1" x14ac:dyDescent="0.2">
      <c r="B446" s="38">
        <v>3</v>
      </c>
      <c r="C446" s="39"/>
      <c r="D446" s="39"/>
      <c r="E446" s="46"/>
      <c r="F446" s="46"/>
      <c r="G446" s="39"/>
      <c r="H446" s="40"/>
      <c r="I446" s="41"/>
      <c r="J446" s="42"/>
      <c r="K446" s="43"/>
      <c r="L446" s="44">
        <f t="shared" si="48"/>
        <v>0</v>
      </c>
      <c r="M446" s="44" t="str">
        <f>+IF(C446&lt;&gt;"",IF(L446&gt;=$H$6,"SI","NO"),"")</f>
        <v/>
      </c>
      <c r="N446" s="41"/>
      <c r="O446" s="45"/>
      <c r="Q446" s="37" t="str">
        <f>+IF(C446="","",IF(AND(H446&lt;&gt;"",I446="SI",J446&lt;&gt;"",J446&gt;0,K446&lt;&gt;"",K446&gt;0),"SI","NO"))</f>
        <v/>
      </c>
      <c r="S446" s="37" t="str">
        <f>+IF(C446&lt;&gt;"",IF(AND(M446="SI",N446="SI",Q446="SI"),"HÁBIL","NO HÁBIL"),"")</f>
        <v/>
      </c>
    </row>
    <row r="447" spans="1:20" s="27" customFormat="1" ht="36" customHeight="1" thickBot="1" x14ac:dyDescent="0.25">
      <c r="B447" s="47">
        <v>4</v>
      </c>
      <c r="C447" s="48"/>
      <c r="D447" s="48"/>
      <c r="E447" s="49"/>
      <c r="F447" s="49"/>
      <c r="G447" s="48"/>
      <c r="H447" s="50"/>
      <c r="I447" s="51"/>
      <c r="J447" s="14"/>
      <c r="K447" s="52"/>
      <c r="L447" s="53">
        <f t="shared" si="48"/>
        <v>0</v>
      </c>
      <c r="M447" s="53" t="str">
        <f>+IF(C447&lt;&gt;"",IF(L447&gt;=$H$6,"SI","NO"),"")</f>
        <v/>
      </c>
      <c r="N447" s="51"/>
      <c r="O447" s="54"/>
      <c r="Q447" s="55" t="str">
        <f>+IF(C447="","",IF(AND(H447&lt;&gt;"",I447="SI",J447&lt;&gt;"",J447&gt;0,K447&lt;&gt;"",K447&gt;0),"SI","NO"))</f>
        <v/>
      </c>
      <c r="S447" s="55" t="str">
        <f>+IF(C447&lt;&gt;"",IF(AND(M447="SI",N447="SI",Q447="SI"),"HÁBIL","NO HÁBIL"),"")</f>
        <v/>
      </c>
    </row>
    <row r="448" spans="1:20" ht="36" customHeight="1" thickBot="1" x14ac:dyDescent="0.25">
      <c r="A448" s="56">
        <f>+$B441</f>
        <v>49</v>
      </c>
      <c r="B448" s="57" t="str">
        <f>"A"&amp;B441</f>
        <v>A49</v>
      </c>
      <c r="C448" s="340" t="str">
        <f>+$C$16</f>
        <v>PROPONENTE HÁBIL / NO HÁBIL</v>
      </c>
      <c r="D448" s="341"/>
      <c r="E448" s="341"/>
      <c r="F448" s="341"/>
      <c r="G448" s="341"/>
      <c r="H448" s="342"/>
      <c r="I448" s="58" t="str">
        <f>IF(S444="","",IF(OR(S444="HÁBIL",S445="HÁBIL",S446="HÁBIL",S447="HÁBIL"),"HÁBIL","NO HÁBIL"))</f>
        <v/>
      </c>
      <c r="J448" s="59"/>
      <c r="K448" s="27"/>
      <c r="L448" s="27"/>
      <c r="M448" s="27"/>
      <c r="N448" s="60"/>
      <c r="O448" s="1"/>
      <c r="P448" s="61"/>
      <c r="Q448" s="61"/>
      <c r="R448" s="61"/>
      <c r="S448" s="61"/>
      <c r="T448" s="61"/>
    </row>
    <row r="449" spans="1:20" ht="12" thickBot="1" x14ac:dyDescent="0.25"/>
    <row r="450" spans="1:20" ht="35.25" customHeight="1" thickBot="1" x14ac:dyDescent="0.25">
      <c r="B450" s="23">
        <f>1+B441</f>
        <v>50</v>
      </c>
      <c r="C450" s="336" t="s">
        <v>932</v>
      </c>
      <c r="D450" s="337"/>
      <c r="E450" s="337"/>
      <c r="F450" s="337"/>
      <c r="G450" s="337"/>
      <c r="H450" s="337"/>
      <c r="I450" s="338"/>
      <c r="J450" s="24" t="str">
        <f>+IF(C450="","",$J$9)</f>
        <v/>
      </c>
      <c r="K450" s="339" t="s">
        <v>932</v>
      </c>
      <c r="L450" s="339"/>
      <c r="M450" s="339"/>
      <c r="N450" s="25">
        <f>+B450</f>
        <v>50</v>
      </c>
      <c r="O450" s="323" t="str">
        <f ca="1">+$O$9</f>
        <v>OBSERVACIONES</v>
      </c>
      <c r="Q450" s="325" t="str">
        <f ca="1">+$Q$9</f>
        <v>¿EL CONTRATO CUMPLE CON LOS REQUERIMIENTOS ADICIONALES DE EXPERIENCIA  EN EL PLIEGO?
 (INSCRIPCIÓN EN RUP - CÓDIGO UNSPSC - VALOR EN RUP - % DE PARTICIPACIÓN)
(SI / NO)</v>
      </c>
      <c r="S450" s="328" t="str">
        <f ca="1">+$S$9</f>
        <v>PROPONENTE HÁBIL/NO HÁBIL</v>
      </c>
    </row>
    <row r="451" spans="1:20" ht="35.25" customHeight="1" x14ac:dyDescent="0.2">
      <c r="B451" s="331" t="str">
        <f ca="1">+$B$10</f>
        <v>ITEM</v>
      </c>
      <c r="C451" s="318" t="str">
        <f ca="1">+$C$10</f>
        <v>PROPONENTE 
/ 
INTEGRANTE OFERENTE PLURAL</v>
      </c>
      <c r="D451" s="333" t="str">
        <f ca="1">+$D$10</f>
        <v>INFORMACIÓN DEL CONTRATO</v>
      </c>
      <c r="E451" s="334"/>
      <c r="F451" s="334"/>
      <c r="G451" s="335"/>
      <c r="H451" s="318" t="str">
        <f>+H442</f>
        <v>CONSECUTIVO RUP</v>
      </c>
      <c r="I451" s="318" t="str">
        <f ca="1">+$I$10</f>
        <v>¿SE ENCUENTRA INSCRITO EN EL RUP Y CUMPLE CÓDIGOS UNSPSC?</v>
      </c>
      <c r="J451" s="318" t="str">
        <f ca="1">+$J$10</f>
        <v xml:space="preserve">VALOR EN RUP (SMMLV) </v>
      </c>
      <c r="K451" s="318" t="str">
        <f ca="1">+$K$10</f>
        <v>% PARTIC en el RUP</v>
      </c>
      <c r="L451" s="318" t="str">
        <f ca="1">+$L$10</f>
        <v>VALOR DEL CONTRATO TERMINADO (SMMLV) en el   RUP</v>
      </c>
      <c r="M451" s="318" t="str">
        <f ca="1">+$M$10</f>
        <v>VALOR CERTIFICADO CONTRATO &gt; VEH</v>
      </c>
      <c r="N451" s="318" t="str">
        <f ca="1">+$N$10</f>
        <v>VALIDACIÓN DE OBJETO Y/O ALCANCE
(SI/NO)
(INTERVENTORIA DE OBRA CIVIL)</v>
      </c>
      <c r="O451" s="324"/>
      <c r="Q451" s="326"/>
      <c r="S451" s="329">
        <f ca="1">+$S$10</f>
        <v>0</v>
      </c>
    </row>
    <row r="452" spans="1:20" ht="35.25" customHeight="1" thickBot="1" x14ac:dyDescent="0.25">
      <c r="B452" s="332"/>
      <c r="C452" s="319"/>
      <c r="D452" s="26" t="str">
        <f ca="1">+$D$11</f>
        <v>ENTIDAD</v>
      </c>
      <c r="E452" s="26" t="str">
        <f ca="1">+$E$11</f>
        <v>No. DE CONTRATO</v>
      </c>
      <c r="F452" s="26" t="str">
        <f ca="1">+$F$11</f>
        <v>OBJETO</v>
      </c>
      <c r="G452" s="26" t="str">
        <f ca="1">+$G$11</f>
        <v>CONTRATISTA</v>
      </c>
      <c r="H452" s="319"/>
      <c r="I452" s="319"/>
      <c r="J452" s="319"/>
      <c r="K452" s="319"/>
      <c r="L452" s="319"/>
      <c r="M452" s="319"/>
      <c r="N452" s="319"/>
      <c r="O452" s="324"/>
      <c r="Q452" s="327"/>
      <c r="S452" s="330"/>
    </row>
    <row r="453" spans="1:20" s="27" customFormat="1" ht="35.25" customHeight="1" x14ac:dyDescent="0.2">
      <c r="B453" s="28">
        <v>1</v>
      </c>
      <c r="C453" s="86"/>
      <c r="D453" s="86"/>
      <c r="E453" s="87"/>
      <c r="F453" s="87"/>
      <c r="G453" s="86"/>
      <c r="H453" s="30"/>
      <c r="I453" s="31"/>
      <c r="J453" s="32"/>
      <c r="K453" s="33"/>
      <c r="L453" s="34">
        <f>IF(OR(H453="",I453&lt;&gt;"SI",I453="NO",J453="",J453=0,K453="",K453=0,Q453&lt;&gt;"SI",N453&lt;&gt;"SI"),0,J453*K453)</f>
        <v>0</v>
      </c>
      <c r="M453" s="34" t="str">
        <f>+IF(C453&lt;&gt;"",IF(L453&gt;=$H$6,"SI","NO"),"")</f>
        <v/>
      </c>
      <c r="N453" s="35"/>
      <c r="O453" s="36"/>
      <c r="Q453" s="37" t="str">
        <f>+IF(C453="","",IF(AND(H453&lt;&gt;"",I453="SI",J453&lt;&gt;"",J453&gt;0,K453&lt;&gt;"",K453&gt;0),"SI","NO"))</f>
        <v/>
      </c>
      <c r="S453" s="37" t="str">
        <f>+IF(C453&lt;&gt;"",IF(AND(M453="SI",N453="SI",Q453="SI"),"HÁBIL","NO HÁBIL"),"")</f>
        <v/>
      </c>
    </row>
    <row r="454" spans="1:20" s="27" customFormat="1" ht="35.25" customHeight="1" x14ac:dyDescent="0.2">
      <c r="B454" s="38">
        <v>2</v>
      </c>
      <c r="C454" s="39"/>
      <c r="D454" s="39"/>
      <c r="E454" s="46"/>
      <c r="F454" s="46"/>
      <c r="G454" s="39"/>
      <c r="H454" s="40"/>
      <c r="I454" s="41"/>
      <c r="J454" s="42"/>
      <c r="K454" s="43"/>
      <c r="L454" s="44">
        <f t="shared" ref="L454:L456" si="49">IF(OR(H454="",I454&lt;&gt;"SI",I454="NO",J454="",J454=0,K454="",K454=0,Q454&lt;&gt;"SI",N454&lt;&gt;"SI"),0,J454*K454)</f>
        <v>0</v>
      </c>
      <c r="M454" s="44" t="str">
        <f>+IF(C454&lt;&gt;"",IF(L454&gt;=$H$6,"SI","NO"),"")</f>
        <v/>
      </c>
      <c r="N454" s="41"/>
      <c r="O454" s="45"/>
      <c r="Q454" s="37" t="str">
        <f>+IF(C454="","",IF(AND(H454&lt;&gt;"",I454="SI",J454&lt;&gt;"",J454&gt;0,K454&lt;&gt;"",K454&gt;0),"SI","NO"))</f>
        <v/>
      </c>
      <c r="S454" s="37" t="str">
        <f>+IF(C454&lt;&gt;"",IF(AND(M454="SI",N454="SI",Q454="SI"),"HÁBIL","NO HÁBIL"),"")</f>
        <v/>
      </c>
    </row>
    <row r="455" spans="1:20" s="27" customFormat="1" ht="35.25" customHeight="1" x14ac:dyDescent="0.2">
      <c r="B455" s="38">
        <v>3</v>
      </c>
      <c r="C455" s="39"/>
      <c r="D455" s="39"/>
      <c r="E455" s="46"/>
      <c r="F455" s="46"/>
      <c r="G455" s="39"/>
      <c r="H455" s="40"/>
      <c r="I455" s="41"/>
      <c r="J455" s="42"/>
      <c r="K455" s="43"/>
      <c r="L455" s="44">
        <f t="shared" si="49"/>
        <v>0</v>
      </c>
      <c r="M455" s="44" t="str">
        <f>+IF(C455&lt;&gt;"",IF(L455&gt;=$H$6,"SI","NO"),"")</f>
        <v/>
      </c>
      <c r="N455" s="41"/>
      <c r="O455" s="45"/>
      <c r="Q455" s="37" t="str">
        <f>+IF(C455="","",IF(AND(H455&lt;&gt;"",I455="SI",J455&lt;&gt;"",J455&gt;0,K455&lt;&gt;"",K455&gt;0),"SI","NO"))</f>
        <v/>
      </c>
      <c r="S455" s="37" t="str">
        <f>+IF(C455&lt;&gt;"",IF(AND(M455="SI",N455="SI",Q455="SI"),"HÁBIL","NO HÁBIL"),"")</f>
        <v/>
      </c>
    </row>
    <row r="456" spans="1:20" s="27" customFormat="1" ht="35.25" customHeight="1" thickBot="1" x14ac:dyDescent="0.25">
      <c r="B456" s="47">
        <v>4</v>
      </c>
      <c r="C456" s="48"/>
      <c r="D456" s="48"/>
      <c r="E456" s="49"/>
      <c r="F456" s="49"/>
      <c r="G456" s="48"/>
      <c r="H456" s="50"/>
      <c r="I456" s="51"/>
      <c r="J456" s="14"/>
      <c r="K456" s="52"/>
      <c r="L456" s="53">
        <f t="shared" si="49"/>
        <v>0</v>
      </c>
      <c r="M456" s="53" t="str">
        <f>+IF(C456&lt;&gt;"",IF(L456&gt;=$H$6,"SI","NO"),"")</f>
        <v/>
      </c>
      <c r="N456" s="51"/>
      <c r="O456" s="54"/>
      <c r="Q456" s="55" t="str">
        <f>+IF(C456="","",IF(AND(H456&lt;&gt;"",I456="SI",J456&lt;&gt;"",J456&gt;0,K456&lt;&gt;"",K456&gt;0),"SI","NO"))</f>
        <v/>
      </c>
      <c r="S456" s="55" t="str">
        <f>+IF(C456&lt;&gt;"",IF(AND(M456="SI",N456="SI",Q456="SI"),"HÁBIL","NO HÁBIL"),"")</f>
        <v/>
      </c>
    </row>
    <row r="457" spans="1:20" ht="35.25" customHeight="1" thickBot="1" x14ac:dyDescent="0.25">
      <c r="A457" s="56">
        <f>+$B450</f>
        <v>50</v>
      </c>
      <c r="B457" s="57" t="str">
        <f>"A"&amp;B450</f>
        <v>A50</v>
      </c>
      <c r="C457" s="320" t="str">
        <f>+$C$16</f>
        <v>PROPONENTE HÁBIL / NO HÁBIL</v>
      </c>
      <c r="D457" s="321"/>
      <c r="E457" s="321"/>
      <c r="F457" s="321"/>
      <c r="G457" s="321"/>
      <c r="H457" s="322"/>
      <c r="I457" s="58" t="str">
        <f>IF(S453="","",IF(OR(S453="HÁBIL",S454="HÁBIL",S455="HÁBIL",S456="HÁBIL"),"HÁBIL","NO HÁBIL"))</f>
        <v/>
      </c>
      <c r="J457" s="59"/>
      <c r="K457" s="27"/>
      <c r="L457" s="27"/>
      <c r="M457" s="27"/>
      <c r="N457" s="60"/>
      <c r="O457" s="1"/>
      <c r="P457" s="61"/>
      <c r="Q457" s="61"/>
      <c r="R457" s="61"/>
      <c r="S457" s="61"/>
      <c r="T457" s="61"/>
    </row>
    <row r="458" spans="1:20" ht="12" thickBot="1" x14ac:dyDescent="0.25"/>
    <row r="459" spans="1:20" ht="35.25" customHeight="1" thickBot="1" x14ac:dyDescent="0.25">
      <c r="B459" s="23">
        <f>1+B450</f>
        <v>51</v>
      </c>
      <c r="C459" s="336" t="s">
        <v>932</v>
      </c>
      <c r="D459" s="337"/>
      <c r="E459" s="337"/>
      <c r="F459" s="337"/>
      <c r="G459" s="337"/>
      <c r="H459" s="337"/>
      <c r="I459" s="338"/>
      <c r="J459" s="24" t="str">
        <f>+IF(C459="","",$J$9)</f>
        <v/>
      </c>
      <c r="K459" s="339" t="s">
        <v>932</v>
      </c>
      <c r="L459" s="339"/>
      <c r="M459" s="339"/>
      <c r="N459" s="25">
        <f>+B459</f>
        <v>51</v>
      </c>
      <c r="O459" s="323" t="str">
        <f ca="1">+$O$9</f>
        <v>OBSERVACIONES</v>
      </c>
      <c r="Q459" s="325" t="str">
        <f ca="1">+$Q$9</f>
        <v>¿EL CONTRATO CUMPLE CON LOS REQUERIMIENTOS ADICIONALES DE EXPERIENCIA  EN EL PLIEGO?
 (INSCRIPCIÓN EN RUP - CÓDIGO UNSPSC - VALOR EN RUP - % DE PARTICIPACIÓN)
(SI / NO)</v>
      </c>
      <c r="S459" s="328" t="str">
        <f ca="1">+$S$9</f>
        <v>PROPONENTE HÁBIL/NO HÁBIL</v>
      </c>
    </row>
    <row r="460" spans="1:20" ht="35.25" customHeight="1" x14ac:dyDescent="0.2">
      <c r="B460" s="331" t="str">
        <f ca="1">+$B$10</f>
        <v>ITEM</v>
      </c>
      <c r="C460" s="318" t="str">
        <f ca="1">+$C$10</f>
        <v>PROPONENTE 
/ 
INTEGRANTE OFERENTE PLURAL</v>
      </c>
      <c r="D460" s="333" t="str">
        <f ca="1">+$D$10</f>
        <v>INFORMACIÓN DEL CONTRATO</v>
      </c>
      <c r="E460" s="334"/>
      <c r="F460" s="334"/>
      <c r="G460" s="335"/>
      <c r="H460" s="318" t="str">
        <f>+H451</f>
        <v>CONSECUTIVO RUP</v>
      </c>
      <c r="I460" s="318" t="str">
        <f ca="1">+$I$10</f>
        <v>¿SE ENCUENTRA INSCRITO EN EL RUP Y CUMPLE CÓDIGOS UNSPSC?</v>
      </c>
      <c r="J460" s="318" t="str">
        <f ca="1">+$J$10</f>
        <v xml:space="preserve">VALOR EN RUP (SMMLV) </v>
      </c>
      <c r="K460" s="318" t="str">
        <f ca="1">+$K$10</f>
        <v>% PARTIC en el RUP</v>
      </c>
      <c r="L460" s="318" t="str">
        <f ca="1">+$L$10</f>
        <v>VALOR DEL CONTRATO TERMINADO (SMMLV) en el   RUP</v>
      </c>
      <c r="M460" s="318" t="str">
        <f ca="1">+$M$10</f>
        <v>VALOR CERTIFICADO CONTRATO &gt; VEH</v>
      </c>
      <c r="N460" s="318" t="str">
        <f ca="1">+$N$10</f>
        <v>VALIDACIÓN DE OBJETO Y/O ALCANCE
(SI/NO)
(INTERVENTORIA DE OBRA CIVIL)</v>
      </c>
      <c r="O460" s="324"/>
      <c r="Q460" s="326"/>
      <c r="S460" s="329">
        <f ca="1">+$S$10</f>
        <v>0</v>
      </c>
    </row>
    <row r="461" spans="1:20" ht="35.25" customHeight="1" thickBot="1" x14ac:dyDescent="0.25">
      <c r="B461" s="332"/>
      <c r="C461" s="319"/>
      <c r="D461" s="26" t="str">
        <f ca="1">+$D$11</f>
        <v>ENTIDAD</v>
      </c>
      <c r="E461" s="26" t="str">
        <f ca="1">+$E$11</f>
        <v>No. DE CONTRATO</v>
      </c>
      <c r="F461" s="26" t="str">
        <f ca="1">+$F$11</f>
        <v>OBJETO</v>
      </c>
      <c r="G461" s="26" t="str">
        <f ca="1">+$G$11</f>
        <v>CONTRATISTA</v>
      </c>
      <c r="H461" s="319"/>
      <c r="I461" s="319"/>
      <c r="J461" s="319"/>
      <c r="K461" s="319"/>
      <c r="L461" s="319"/>
      <c r="M461" s="319"/>
      <c r="N461" s="319"/>
      <c r="O461" s="324"/>
      <c r="Q461" s="327"/>
      <c r="S461" s="330"/>
    </row>
    <row r="462" spans="1:20" s="27" customFormat="1" ht="35.25" customHeight="1" x14ac:dyDescent="0.2">
      <c r="B462" s="28">
        <v>1</v>
      </c>
      <c r="C462" s="86"/>
      <c r="D462" s="86"/>
      <c r="E462" s="87"/>
      <c r="F462" s="87"/>
      <c r="G462" s="86"/>
      <c r="H462" s="30"/>
      <c r="I462" s="31"/>
      <c r="J462" s="32"/>
      <c r="K462" s="33"/>
      <c r="L462" s="34">
        <f>IF(OR(H462="",I462&lt;&gt;"SI",I462="NO",J462="",J462=0,K462="",K462=0,Q462&lt;&gt;"SI",N462&lt;&gt;"SI"),0,J462*K462)</f>
        <v>0</v>
      </c>
      <c r="M462" s="34" t="str">
        <f>+IF(C462&lt;&gt;"",IF(L462&gt;=$H$6,"SI","NO"),"")</f>
        <v/>
      </c>
      <c r="N462" s="35"/>
      <c r="O462" s="36"/>
      <c r="Q462" s="37" t="str">
        <f>+IF(C462="","",IF(AND(H462&lt;&gt;"",I462="SI",J462&lt;&gt;"",J462&gt;0,K462&lt;&gt;"",K462&gt;0),"SI","NO"))</f>
        <v/>
      </c>
      <c r="S462" s="37" t="str">
        <f>+IF(C462&lt;&gt;"",IF(AND(M462="SI",N462="SI",Q462="SI"),"HÁBIL","NO HÁBIL"),"")</f>
        <v/>
      </c>
    </row>
    <row r="463" spans="1:20" s="27" customFormat="1" ht="35.25" customHeight="1" x14ac:dyDescent="0.2">
      <c r="B463" s="38">
        <v>2</v>
      </c>
      <c r="C463" s="39"/>
      <c r="D463" s="39"/>
      <c r="E463" s="46"/>
      <c r="F463" s="46"/>
      <c r="G463" s="39"/>
      <c r="H463" s="40"/>
      <c r="I463" s="41"/>
      <c r="J463" s="42"/>
      <c r="K463" s="43"/>
      <c r="L463" s="44">
        <f t="shared" ref="L463:L465" si="50">IF(OR(H463="",I463&lt;&gt;"SI",I463="NO",J463="",J463=0,K463="",K463=0,Q463&lt;&gt;"SI",N463&lt;&gt;"SI"),0,J463*K463)</f>
        <v>0</v>
      </c>
      <c r="M463" s="44" t="str">
        <f>+IF(C463&lt;&gt;"",IF(L463&gt;=$H$6,"SI","NO"),"")</f>
        <v/>
      </c>
      <c r="N463" s="41"/>
      <c r="O463" s="45"/>
      <c r="Q463" s="37" t="str">
        <f>+IF(C463="","",IF(AND(H463&lt;&gt;"",I463="SI",J463&lt;&gt;"",J463&gt;0,K463&lt;&gt;"",K463&gt;0),"SI","NO"))</f>
        <v/>
      </c>
      <c r="S463" s="37" t="str">
        <f>+IF(C463&lt;&gt;"",IF(AND(M463="SI",N463="SI",Q463="SI"),"HÁBIL","NO HÁBIL"),"")</f>
        <v/>
      </c>
    </row>
    <row r="464" spans="1:20" s="27" customFormat="1" ht="35.25" customHeight="1" x14ac:dyDescent="0.2">
      <c r="B464" s="38">
        <v>3</v>
      </c>
      <c r="C464" s="39"/>
      <c r="D464" s="39"/>
      <c r="E464" s="46"/>
      <c r="F464" s="46"/>
      <c r="G464" s="39"/>
      <c r="H464" s="40"/>
      <c r="I464" s="41"/>
      <c r="J464" s="42"/>
      <c r="K464" s="43"/>
      <c r="L464" s="44">
        <f t="shared" si="50"/>
        <v>0</v>
      </c>
      <c r="M464" s="44" t="str">
        <f>+IF(C464&lt;&gt;"",IF(L464&gt;=$H$6,"SI","NO"),"")</f>
        <v/>
      </c>
      <c r="N464" s="41"/>
      <c r="O464" s="45"/>
      <c r="Q464" s="37" t="str">
        <f>+IF(C464="","",IF(AND(H464&lt;&gt;"",I464="SI",J464&lt;&gt;"",J464&gt;0,K464&lt;&gt;"",K464&gt;0),"SI","NO"))</f>
        <v/>
      </c>
      <c r="S464" s="37" t="str">
        <f>+IF(C464&lt;&gt;"",IF(AND(M464="SI",N464="SI",Q464="SI"),"HÁBIL","NO HÁBIL"),"")</f>
        <v/>
      </c>
    </row>
    <row r="465" spans="1:20" s="27" customFormat="1" ht="35.25" customHeight="1" thickBot="1" x14ac:dyDescent="0.25">
      <c r="B465" s="47">
        <v>4</v>
      </c>
      <c r="C465" s="48"/>
      <c r="D465" s="48"/>
      <c r="E465" s="49"/>
      <c r="F465" s="49"/>
      <c r="G465" s="48"/>
      <c r="H465" s="50"/>
      <c r="I465" s="51"/>
      <c r="J465" s="14"/>
      <c r="K465" s="52"/>
      <c r="L465" s="53">
        <f t="shared" si="50"/>
        <v>0</v>
      </c>
      <c r="M465" s="53" t="str">
        <f>+IF(C465&lt;&gt;"",IF(L465&gt;=$H$6,"SI","NO"),"")</f>
        <v/>
      </c>
      <c r="N465" s="51"/>
      <c r="O465" s="54"/>
      <c r="Q465" s="55" t="str">
        <f>+IF(C465="","",IF(AND(H465&lt;&gt;"",I465="SI",J465&lt;&gt;"",J465&gt;0,K465&lt;&gt;"",K465&gt;0),"SI","NO"))</f>
        <v/>
      </c>
      <c r="S465" s="55" t="str">
        <f>+IF(C465&lt;&gt;"",IF(AND(M465="SI",N465="SI",Q465="SI"),"HÁBIL","NO HÁBIL"),"")</f>
        <v/>
      </c>
    </row>
    <row r="466" spans="1:20" ht="35.25" customHeight="1" thickBot="1" x14ac:dyDescent="0.25">
      <c r="A466" s="56">
        <f>+$B459</f>
        <v>51</v>
      </c>
      <c r="B466" s="57" t="str">
        <f>"A"&amp;B459</f>
        <v>A51</v>
      </c>
      <c r="C466" s="320" t="str">
        <f>+$C$16</f>
        <v>PROPONENTE HÁBIL / NO HÁBIL</v>
      </c>
      <c r="D466" s="321"/>
      <c r="E466" s="321"/>
      <c r="F466" s="321"/>
      <c r="G466" s="321"/>
      <c r="H466" s="322"/>
      <c r="I466" s="58" t="str">
        <f>IF(S462="","",IF(OR(S462="HÁBIL",S463="HÁBIL",S464="HÁBIL",S465="HÁBIL"),"HÁBIL","NO HÁBIL"))</f>
        <v/>
      </c>
      <c r="J466" s="59"/>
      <c r="K466" s="27"/>
      <c r="L466" s="27"/>
      <c r="M466" s="27"/>
      <c r="N466" s="60"/>
      <c r="O466" s="1"/>
      <c r="P466" s="61"/>
      <c r="Q466" s="61"/>
      <c r="R466" s="61"/>
      <c r="S466" s="61"/>
      <c r="T466" s="61"/>
    </row>
    <row r="467" spans="1:20" ht="12" thickBot="1" x14ac:dyDescent="0.25"/>
    <row r="468" spans="1:20" ht="35.25" customHeight="1" thickBot="1" x14ac:dyDescent="0.25">
      <c r="B468" s="23">
        <f>1+B459</f>
        <v>52</v>
      </c>
      <c r="C468" s="336" t="s">
        <v>932</v>
      </c>
      <c r="D468" s="337"/>
      <c r="E468" s="337"/>
      <c r="F468" s="337"/>
      <c r="G468" s="337"/>
      <c r="H468" s="337"/>
      <c r="I468" s="338"/>
      <c r="J468" s="24" t="str">
        <f>+IF(C468="","",$J$9)</f>
        <v/>
      </c>
      <c r="K468" s="339" t="s">
        <v>932</v>
      </c>
      <c r="L468" s="339"/>
      <c r="M468" s="339"/>
      <c r="N468" s="25">
        <f>+B468</f>
        <v>52</v>
      </c>
      <c r="O468" s="323" t="str">
        <f ca="1">+$O$9</f>
        <v>OBSERVACIONES</v>
      </c>
      <c r="Q468" s="325" t="str">
        <f ca="1">+$Q$9</f>
        <v>¿EL CONTRATO CUMPLE CON LOS REQUERIMIENTOS ADICIONALES DE EXPERIENCIA  EN EL PLIEGO?
 (INSCRIPCIÓN EN RUP - CÓDIGO UNSPSC - VALOR EN RUP - % DE PARTICIPACIÓN)
(SI / NO)</v>
      </c>
      <c r="S468" s="328" t="str">
        <f ca="1">+$S$9</f>
        <v>PROPONENTE HÁBIL/NO HÁBIL</v>
      </c>
    </row>
    <row r="469" spans="1:20" ht="35.25" customHeight="1" x14ac:dyDescent="0.2">
      <c r="B469" s="331" t="str">
        <f ca="1">+$B$10</f>
        <v>ITEM</v>
      </c>
      <c r="C469" s="318" t="str">
        <f ca="1">+$C$10</f>
        <v>PROPONENTE 
/ 
INTEGRANTE OFERENTE PLURAL</v>
      </c>
      <c r="D469" s="333" t="str">
        <f ca="1">+$D$10</f>
        <v>INFORMACIÓN DEL CONTRATO</v>
      </c>
      <c r="E469" s="334"/>
      <c r="F469" s="334"/>
      <c r="G469" s="335"/>
      <c r="H469" s="318" t="str">
        <f>+H460</f>
        <v>CONSECUTIVO RUP</v>
      </c>
      <c r="I469" s="318" t="str">
        <f ca="1">+$I$10</f>
        <v>¿SE ENCUENTRA INSCRITO EN EL RUP Y CUMPLE CÓDIGOS UNSPSC?</v>
      </c>
      <c r="J469" s="318" t="str">
        <f ca="1">+$J$10</f>
        <v xml:space="preserve">VALOR EN RUP (SMMLV) </v>
      </c>
      <c r="K469" s="318" t="str">
        <f ca="1">+$K$10</f>
        <v>% PARTIC en el RUP</v>
      </c>
      <c r="L469" s="318" t="str">
        <f ca="1">+$L$10</f>
        <v>VALOR DEL CONTRATO TERMINADO (SMMLV) en el   RUP</v>
      </c>
      <c r="M469" s="318" t="str">
        <f ca="1">+$M$10</f>
        <v>VALOR CERTIFICADO CONTRATO &gt; VEH</v>
      </c>
      <c r="N469" s="318" t="str">
        <f ca="1">+$N$10</f>
        <v>VALIDACIÓN DE OBJETO Y/O ALCANCE
(SI/NO)
(INTERVENTORIA DE OBRA CIVIL)</v>
      </c>
      <c r="O469" s="324"/>
      <c r="Q469" s="326"/>
      <c r="S469" s="329">
        <f ca="1">+$S$10</f>
        <v>0</v>
      </c>
    </row>
    <row r="470" spans="1:20" ht="35.25" customHeight="1" thickBot="1" x14ac:dyDescent="0.25">
      <c r="B470" s="332"/>
      <c r="C470" s="319"/>
      <c r="D470" s="26" t="str">
        <f ca="1">+$D$11</f>
        <v>ENTIDAD</v>
      </c>
      <c r="E470" s="26" t="str">
        <f ca="1">+$E$11</f>
        <v>No. DE CONTRATO</v>
      </c>
      <c r="F470" s="26" t="str">
        <f ca="1">+$F$11</f>
        <v>OBJETO</v>
      </c>
      <c r="G470" s="26" t="str">
        <f ca="1">+$G$11</f>
        <v>CONTRATISTA</v>
      </c>
      <c r="H470" s="319"/>
      <c r="I470" s="319"/>
      <c r="J470" s="319"/>
      <c r="K470" s="319"/>
      <c r="L470" s="319"/>
      <c r="M470" s="319"/>
      <c r="N470" s="319"/>
      <c r="O470" s="324"/>
      <c r="Q470" s="327"/>
      <c r="S470" s="330"/>
    </row>
    <row r="471" spans="1:20" s="27" customFormat="1" ht="35.25" customHeight="1" x14ac:dyDescent="0.2">
      <c r="B471" s="28">
        <v>1</v>
      </c>
      <c r="C471" s="86"/>
      <c r="D471" s="86"/>
      <c r="E471" s="87"/>
      <c r="F471" s="87"/>
      <c r="G471" s="86"/>
      <c r="H471" s="30"/>
      <c r="I471" s="31"/>
      <c r="J471" s="32"/>
      <c r="K471" s="33"/>
      <c r="L471" s="34">
        <f>IF(OR(H471="",I471&lt;&gt;"SI",I471="NO",J471="",J471=0,K471="",K471=0,Q471&lt;&gt;"SI",N471&lt;&gt;"SI"),0,J471*K471)</f>
        <v>0</v>
      </c>
      <c r="M471" s="34" t="str">
        <f>+IF(C471&lt;&gt;"",IF(L471&gt;=$H$6,"SI","NO"),"")</f>
        <v/>
      </c>
      <c r="N471" s="35"/>
      <c r="O471" s="36"/>
      <c r="Q471" s="37" t="str">
        <f>+IF(C471="","",IF(AND(H471&lt;&gt;"",I471="SI",J471&lt;&gt;"",J471&gt;0,K471&lt;&gt;"",K471&gt;0),"SI","NO"))</f>
        <v/>
      </c>
      <c r="S471" s="37" t="str">
        <f>+IF(C471&lt;&gt;"",IF(AND(M471="SI",N471="SI",Q471="SI"),"HÁBIL","NO HÁBIL"),"")</f>
        <v/>
      </c>
    </row>
    <row r="472" spans="1:20" s="27" customFormat="1" ht="35.25" customHeight="1" x14ac:dyDescent="0.2">
      <c r="B472" s="38">
        <v>2</v>
      </c>
      <c r="C472" s="39"/>
      <c r="D472" s="39"/>
      <c r="E472" s="46"/>
      <c r="F472" s="46"/>
      <c r="G472" s="39"/>
      <c r="H472" s="40"/>
      <c r="I472" s="41"/>
      <c r="J472" s="42"/>
      <c r="K472" s="43"/>
      <c r="L472" s="44">
        <f t="shared" ref="L472:L474" si="51">IF(OR(H472="",I472&lt;&gt;"SI",I472="NO",J472="",J472=0,K472="",K472=0,Q472&lt;&gt;"SI",N472&lt;&gt;"SI"),0,J472*K472)</f>
        <v>0</v>
      </c>
      <c r="M472" s="44" t="str">
        <f>+IF(C472&lt;&gt;"",IF(L472&gt;=$H$6,"SI","NO"),"")</f>
        <v/>
      </c>
      <c r="N472" s="41"/>
      <c r="O472" s="45"/>
      <c r="Q472" s="37" t="str">
        <f>+IF(C472="","",IF(AND(H472&lt;&gt;"",I472="SI",J472&lt;&gt;"",J472&gt;0,K472&lt;&gt;"",K472&gt;0),"SI","NO"))</f>
        <v/>
      </c>
      <c r="S472" s="37" t="str">
        <f>+IF(C472&lt;&gt;"",IF(AND(M472="SI",N472="SI",Q472="SI"),"HÁBIL","NO HÁBIL"),"")</f>
        <v/>
      </c>
    </row>
    <row r="473" spans="1:20" s="27" customFormat="1" ht="35.25" customHeight="1" x14ac:dyDescent="0.2">
      <c r="B473" s="38">
        <v>3</v>
      </c>
      <c r="C473" s="39"/>
      <c r="D473" s="39"/>
      <c r="E473" s="46"/>
      <c r="F473" s="46"/>
      <c r="G473" s="39"/>
      <c r="H473" s="40"/>
      <c r="I473" s="41"/>
      <c r="J473" s="42"/>
      <c r="K473" s="43"/>
      <c r="L473" s="44">
        <f t="shared" si="51"/>
        <v>0</v>
      </c>
      <c r="M473" s="44" t="str">
        <f>+IF(C473&lt;&gt;"",IF(L473&gt;=$H$6,"SI","NO"),"")</f>
        <v/>
      </c>
      <c r="N473" s="41"/>
      <c r="O473" s="45"/>
      <c r="Q473" s="37" t="str">
        <f>+IF(C473="","",IF(AND(H473&lt;&gt;"",I473="SI",J473&lt;&gt;"",J473&gt;0,K473&lt;&gt;"",K473&gt;0),"SI","NO"))</f>
        <v/>
      </c>
      <c r="S473" s="37" t="str">
        <f>+IF(C473&lt;&gt;"",IF(AND(M473="SI",N473="SI",Q473="SI"),"HÁBIL","NO HÁBIL"),"")</f>
        <v/>
      </c>
    </row>
    <row r="474" spans="1:20" s="27" customFormat="1" ht="35.25" customHeight="1" thickBot="1" x14ac:dyDescent="0.25">
      <c r="B474" s="47">
        <v>4</v>
      </c>
      <c r="C474" s="48"/>
      <c r="D474" s="48"/>
      <c r="E474" s="49"/>
      <c r="F474" s="49"/>
      <c r="G474" s="48"/>
      <c r="H474" s="50"/>
      <c r="I474" s="51"/>
      <c r="J474" s="14"/>
      <c r="K474" s="52"/>
      <c r="L474" s="53">
        <f t="shared" si="51"/>
        <v>0</v>
      </c>
      <c r="M474" s="53" t="str">
        <f>+IF(C474&lt;&gt;"",IF(L474&gt;=$H$6,"SI","NO"),"")</f>
        <v/>
      </c>
      <c r="N474" s="51"/>
      <c r="O474" s="54"/>
      <c r="Q474" s="55" t="str">
        <f>+IF(C474="","",IF(AND(H474&lt;&gt;"",I474="SI",J474&lt;&gt;"",J474&gt;0,K474&lt;&gt;"",K474&gt;0),"SI","NO"))</f>
        <v/>
      </c>
      <c r="S474" s="55" t="str">
        <f>+IF(C474&lt;&gt;"",IF(AND(M474="SI",N474="SI",Q474="SI"),"HÁBIL","NO HÁBIL"),"")</f>
        <v/>
      </c>
    </row>
    <row r="475" spans="1:20" ht="35.25" customHeight="1" thickBot="1" x14ac:dyDescent="0.25">
      <c r="A475" s="56">
        <f>+$B468</f>
        <v>52</v>
      </c>
      <c r="B475" s="57" t="str">
        <f>"A"&amp;B468</f>
        <v>A52</v>
      </c>
      <c r="C475" s="320" t="str">
        <f>+$C$16</f>
        <v>PROPONENTE HÁBIL / NO HÁBIL</v>
      </c>
      <c r="D475" s="321"/>
      <c r="E475" s="321"/>
      <c r="F475" s="321"/>
      <c r="G475" s="321"/>
      <c r="H475" s="322"/>
      <c r="I475" s="58" t="str">
        <f>IF(S471="","",IF(OR(S471="HÁBIL",S472="HÁBIL",S473="HÁBIL",S474="HÁBIL"),"HÁBIL","NO HÁBIL"))</f>
        <v/>
      </c>
      <c r="J475" s="59"/>
      <c r="K475" s="27"/>
      <c r="L475" s="27"/>
      <c r="M475" s="27"/>
      <c r="N475" s="60"/>
      <c r="O475" s="1"/>
      <c r="P475" s="61"/>
      <c r="Q475" s="61"/>
      <c r="R475" s="61"/>
      <c r="S475" s="61"/>
      <c r="T475" s="61"/>
    </row>
    <row r="476" spans="1:20" ht="12" thickBot="1" x14ac:dyDescent="0.25"/>
    <row r="477" spans="1:20" ht="35.25" customHeight="1" thickBot="1" x14ac:dyDescent="0.25">
      <c r="B477" s="23">
        <f>1+B468</f>
        <v>53</v>
      </c>
      <c r="C477" s="336" t="s">
        <v>932</v>
      </c>
      <c r="D477" s="337"/>
      <c r="E477" s="337"/>
      <c r="F477" s="337"/>
      <c r="G477" s="337"/>
      <c r="H477" s="337"/>
      <c r="I477" s="338"/>
      <c r="J477" s="24" t="str">
        <f>+IF(C477="","",$J$9)</f>
        <v/>
      </c>
      <c r="K477" s="339" t="s">
        <v>932</v>
      </c>
      <c r="L477" s="339"/>
      <c r="M477" s="339"/>
      <c r="N477" s="25">
        <f>+B477</f>
        <v>53</v>
      </c>
      <c r="O477" s="323" t="str">
        <f ca="1">+$O$9</f>
        <v>OBSERVACIONES</v>
      </c>
      <c r="Q477" s="325" t="str">
        <f ca="1">+$Q$9</f>
        <v>¿EL CONTRATO CUMPLE CON LOS REQUERIMIENTOS ADICIONALES DE EXPERIENCIA  EN EL PLIEGO?
 (INSCRIPCIÓN EN RUP - CÓDIGO UNSPSC - VALOR EN RUP - % DE PARTICIPACIÓN)
(SI / NO)</v>
      </c>
      <c r="S477" s="328" t="str">
        <f ca="1">+$S$9</f>
        <v>PROPONENTE HÁBIL/NO HÁBIL</v>
      </c>
    </row>
    <row r="478" spans="1:20" ht="35.25" customHeight="1" x14ac:dyDescent="0.2">
      <c r="B478" s="331" t="str">
        <f ca="1">+$B$10</f>
        <v>ITEM</v>
      </c>
      <c r="C478" s="318" t="str">
        <f ca="1">+$C$10</f>
        <v>PROPONENTE 
/ 
INTEGRANTE OFERENTE PLURAL</v>
      </c>
      <c r="D478" s="333" t="str">
        <f ca="1">+$D$10</f>
        <v>INFORMACIÓN DEL CONTRATO</v>
      </c>
      <c r="E478" s="334"/>
      <c r="F478" s="334"/>
      <c r="G478" s="335"/>
      <c r="H478" s="318" t="str">
        <f>+H469</f>
        <v>CONSECUTIVO RUP</v>
      </c>
      <c r="I478" s="318" t="str">
        <f ca="1">+$I$10</f>
        <v>¿SE ENCUENTRA INSCRITO EN EL RUP Y CUMPLE CÓDIGOS UNSPSC?</v>
      </c>
      <c r="J478" s="318" t="str">
        <f ca="1">+$J$10</f>
        <v xml:space="preserve">VALOR EN RUP (SMMLV) </v>
      </c>
      <c r="K478" s="318" t="str">
        <f ca="1">+$K$10</f>
        <v>% PARTIC en el RUP</v>
      </c>
      <c r="L478" s="318" t="str">
        <f ca="1">+$L$10</f>
        <v>VALOR DEL CONTRATO TERMINADO (SMMLV) en el   RUP</v>
      </c>
      <c r="M478" s="318" t="str">
        <f ca="1">+$M$10</f>
        <v>VALOR CERTIFICADO CONTRATO &gt; VEH</v>
      </c>
      <c r="N478" s="318" t="str">
        <f ca="1">+$N$10</f>
        <v>VALIDACIÓN DE OBJETO Y/O ALCANCE
(SI/NO)
(INTERVENTORIA DE OBRA CIVIL)</v>
      </c>
      <c r="O478" s="324"/>
      <c r="Q478" s="326"/>
      <c r="S478" s="329">
        <f ca="1">+$S$10</f>
        <v>0</v>
      </c>
    </row>
    <row r="479" spans="1:20" ht="35.25" customHeight="1" thickBot="1" x14ac:dyDescent="0.25">
      <c r="B479" s="332"/>
      <c r="C479" s="319"/>
      <c r="D479" s="26" t="str">
        <f ca="1">+$D$11</f>
        <v>ENTIDAD</v>
      </c>
      <c r="E479" s="26" t="str">
        <f ca="1">+$E$11</f>
        <v>No. DE CONTRATO</v>
      </c>
      <c r="F479" s="26" t="str">
        <f ca="1">+$F$11</f>
        <v>OBJETO</v>
      </c>
      <c r="G479" s="26" t="str">
        <f ca="1">+$G$11</f>
        <v>CONTRATISTA</v>
      </c>
      <c r="H479" s="319"/>
      <c r="I479" s="319"/>
      <c r="J479" s="319"/>
      <c r="K479" s="319"/>
      <c r="L479" s="319"/>
      <c r="M479" s="319"/>
      <c r="N479" s="319"/>
      <c r="O479" s="324"/>
      <c r="Q479" s="327"/>
      <c r="S479" s="330"/>
    </row>
    <row r="480" spans="1:20" s="27" customFormat="1" ht="35.25" customHeight="1" x14ac:dyDescent="0.2">
      <c r="B480" s="28">
        <v>1</v>
      </c>
      <c r="C480" s="86"/>
      <c r="D480" s="86"/>
      <c r="E480" s="87"/>
      <c r="F480" s="87"/>
      <c r="G480" s="86"/>
      <c r="H480" s="30"/>
      <c r="I480" s="31"/>
      <c r="J480" s="32"/>
      <c r="K480" s="33"/>
      <c r="L480" s="34">
        <f>IF(OR(H480="",I480&lt;&gt;"SI",I480="NO",J480="",J480=0,K480="",K480=0,Q480&lt;&gt;"SI",N480&lt;&gt;"SI"),0,J480*K480)</f>
        <v>0</v>
      </c>
      <c r="M480" s="34" t="str">
        <f>+IF(C480&lt;&gt;"",IF(L480&gt;=$H$6,"SI","NO"),"")</f>
        <v/>
      </c>
      <c r="N480" s="35"/>
      <c r="O480" s="36"/>
      <c r="Q480" s="37" t="str">
        <f>+IF(C480="","",IF(AND(H480&lt;&gt;"",I480="SI",J480&lt;&gt;"",J480&gt;0,K480&lt;&gt;"",K480&gt;0),"SI","NO"))</f>
        <v/>
      </c>
      <c r="S480" s="37" t="str">
        <f>+IF(C480&lt;&gt;"",IF(AND(M480="SI",N480="SI",Q480="SI"),"HÁBIL","NO HÁBIL"),"")</f>
        <v/>
      </c>
    </row>
    <row r="481" spans="1:20" s="27" customFormat="1" ht="35.25" customHeight="1" x14ac:dyDescent="0.2">
      <c r="B481" s="38">
        <v>2</v>
      </c>
      <c r="C481" s="39"/>
      <c r="D481" s="39"/>
      <c r="E481" s="46"/>
      <c r="F481" s="46"/>
      <c r="G481" s="39"/>
      <c r="H481" s="40"/>
      <c r="I481" s="41"/>
      <c r="J481" s="42"/>
      <c r="K481" s="43"/>
      <c r="L481" s="44">
        <f t="shared" ref="L481:L483" si="52">IF(OR(H481="",I481&lt;&gt;"SI",I481="NO",J481="",J481=0,K481="",K481=0,Q481&lt;&gt;"SI",N481&lt;&gt;"SI"),0,J481*K481)</f>
        <v>0</v>
      </c>
      <c r="M481" s="44" t="str">
        <f>+IF(C481&lt;&gt;"",IF(L481&gt;=$H$6,"SI","NO"),"")</f>
        <v/>
      </c>
      <c r="N481" s="41"/>
      <c r="O481" s="45"/>
      <c r="Q481" s="37" t="str">
        <f>+IF(C481="","",IF(AND(H481&lt;&gt;"",I481="SI",J481&lt;&gt;"",J481&gt;0,K481&lt;&gt;"",K481&gt;0),"SI","NO"))</f>
        <v/>
      </c>
      <c r="S481" s="37" t="str">
        <f>+IF(C481&lt;&gt;"",IF(AND(M481="SI",N481="SI",Q481="SI"),"HÁBIL","NO HÁBIL"),"")</f>
        <v/>
      </c>
    </row>
    <row r="482" spans="1:20" s="27" customFormat="1" ht="35.25" customHeight="1" x14ac:dyDescent="0.2">
      <c r="B482" s="38">
        <v>3</v>
      </c>
      <c r="C482" s="39"/>
      <c r="D482" s="39"/>
      <c r="E482" s="46"/>
      <c r="F482" s="46"/>
      <c r="G482" s="39"/>
      <c r="H482" s="40"/>
      <c r="I482" s="41"/>
      <c r="J482" s="42"/>
      <c r="K482" s="43"/>
      <c r="L482" s="44">
        <f t="shared" si="52"/>
        <v>0</v>
      </c>
      <c r="M482" s="44" t="str">
        <f>+IF(C482&lt;&gt;"",IF(L482&gt;=$H$6,"SI","NO"),"")</f>
        <v/>
      </c>
      <c r="N482" s="41"/>
      <c r="O482" s="45"/>
      <c r="Q482" s="37" t="str">
        <f>+IF(C482="","",IF(AND(H482&lt;&gt;"",I482="SI",J482&lt;&gt;"",J482&gt;0,K482&lt;&gt;"",K482&gt;0),"SI","NO"))</f>
        <v/>
      </c>
      <c r="S482" s="37" t="str">
        <f>+IF(C482&lt;&gt;"",IF(AND(M482="SI",N482="SI",Q482="SI"),"HÁBIL","NO HÁBIL"),"")</f>
        <v/>
      </c>
    </row>
    <row r="483" spans="1:20" s="27" customFormat="1" ht="35.25" customHeight="1" thickBot="1" x14ac:dyDescent="0.25">
      <c r="B483" s="47">
        <v>4</v>
      </c>
      <c r="C483" s="48"/>
      <c r="D483" s="48"/>
      <c r="E483" s="49"/>
      <c r="F483" s="49"/>
      <c r="G483" s="48"/>
      <c r="H483" s="50"/>
      <c r="I483" s="51"/>
      <c r="J483" s="14"/>
      <c r="K483" s="52"/>
      <c r="L483" s="53">
        <f t="shared" si="52"/>
        <v>0</v>
      </c>
      <c r="M483" s="53" t="str">
        <f>+IF(C483&lt;&gt;"",IF(L483&gt;=$H$6,"SI","NO"),"")</f>
        <v/>
      </c>
      <c r="N483" s="51"/>
      <c r="O483" s="54"/>
      <c r="Q483" s="55" t="str">
        <f>+IF(C483="","",IF(AND(H483&lt;&gt;"",I483="SI",J483&lt;&gt;"",J483&gt;0,K483&lt;&gt;"",K483&gt;0),"SI","NO"))</f>
        <v/>
      </c>
      <c r="S483" s="55" t="str">
        <f>+IF(C483&lt;&gt;"",IF(AND(M483="SI",N483="SI",Q483="SI"),"HÁBIL","NO HÁBIL"),"")</f>
        <v/>
      </c>
    </row>
    <row r="484" spans="1:20" ht="35.25" customHeight="1" thickBot="1" x14ac:dyDescent="0.25">
      <c r="A484" s="56">
        <f>+$B477</f>
        <v>53</v>
      </c>
      <c r="B484" s="57" t="str">
        <f>"A"&amp;B477</f>
        <v>A53</v>
      </c>
      <c r="C484" s="320" t="str">
        <f>+$C$16</f>
        <v>PROPONENTE HÁBIL / NO HÁBIL</v>
      </c>
      <c r="D484" s="321"/>
      <c r="E484" s="321"/>
      <c r="F484" s="321"/>
      <c r="G484" s="321"/>
      <c r="H484" s="322"/>
      <c r="I484" s="58" t="str">
        <f>IF(S480="","",IF(OR(S480="HÁBIL",S481="HÁBIL",S482="HÁBIL",S483="HÁBIL"),"HÁBIL","NO HÁBIL"))</f>
        <v/>
      </c>
      <c r="J484" s="59"/>
      <c r="K484" s="27"/>
      <c r="L484" s="27"/>
      <c r="M484" s="27"/>
      <c r="N484" s="60"/>
      <c r="O484" s="1"/>
      <c r="P484" s="61"/>
      <c r="Q484" s="61"/>
      <c r="R484" s="61"/>
      <c r="S484" s="61"/>
      <c r="T484" s="61"/>
    </row>
    <row r="485" spans="1:20" ht="12" thickBot="1" x14ac:dyDescent="0.25"/>
    <row r="486" spans="1:20" ht="35.25" customHeight="1" thickBot="1" x14ac:dyDescent="0.25">
      <c r="B486" s="23">
        <f>1+B477</f>
        <v>54</v>
      </c>
      <c r="C486" s="336" t="s">
        <v>932</v>
      </c>
      <c r="D486" s="337"/>
      <c r="E486" s="337"/>
      <c r="F486" s="337"/>
      <c r="G486" s="337"/>
      <c r="H486" s="337"/>
      <c r="I486" s="338"/>
      <c r="J486" s="24" t="str">
        <f>+IF(C486="","",$J$9)</f>
        <v/>
      </c>
      <c r="K486" s="339" t="s">
        <v>932</v>
      </c>
      <c r="L486" s="339"/>
      <c r="M486" s="339"/>
      <c r="N486" s="25">
        <f>+B486</f>
        <v>54</v>
      </c>
      <c r="O486" s="323" t="str">
        <f ca="1">+$O$9</f>
        <v>OBSERVACIONES</v>
      </c>
      <c r="Q486" s="325" t="str">
        <f ca="1">+$Q$9</f>
        <v>¿EL CONTRATO CUMPLE CON LOS REQUERIMIENTOS ADICIONALES DE EXPERIENCIA  EN EL PLIEGO?
 (INSCRIPCIÓN EN RUP - CÓDIGO UNSPSC - VALOR EN RUP - % DE PARTICIPACIÓN)
(SI / NO)</v>
      </c>
      <c r="S486" s="328" t="str">
        <f ca="1">+$S$9</f>
        <v>PROPONENTE HÁBIL/NO HÁBIL</v>
      </c>
    </row>
    <row r="487" spans="1:20" ht="35.25" customHeight="1" x14ac:dyDescent="0.2">
      <c r="B487" s="331" t="str">
        <f ca="1">+$B$10</f>
        <v>ITEM</v>
      </c>
      <c r="C487" s="318" t="str">
        <f ca="1">+$C$10</f>
        <v>PROPONENTE 
/ 
INTEGRANTE OFERENTE PLURAL</v>
      </c>
      <c r="D487" s="333" t="str">
        <f ca="1">+$D$10</f>
        <v>INFORMACIÓN DEL CONTRATO</v>
      </c>
      <c r="E487" s="334"/>
      <c r="F487" s="334"/>
      <c r="G487" s="335"/>
      <c r="H487" s="318" t="str">
        <f>+H478</f>
        <v>CONSECUTIVO RUP</v>
      </c>
      <c r="I487" s="318" t="str">
        <f ca="1">+$I$10</f>
        <v>¿SE ENCUENTRA INSCRITO EN EL RUP Y CUMPLE CÓDIGOS UNSPSC?</v>
      </c>
      <c r="J487" s="318" t="str">
        <f ca="1">+$J$10</f>
        <v xml:space="preserve">VALOR EN RUP (SMMLV) </v>
      </c>
      <c r="K487" s="318" t="str">
        <f ca="1">+$K$10</f>
        <v>% PARTIC en el RUP</v>
      </c>
      <c r="L487" s="318" t="str">
        <f ca="1">+$L$10</f>
        <v>VALOR DEL CONTRATO TERMINADO (SMMLV) en el   RUP</v>
      </c>
      <c r="M487" s="318" t="str">
        <f ca="1">+$M$10</f>
        <v>VALOR CERTIFICADO CONTRATO &gt; VEH</v>
      </c>
      <c r="N487" s="318" t="str">
        <f ca="1">+$N$10</f>
        <v>VALIDACIÓN DE OBJETO Y/O ALCANCE
(SI/NO)
(INTERVENTORIA DE OBRA CIVIL)</v>
      </c>
      <c r="O487" s="324"/>
      <c r="Q487" s="326"/>
      <c r="S487" s="329">
        <f ca="1">+$S$10</f>
        <v>0</v>
      </c>
    </row>
    <row r="488" spans="1:20" ht="35.25" customHeight="1" thickBot="1" x14ac:dyDescent="0.25">
      <c r="B488" s="332"/>
      <c r="C488" s="319"/>
      <c r="D488" s="26" t="str">
        <f ca="1">+$D$11</f>
        <v>ENTIDAD</v>
      </c>
      <c r="E488" s="26" t="str">
        <f ca="1">+$E$11</f>
        <v>No. DE CONTRATO</v>
      </c>
      <c r="F488" s="26" t="str">
        <f ca="1">+$F$11</f>
        <v>OBJETO</v>
      </c>
      <c r="G488" s="26" t="str">
        <f ca="1">+$G$11</f>
        <v>CONTRATISTA</v>
      </c>
      <c r="H488" s="319"/>
      <c r="I488" s="319"/>
      <c r="J488" s="319"/>
      <c r="K488" s="319"/>
      <c r="L488" s="319"/>
      <c r="M488" s="319"/>
      <c r="N488" s="319"/>
      <c r="O488" s="324"/>
      <c r="Q488" s="327"/>
      <c r="S488" s="330"/>
    </row>
    <row r="489" spans="1:20" s="27" customFormat="1" ht="35.25" customHeight="1" x14ac:dyDescent="0.2">
      <c r="B489" s="28">
        <v>1</v>
      </c>
      <c r="C489" s="86"/>
      <c r="D489" s="86"/>
      <c r="E489" s="87"/>
      <c r="F489" s="87"/>
      <c r="G489" s="86"/>
      <c r="H489" s="30"/>
      <c r="I489" s="31"/>
      <c r="J489" s="32"/>
      <c r="K489" s="33"/>
      <c r="L489" s="34">
        <f>IF(OR(H489="",I489&lt;&gt;"SI",I489="NO",J489="",J489=0,K489="",K489=0,Q489&lt;&gt;"SI",N489&lt;&gt;"SI"),0,J489*K489)</f>
        <v>0</v>
      </c>
      <c r="M489" s="34" t="str">
        <f>+IF(C489&lt;&gt;"",IF(L489&gt;=$H$6,"SI","NO"),"")</f>
        <v/>
      </c>
      <c r="N489" s="35"/>
      <c r="O489" s="36"/>
      <c r="Q489" s="37" t="str">
        <f>+IF(C489="","",IF(AND(H489&lt;&gt;"",I489="SI",J489&lt;&gt;"",J489&gt;0,K489&lt;&gt;"",K489&gt;0),"SI","NO"))</f>
        <v/>
      </c>
      <c r="S489" s="37" t="str">
        <f>+IF(C489&lt;&gt;"",IF(AND(M489="SI",N489="SI",Q489="SI"),"HÁBIL","NO HÁBIL"),"")</f>
        <v/>
      </c>
    </row>
    <row r="490" spans="1:20" s="27" customFormat="1" ht="35.25" customHeight="1" x14ac:dyDescent="0.2">
      <c r="B490" s="38">
        <v>2</v>
      </c>
      <c r="C490" s="39"/>
      <c r="D490" s="39"/>
      <c r="E490" s="46"/>
      <c r="F490" s="46"/>
      <c r="G490" s="39"/>
      <c r="H490" s="40"/>
      <c r="I490" s="41"/>
      <c r="J490" s="42"/>
      <c r="K490" s="43"/>
      <c r="L490" s="44">
        <f t="shared" ref="L490:L492" si="53">IF(OR(H490="",I490&lt;&gt;"SI",I490="NO",J490="",J490=0,K490="",K490=0,Q490&lt;&gt;"SI",N490&lt;&gt;"SI"),0,J490*K490)</f>
        <v>0</v>
      </c>
      <c r="M490" s="44" t="str">
        <f>+IF(C490&lt;&gt;"",IF(L490&gt;=$H$6,"SI","NO"),"")</f>
        <v/>
      </c>
      <c r="N490" s="41"/>
      <c r="O490" s="45"/>
      <c r="Q490" s="37" t="str">
        <f>+IF(C490="","",IF(AND(H490&lt;&gt;"",I490="SI",J490&lt;&gt;"",J490&gt;0,K490&lt;&gt;"",K490&gt;0),"SI","NO"))</f>
        <v/>
      </c>
      <c r="S490" s="37" t="str">
        <f>+IF(C490&lt;&gt;"",IF(AND(M490="SI",N490="SI",Q490="SI"),"HÁBIL","NO HÁBIL"),"")</f>
        <v/>
      </c>
    </row>
    <row r="491" spans="1:20" s="27" customFormat="1" ht="35.25" customHeight="1" x14ac:dyDescent="0.2">
      <c r="B491" s="38">
        <v>3</v>
      </c>
      <c r="C491" s="39"/>
      <c r="D491" s="39"/>
      <c r="E491" s="46"/>
      <c r="F491" s="46"/>
      <c r="G491" s="39"/>
      <c r="H491" s="40"/>
      <c r="I491" s="41"/>
      <c r="J491" s="42"/>
      <c r="K491" s="43"/>
      <c r="L491" s="44">
        <f t="shared" si="53"/>
        <v>0</v>
      </c>
      <c r="M491" s="44" t="str">
        <f>+IF(C491&lt;&gt;"",IF(L491&gt;=$H$6,"SI","NO"),"")</f>
        <v/>
      </c>
      <c r="N491" s="41"/>
      <c r="O491" s="45"/>
      <c r="Q491" s="37" t="str">
        <f>+IF(C491="","",IF(AND(H491&lt;&gt;"",I491="SI",J491&lt;&gt;"",J491&gt;0,K491&lt;&gt;"",K491&gt;0),"SI","NO"))</f>
        <v/>
      </c>
      <c r="S491" s="37" t="str">
        <f>+IF(C491&lt;&gt;"",IF(AND(M491="SI",N491="SI",Q491="SI"),"HÁBIL","NO HÁBIL"),"")</f>
        <v/>
      </c>
    </row>
    <row r="492" spans="1:20" s="27" customFormat="1" ht="35.25" customHeight="1" thickBot="1" x14ac:dyDescent="0.25">
      <c r="B492" s="47">
        <v>4</v>
      </c>
      <c r="C492" s="48"/>
      <c r="D492" s="48"/>
      <c r="E492" s="49"/>
      <c r="F492" s="49"/>
      <c r="G492" s="48"/>
      <c r="H492" s="50"/>
      <c r="I492" s="51"/>
      <c r="J492" s="14"/>
      <c r="K492" s="52"/>
      <c r="L492" s="53">
        <f t="shared" si="53"/>
        <v>0</v>
      </c>
      <c r="M492" s="53" t="str">
        <f>+IF(C492&lt;&gt;"",IF(L492&gt;=$H$6,"SI","NO"),"")</f>
        <v/>
      </c>
      <c r="N492" s="51"/>
      <c r="O492" s="54"/>
      <c r="Q492" s="55" t="str">
        <f>+IF(C492="","",IF(AND(H492&lt;&gt;"",I492="SI",J492&lt;&gt;"",J492&gt;0,K492&lt;&gt;"",K492&gt;0),"SI","NO"))</f>
        <v/>
      </c>
      <c r="S492" s="55" t="str">
        <f>+IF(C492&lt;&gt;"",IF(AND(M492="SI",N492="SI",Q492="SI"),"HÁBIL","NO HÁBIL"),"")</f>
        <v/>
      </c>
    </row>
    <row r="493" spans="1:20" ht="35.25" customHeight="1" thickBot="1" x14ac:dyDescent="0.25">
      <c r="A493" s="56">
        <f>+$B486</f>
        <v>54</v>
      </c>
      <c r="B493" s="57" t="str">
        <f>"A"&amp;B486</f>
        <v>A54</v>
      </c>
      <c r="C493" s="320" t="str">
        <f>+$C$16</f>
        <v>PROPONENTE HÁBIL / NO HÁBIL</v>
      </c>
      <c r="D493" s="321"/>
      <c r="E493" s="321"/>
      <c r="F493" s="321"/>
      <c r="G493" s="321"/>
      <c r="H493" s="322"/>
      <c r="I493" s="58" t="str">
        <f>IF(S489="","",IF(OR(S489="HÁBIL",S490="HÁBIL",S491="HÁBIL",S492="HÁBIL"),"HÁBIL","NO HÁBIL"))</f>
        <v/>
      </c>
      <c r="J493" s="59"/>
      <c r="K493" s="27"/>
      <c r="L493" s="27"/>
      <c r="M493" s="27"/>
      <c r="N493" s="60"/>
      <c r="O493" s="1"/>
      <c r="P493" s="61"/>
      <c r="Q493" s="61"/>
      <c r="R493" s="61"/>
      <c r="S493" s="61"/>
      <c r="T493" s="61"/>
    </row>
    <row r="494" spans="1:20" ht="12" thickBot="1" x14ac:dyDescent="0.25"/>
    <row r="495" spans="1:20" ht="35.25" customHeight="1" thickBot="1" x14ac:dyDescent="0.25">
      <c r="B495" s="23">
        <f>1+B486</f>
        <v>55</v>
      </c>
      <c r="C495" s="336" t="s">
        <v>932</v>
      </c>
      <c r="D495" s="337"/>
      <c r="E495" s="337"/>
      <c r="F495" s="337"/>
      <c r="G495" s="337"/>
      <c r="H495" s="337"/>
      <c r="I495" s="338"/>
      <c r="J495" s="24" t="str">
        <f>+IF(C495="","",$J$9)</f>
        <v/>
      </c>
      <c r="K495" s="339" t="s">
        <v>932</v>
      </c>
      <c r="L495" s="339"/>
      <c r="M495" s="339"/>
      <c r="N495" s="25">
        <f>+B495</f>
        <v>55</v>
      </c>
      <c r="O495" s="323" t="str">
        <f ca="1">+$O$9</f>
        <v>OBSERVACIONES</v>
      </c>
      <c r="Q495" s="325" t="str">
        <f ca="1">+$Q$9</f>
        <v>¿EL CONTRATO CUMPLE CON LOS REQUERIMIENTOS ADICIONALES DE EXPERIENCIA  EN EL PLIEGO?
 (INSCRIPCIÓN EN RUP - CÓDIGO UNSPSC - VALOR EN RUP - % DE PARTICIPACIÓN)
(SI / NO)</v>
      </c>
      <c r="S495" s="328" t="str">
        <f ca="1">+$S$9</f>
        <v>PROPONENTE HÁBIL/NO HÁBIL</v>
      </c>
    </row>
    <row r="496" spans="1:20" ht="35.25" customHeight="1" x14ac:dyDescent="0.2">
      <c r="B496" s="331" t="str">
        <f ca="1">+$B$10</f>
        <v>ITEM</v>
      </c>
      <c r="C496" s="318" t="str">
        <f ca="1">+$C$10</f>
        <v>PROPONENTE 
/ 
INTEGRANTE OFERENTE PLURAL</v>
      </c>
      <c r="D496" s="333" t="str">
        <f ca="1">+$D$10</f>
        <v>INFORMACIÓN DEL CONTRATO</v>
      </c>
      <c r="E496" s="334"/>
      <c r="F496" s="334"/>
      <c r="G496" s="335"/>
      <c r="H496" s="318" t="str">
        <f>+H487</f>
        <v>CONSECUTIVO RUP</v>
      </c>
      <c r="I496" s="318" t="str">
        <f ca="1">+$I$10</f>
        <v>¿SE ENCUENTRA INSCRITO EN EL RUP Y CUMPLE CÓDIGOS UNSPSC?</v>
      </c>
      <c r="J496" s="318" t="str">
        <f ca="1">+$J$10</f>
        <v xml:space="preserve">VALOR EN RUP (SMMLV) </v>
      </c>
      <c r="K496" s="318" t="str">
        <f ca="1">+$K$10</f>
        <v>% PARTIC en el RUP</v>
      </c>
      <c r="L496" s="318" t="str">
        <f ca="1">+$L$10</f>
        <v>VALOR DEL CONTRATO TERMINADO (SMMLV) en el   RUP</v>
      </c>
      <c r="M496" s="318" t="str">
        <f ca="1">+$M$10</f>
        <v>VALOR CERTIFICADO CONTRATO &gt; VEH</v>
      </c>
      <c r="N496" s="318" t="str">
        <f ca="1">+$N$10</f>
        <v>VALIDACIÓN DE OBJETO Y/O ALCANCE
(SI/NO)
(INTERVENTORIA DE OBRA CIVIL)</v>
      </c>
      <c r="O496" s="324"/>
      <c r="Q496" s="326"/>
      <c r="S496" s="329">
        <f ca="1">+$S$10</f>
        <v>0</v>
      </c>
    </row>
    <row r="497" spans="1:20" ht="35.25" customHeight="1" thickBot="1" x14ac:dyDescent="0.25">
      <c r="B497" s="332"/>
      <c r="C497" s="319"/>
      <c r="D497" s="26" t="str">
        <f ca="1">+$D$11</f>
        <v>ENTIDAD</v>
      </c>
      <c r="E497" s="26" t="str">
        <f ca="1">+$E$11</f>
        <v>No. DE CONTRATO</v>
      </c>
      <c r="F497" s="26" t="str">
        <f ca="1">+$F$11</f>
        <v>OBJETO</v>
      </c>
      <c r="G497" s="26" t="str">
        <f ca="1">+$G$11</f>
        <v>CONTRATISTA</v>
      </c>
      <c r="H497" s="319"/>
      <c r="I497" s="319"/>
      <c r="J497" s="319"/>
      <c r="K497" s="319"/>
      <c r="L497" s="319"/>
      <c r="M497" s="319"/>
      <c r="N497" s="319"/>
      <c r="O497" s="324"/>
      <c r="Q497" s="327"/>
      <c r="S497" s="330"/>
    </row>
    <row r="498" spans="1:20" s="27" customFormat="1" ht="35.25" customHeight="1" x14ac:dyDescent="0.2">
      <c r="B498" s="28">
        <v>1</v>
      </c>
      <c r="C498" s="86"/>
      <c r="D498" s="86"/>
      <c r="E498" s="87"/>
      <c r="F498" s="87"/>
      <c r="G498" s="86"/>
      <c r="H498" s="30"/>
      <c r="I498" s="31"/>
      <c r="J498" s="32"/>
      <c r="K498" s="33"/>
      <c r="L498" s="34">
        <f>IF(OR(H498="",I498&lt;&gt;"SI",I498="NO",J498="",J498=0,K498="",K498=0,Q498&lt;&gt;"SI",N498&lt;&gt;"SI"),0,J498*K498)</f>
        <v>0</v>
      </c>
      <c r="M498" s="34" t="str">
        <f>+IF(C498&lt;&gt;"",IF(L498&gt;=$H$6,"SI","NO"),"")</f>
        <v/>
      </c>
      <c r="N498" s="35"/>
      <c r="O498" s="36"/>
      <c r="Q498" s="37" t="str">
        <f>+IF(C498="","",IF(AND(H498&lt;&gt;"",I498="SI",J498&lt;&gt;"",J498&gt;0,K498&lt;&gt;"",K498&gt;0),"SI","NO"))</f>
        <v/>
      </c>
      <c r="S498" s="37" t="str">
        <f>+IF(C498&lt;&gt;"",IF(AND(M498="SI",N498="SI",Q498="SI"),"HÁBIL","NO HÁBIL"),"")</f>
        <v/>
      </c>
    </row>
    <row r="499" spans="1:20" s="27" customFormat="1" ht="35.25" customHeight="1" x14ac:dyDescent="0.2">
      <c r="B499" s="38">
        <v>2</v>
      </c>
      <c r="C499" s="39"/>
      <c r="D499" s="39"/>
      <c r="E499" s="46"/>
      <c r="F499" s="46"/>
      <c r="G499" s="39"/>
      <c r="H499" s="40"/>
      <c r="I499" s="41"/>
      <c r="J499" s="42"/>
      <c r="K499" s="43"/>
      <c r="L499" s="44">
        <f t="shared" ref="L499:L501" si="54">IF(OR(H499="",I499&lt;&gt;"SI",I499="NO",J499="",J499=0,K499="",K499=0,Q499&lt;&gt;"SI",N499&lt;&gt;"SI"),0,J499*K499)</f>
        <v>0</v>
      </c>
      <c r="M499" s="44" t="str">
        <f>+IF(C499&lt;&gt;"",IF(L499&gt;=$H$6,"SI","NO"),"")</f>
        <v/>
      </c>
      <c r="N499" s="41"/>
      <c r="O499" s="45"/>
      <c r="Q499" s="37" t="str">
        <f>+IF(C499="","",IF(AND(H499&lt;&gt;"",I499="SI",J499&lt;&gt;"",J499&gt;0,K499&lt;&gt;"",K499&gt;0),"SI","NO"))</f>
        <v/>
      </c>
      <c r="S499" s="37" t="str">
        <f>+IF(C499&lt;&gt;"",IF(AND(M499="SI",N499="SI",Q499="SI"),"HÁBIL","NO HÁBIL"),"")</f>
        <v/>
      </c>
    </row>
    <row r="500" spans="1:20" s="27" customFormat="1" ht="35.25" customHeight="1" x14ac:dyDescent="0.2">
      <c r="B500" s="38">
        <v>3</v>
      </c>
      <c r="C500" s="39"/>
      <c r="D500" s="39"/>
      <c r="E500" s="46"/>
      <c r="F500" s="46"/>
      <c r="G500" s="39"/>
      <c r="H500" s="40"/>
      <c r="I500" s="41"/>
      <c r="J500" s="42"/>
      <c r="K500" s="43"/>
      <c r="L500" s="44">
        <f t="shared" si="54"/>
        <v>0</v>
      </c>
      <c r="M500" s="44" t="str">
        <f>+IF(C500&lt;&gt;"",IF(L500&gt;=$H$6,"SI","NO"),"")</f>
        <v/>
      </c>
      <c r="N500" s="41"/>
      <c r="O500" s="45"/>
      <c r="Q500" s="37" t="str">
        <f>+IF(C500="","",IF(AND(H500&lt;&gt;"",I500="SI",J500&lt;&gt;"",J500&gt;0,K500&lt;&gt;"",K500&gt;0),"SI","NO"))</f>
        <v/>
      </c>
      <c r="S500" s="37" t="str">
        <f>+IF(C500&lt;&gt;"",IF(AND(M500="SI",N500="SI",Q500="SI"),"HÁBIL","NO HÁBIL"),"")</f>
        <v/>
      </c>
    </row>
    <row r="501" spans="1:20" s="27" customFormat="1" ht="35.25" customHeight="1" thickBot="1" x14ac:dyDescent="0.25">
      <c r="B501" s="47">
        <v>4</v>
      </c>
      <c r="C501" s="48"/>
      <c r="D501" s="48"/>
      <c r="E501" s="49"/>
      <c r="F501" s="49"/>
      <c r="G501" s="48"/>
      <c r="H501" s="50"/>
      <c r="I501" s="51"/>
      <c r="J501" s="14"/>
      <c r="K501" s="52"/>
      <c r="L501" s="53">
        <f t="shared" si="54"/>
        <v>0</v>
      </c>
      <c r="M501" s="53" t="str">
        <f>+IF(C501&lt;&gt;"",IF(L501&gt;=$H$6,"SI","NO"),"")</f>
        <v/>
      </c>
      <c r="N501" s="51"/>
      <c r="O501" s="54"/>
      <c r="Q501" s="55" t="str">
        <f>+IF(C501="","",IF(AND(H501&lt;&gt;"",I501="SI",J501&lt;&gt;"",J501&gt;0,K501&lt;&gt;"",K501&gt;0),"SI","NO"))</f>
        <v/>
      </c>
      <c r="S501" s="55" t="str">
        <f>+IF(C501&lt;&gt;"",IF(AND(M501="SI",N501="SI",Q501="SI"),"HÁBIL","NO HÁBIL"),"")</f>
        <v/>
      </c>
    </row>
    <row r="502" spans="1:20" ht="35.25" customHeight="1" thickBot="1" x14ac:dyDescent="0.25">
      <c r="A502" s="56">
        <f>+$B495</f>
        <v>55</v>
      </c>
      <c r="B502" s="57" t="str">
        <f>"A"&amp;B495</f>
        <v>A55</v>
      </c>
      <c r="C502" s="320" t="str">
        <f>+$C$16</f>
        <v>PROPONENTE HÁBIL / NO HÁBIL</v>
      </c>
      <c r="D502" s="321"/>
      <c r="E502" s="321"/>
      <c r="F502" s="321"/>
      <c r="G502" s="321"/>
      <c r="H502" s="322"/>
      <c r="I502" s="58" t="str">
        <f>IF(S498="","",IF(OR(S498="HÁBIL",S499="HÁBIL",S500="HÁBIL",S501="HÁBIL"),"HÁBIL","NO HÁBIL"))</f>
        <v/>
      </c>
      <c r="J502" s="59"/>
      <c r="K502" s="27"/>
      <c r="L502" s="27"/>
      <c r="M502" s="27"/>
      <c r="N502" s="60"/>
      <c r="O502" s="1"/>
      <c r="P502" s="61"/>
      <c r="Q502" s="61"/>
      <c r="R502" s="61"/>
      <c r="S502" s="61"/>
      <c r="T502" s="61"/>
    </row>
  </sheetData>
  <sheetProtection selectLockedCells="1" selectUnlockedCells="1"/>
  <protectedRanges>
    <protectedRange sqref="G4 G6" name="Rango1_5"/>
  </protectedRanges>
  <dataConsolidate/>
  <mergeCells count="902">
    <mergeCell ref="B1:C2"/>
    <mergeCell ref="D1:S1"/>
    <mergeCell ref="D2:S2"/>
    <mergeCell ref="B3:F3"/>
    <mergeCell ref="I3:O3"/>
    <mergeCell ref="B4:F4"/>
    <mergeCell ref="I4:O7"/>
    <mergeCell ref="B5:F5"/>
    <mergeCell ref="C6:F6"/>
    <mergeCell ref="B7:C7"/>
    <mergeCell ref="J10:J11"/>
    <mergeCell ref="D7:F7"/>
    <mergeCell ref="C9:I9"/>
    <mergeCell ref="K9:M9"/>
    <mergeCell ref="O9:O11"/>
    <mergeCell ref="Q9:Q11"/>
    <mergeCell ref="S9:S11"/>
    <mergeCell ref="K10:K11"/>
    <mergeCell ref="L10:L11"/>
    <mergeCell ref="M10:M11"/>
    <mergeCell ref="N10:N11"/>
    <mergeCell ref="D12:D13"/>
    <mergeCell ref="E12:E13"/>
    <mergeCell ref="F12:F13"/>
    <mergeCell ref="G12:G13"/>
    <mergeCell ref="C16:H16"/>
    <mergeCell ref="C18:I18"/>
    <mergeCell ref="B10:B11"/>
    <mergeCell ref="C10:C11"/>
    <mergeCell ref="D10:G10"/>
    <mergeCell ref="H10:H11"/>
    <mergeCell ref="I10:I11"/>
    <mergeCell ref="M19:M20"/>
    <mergeCell ref="N19:N20"/>
    <mergeCell ref="C25:H25"/>
    <mergeCell ref="C27:I27"/>
    <mergeCell ref="K27:M27"/>
    <mergeCell ref="K18:M18"/>
    <mergeCell ref="O18:O20"/>
    <mergeCell ref="Q18:Q20"/>
    <mergeCell ref="S18:S20"/>
    <mergeCell ref="C19:C20"/>
    <mergeCell ref="D19:G19"/>
    <mergeCell ref="H19:H20"/>
    <mergeCell ref="I19:I20"/>
    <mergeCell ref="J19:J20"/>
    <mergeCell ref="B28:B29"/>
    <mergeCell ref="C28:C29"/>
    <mergeCell ref="D28:G28"/>
    <mergeCell ref="H28:H29"/>
    <mergeCell ref="I28:I29"/>
    <mergeCell ref="J28:J29"/>
    <mergeCell ref="K28:K29"/>
    <mergeCell ref="K19:K20"/>
    <mergeCell ref="L19:L20"/>
    <mergeCell ref="B19:B20"/>
    <mergeCell ref="L28:L29"/>
    <mergeCell ref="M28:M29"/>
    <mergeCell ref="N28:N29"/>
    <mergeCell ref="C34:H34"/>
    <mergeCell ref="C36:I36"/>
    <mergeCell ref="K36:M36"/>
    <mergeCell ref="O27:O29"/>
    <mergeCell ref="Q27:Q29"/>
    <mergeCell ref="S27:S29"/>
    <mergeCell ref="N37:N38"/>
    <mergeCell ref="C43:H43"/>
    <mergeCell ref="C45:I45"/>
    <mergeCell ref="K45:M45"/>
    <mergeCell ref="O36:O38"/>
    <mergeCell ref="Q36:Q38"/>
    <mergeCell ref="S36:S38"/>
    <mergeCell ref="B37:B38"/>
    <mergeCell ref="C37:C38"/>
    <mergeCell ref="D37:G37"/>
    <mergeCell ref="H37:H38"/>
    <mergeCell ref="I37:I38"/>
    <mergeCell ref="J37:J38"/>
    <mergeCell ref="K37:K38"/>
    <mergeCell ref="B46:B47"/>
    <mergeCell ref="C46:C47"/>
    <mergeCell ref="D46:G46"/>
    <mergeCell ref="H46:H47"/>
    <mergeCell ref="I46:I47"/>
    <mergeCell ref="J46:J47"/>
    <mergeCell ref="K46:K47"/>
    <mergeCell ref="L37:L38"/>
    <mergeCell ref="M37:M38"/>
    <mergeCell ref="L46:L47"/>
    <mergeCell ref="M46:M47"/>
    <mergeCell ref="N46:N47"/>
    <mergeCell ref="C52:H52"/>
    <mergeCell ref="C54:I54"/>
    <mergeCell ref="K54:M54"/>
    <mergeCell ref="O45:O47"/>
    <mergeCell ref="Q45:Q47"/>
    <mergeCell ref="S45:S47"/>
    <mergeCell ref="N55:N56"/>
    <mergeCell ref="C61:H61"/>
    <mergeCell ref="C63:I63"/>
    <mergeCell ref="K63:M63"/>
    <mergeCell ref="O54:O56"/>
    <mergeCell ref="Q54:Q56"/>
    <mergeCell ref="S54:S56"/>
    <mergeCell ref="B55:B56"/>
    <mergeCell ref="C55:C56"/>
    <mergeCell ref="D55:G55"/>
    <mergeCell ref="H55:H56"/>
    <mergeCell ref="I55:I56"/>
    <mergeCell ref="J55:J56"/>
    <mergeCell ref="K55:K56"/>
    <mergeCell ref="B64:B65"/>
    <mergeCell ref="C64:C65"/>
    <mergeCell ref="D64:G64"/>
    <mergeCell ref="H64:H65"/>
    <mergeCell ref="I64:I65"/>
    <mergeCell ref="J64:J65"/>
    <mergeCell ref="K64:K65"/>
    <mergeCell ref="L55:L56"/>
    <mergeCell ref="M55:M56"/>
    <mergeCell ref="L64:L65"/>
    <mergeCell ref="M64:M65"/>
    <mergeCell ref="N64:N65"/>
    <mergeCell ref="C70:H70"/>
    <mergeCell ref="C72:I72"/>
    <mergeCell ref="K72:M72"/>
    <mergeCell ref="O63:O65"/>
    <mergeCell ref="Q63:Q65"/>
    <mergeCell ref="S63:S65"/>
    <mergeCell ref="S81:S83"/>
    <mergeCell ref="B82:B83"/>
    <mergeCell ref="C82:C83"/>
    <mergeCell ref="D82:G82"/>
    <mergeCell ref="H82:H83"/>
    <mergeCell ref="I82:I83"/>
    <mergeCell ref="J82:J83"/>
    <mergeCell ref="K82:K83"/>
    <mergeCell ref="L73:L74"/>
    <mergeCell ref="M73:M74"/>
    <mergeCell ref="N73:N74"/>
    <mergeCell ref="C79:H79"/>
    <mergeCell ref="C81:I81"/>
    <mergeCell ref="K81:M81"/>
    <mergeCell ref="O72:O74"/>
    <mergeCell ref="Q72:Q74"/>
    <mergeCell ref="S72:S74"/>
    <mergeCell ref="B73:B74"/>
    <mergeCell ref="C73:C74"/>
    <mergeCell ref="D73:G73"/>
    <mergeCell ref="H73:H74"/>
    <mergeCell ref="I73:I74"/>
    <mergeCell ref="J73:J74"/>
    <mergeCell ref="K73:K74"/>
    <mergeCell ref="L82:L83"/>
    <mergeCell ref="M82:M83"/>
    <mergeCell ref="N82:N83"/>
    <mergeCell ref="D84:D85"/>
    <mergeCell ref="E84:E85"/>
    <mergeCell ref="F84:F85"/>
    <mergeCell ref="G84:G85"/>
    <mergeCell ref="O81:O83"/>
    <mergeCell ref="Q81:Q83"/>
    <mergeCell ref="C88:H88"/>
    <mergeCell ref="C90:I90"/>
    <mergeCell ref="K90:M90"/>
    <mergeCell ref="O90:O92"/>
    <mergeCell ref="Q90:Q92"/>
    <mergeCell ref="S90:S92"/>
    <mergeCell ref="K91:K92"/>
    <mergeCell ref="L91:L92"/>
    <mergeCell ref="M91:M92"/>
    <mergeCell ref="N91:N92"/>
    <mergeCell ref="O99:O101"/>
    <mergeCell ref="Q99:Q101"/>
    <mergeCell ref="S99:S101"/>
    <mergeCell ref="K100:K101"/>
    <mergeCell ref="L100:L101"/>
    <mergeCell ref="M100:M101"/>
    <mergeCell ref="N100:N101"/>
    <mergeCell ref="B91:B92"/>
    <mergeCell ref="C91:C92"/>
    <mergeCell ref="D91:G91"/>
    <mergeCell ref="H91:H92"/>
    <mergeCell ref="I91:I92"/>
    <mergeCell ref="J91:J92"/>
    <mergeCell ref="B100:B101"/>
    <mergeCell ref="C100:C101"/>
    <mergeCell ref="D100:G100"/>
    <mergeCell ref="H100:H101"/>
    <mergeCell ref="I100:I101"/>
    <mergeCell ref="J100:J101"/>
    <mergeCell ref="C97:H97"/>
    <mergeCell ref="C99:I99"/>
    <mergeCell ref="K99:M99"/>
    <mergeCell ref="C106:H106"/>
    <mergeCell ref="C108:I108"/>
    <mergeCell ref="K108:M108"/>
    <mergeCell ref="O108:O110"/>
    <mergeCell ref="Q108:Q110"/>
    <mergeCell ref="S108:S110"/>
    <mergeCell ref="K109:K110"/>
    <mergeCell ref="L109:L110"/>
    <mergeCell ref="M109:M110"/>
    <mergeCell ref="N109:N110"/>
    <mergeCell ref="O117:O119"/>
    <mergeCell ref="Q117:Q119"/>
    <mergeCell ref="S117:S119"/>
    <mergeCell ref="K118:K119"/>
    <mergeCell ref="L118:L119"/>
    <mergeCell ref="M118:M119"/>
    <mergeCell ref="N118:N119"/>
    <mergeCell ref="B109:B110"/>
    <mergeCell ref="C109:C110"/>
    <mergeCell ref="D109:G109"/>
    <mergeCell ref="H109:H110"/>
    <mergeCell ref="I109:I110"/>
    <mergeCell ref="J109:J110"/>
    <mergeCell ref="B118:B119"/>
    <mergeCell ref="C118:C119"/>
    <mergeCell ref="D118:G118"/>
    <mergeCell ref="H118:H119"/>
    <mergeCell ref="I118:I119"/>
    <mergeCell ref="J118:J119"/>
    <mergeCell ref="C115:H115"/>
    <mergeCell ref="C117:I117"/>
    <mergeCell ref="K117:M117"/>
    <mergeCell ref="B127:B128"/>
    <mergeCell ref="C127:C128"/>
    <mergeCell ref="D127:G127"/>
    <mergeCell ref="H127:H128"/>
    <mergeCell ref="I127:I128"/>
    <mergeCell ref="J127:J128"/>
    <mergeCell ref="K127:K128"/>
    <mergeCell ref="D120:D121"/>
    <mergeCell ref="E120:E121"/>
    <mergeCell ref="F120:F121"/>
    <mergeCell ref="C124:H124"/>
    <mergeCell ref="C126:I126"/>
    <mergeCell ref="K126:M126"/>
    <mergeCell ref="L127:L128"/>
    <mergeCell ref="M127:M128"/>
    <mergeCell ref="N127:N128"/>
    <mergeCell ref="C133:H133"/>
    <mergeCell ref="C135:I135"/>
    <mergeCell ref="K135:M135"/>
    <mergeCell ref="O126:O128"/>
    <mergeCell ref="Q126:Q128"/>
    <mergeCell ref="S126:S128"/>
    <mergeCell ref="N136:N137"/>
    <mergeCell ref="C142:H142"/>
    <mergeCell ref="C144:I144"/>
    <mergeCell ref="K144:M144"/>
    <mergeCell ref="O135:O137"/>
    <mergeCell ref="Q135:Q137"/>
    <mergeCell ref="S135:S137"/>
    <mergeCell ref="B136:B137"/>
    <mergeCell ref="C136:C137"/>
    <mergeCell ref="D136:G136"/>
    <mergeCell ref="H136:H137"/>
    <mergeCell ref="I136:I137"/>
    <mergeCell ref="J136:J137"/>
    <mergeCell ref="K136:K137"/>
    <mergeCell ref="B145:B146"/>
    <mergeCell ref="C145:C146"/>
    <mergeCell ref="D145:G145"/>
    <mergeCell ref="H145:H146"/>
    <mergeCell ref="I145:I146"/>
    <mergeCell ref="J145:J146"/>
    <mergeCell ref="K145:K146"/>
    <mergeCell ref="L136:L137"/>
    <mergeCell ref="M136:M137"/>
    <mergeCell ref="L145:L146"/>
    <mergeCell ref="M145:M146"/>
    <mergeCell ref="N145:N146"/>
    <mergeCell ref="C151:H151"/>
    <mergeCell ref="C153:I153"/>
    <mergeCell ref="K153:M153"/>
    <mergeCell ref="O144:O146"/>
    <mergeCell ref="Q144:Q146"/>
    <mergeCell ref="S144:S146"/>
    <mergeCell ref="N154:N155"/>
    <mergeCell ref="C160:H160"/>
    <mergeCell ref="C162:I162"/>
    <mergeCell ref="K162:M162"/>
    <mergeCell ref="O153:O155"/>
    <mergeCell ref="Q153:Q155"/>
    <mergeCell ref="S153:S155"/>
    <mergeCell ref="B154:B155"/>
    <mergeCell ref="C154:C155"/>
    <mergeCell ref="D154:G154"/>
    <mergeCell ref="H154:H155"/>
    <mergeCell ref="I154:I155"/>
    <mergeCell ref="J154:J155"/>
    <mergeCell ref="K154:K155"/>
    <mergeCell ref="B163:B164"/>
    <mergeCell ref="C163:C164"/>
    <mergeCell ref="D163:G163"/>
    <mergeCell ref="H163:H164"/>
    <mergeCell ref="I163:I164"/>
    <mergeCell ref="J163:J164"/>
    <mergeCell ref="K163:K164"/>
    <mergeCell ref="L154:L155"/>
    <mergeCell ref="M154:M155"/>
    <mergeCell ref="L163:L164"/>
    <mergeCell ref="M163:M164"/>
    <mergeCell ref="N163:N164"/>
    <mergeCell ref="C169:H169"/>
    <mergeCell ref="C171:I171"/>
    <mergeCell ref="K171:M171"/>
    <mergeCell ref="O162:O164"/>
    <mergeCell ref="Q162:Q164"/>
    <mergeCell ref="S162:S164"/>
    <mergeCell ref="N172:N173"/>
    <mergeCell ref="C178:H178"/>
    <mergeCell ref="C180:I180"/>
    <mergeCell ref="K180:M180"/>
    <mergeCell ref="O171:O173"/>
    <mergeCell ref="Q171:Q173"/>
    <mergeCell ref="S171:S173"/>
    <mergeCell ref="B172:B173"/>
    <mergeCell ref="C172:C173"/>
    <mergeCell ref="D172:G172"/>
    <mergeCell ref="H172:H173"/>
    <mergeCell ref="I172:I173"/>
    <mergeCell ref="J172:J173"/>
    <mergeCell ref="K172:K173"/>
    <mergeCell ref="B181:B182"/>
    <mergeCell ref="C181:C182"/>
    <mergeCell ref="D181:G181"/>
    <mergeCell ref="H181:H182"/>
    <mergeCell ref="I181:I182"/>
    <mergeCell ref="J181:J182"/>
    <mergeCell ref="K181:K182"/>
    <mergeCell ref="L172:L173"/>
    <mergeCell ref="M172:M173"/>
    <mergeCell ref="L181:L182"/>
    <mergeCell ref="M181:M182"/>
    <mergeCell ref="N181:N182"/>
    <mergeCell ref="C187:H187"/>
    <mergeCell ref="C189:I189"/>
    <mergeCell ref="K189:M189"/>
    <mergeCell ref="O180:O182"/>
    <mergeCell ref="Q180:Q182"/>
    <mergeCell ref="S180:S182"/>
    <mergeCell ref="N190:N191"/>
    <mergeCell ref="C196:H196"/>
    <mergeCell ref="C198:I198"/>
    <mergeCell ref="K198:M198"/>
    <mergeCell ref="O189:O191"/>
    <mergeCell ref="Q189:Q191"/>
    <mergeCell ref="S189:S191"/>
    <mergeCell ref="B190:B191"/>
    <mergeCell ref="C190:C191"/>
    <mergeCell ref="D190:G190"/>
    <mergeCell ref="H190:H191"/>
    <mergeCell ref="I190:I191"/>
    <mergeCell ref="J190:J191"/>
    <mergeCell ref="K190:K191"/>
    <mergeCell ref="B199:B200"/>
    <mergeCell ref="C199:C200"/>
    <mergeCell ref="D199:G199"/>
    <mergeCell ref="H199:H200"/>
    <mergeCell ref="I199:I200"/>
    <mergeCell ref="J199:J200"/>
    <mergeCell ref="K199:K200"/>
    <mergeCell ref="L190:L191"/>
    <mergeCell ref="M190:M191"/>
    <mergeCell ref="L199:L200"/>
    <mergeCell ref="M199:M200"/>
    <mergeCell ref="N199:N200"/>
    <mergeCell ref="C205:H205"/>
    <mergeCell ref="C207:I207"/>
    <mergeCell ref="K207:M207"/>
    <mergeCell ref="O198:O200"/>
    <mergeCell ref="Q198:Q200"/>
    <mergeCell ref="S198:S200"/>
    <mergeCell ref="N208:N209"/>
    <mergeCell ref="C214:H214"/>
    <mergeCell ref="C216:I216"/>
    <mergeCell ref="K216:M216"/>
    <mergeCell ref="O207:O209"/>
    <mergeCell ref="Q207:Q209"/>
    <mergeCell ref="S207:S209"/>
    <mergeCell ref="B208:B209"/>
    <mergeCell ref="C208:C209"/>
    <mergeCell ref="D208:G208"/>
    <mergeCell ref="H208:H209"/>
    <mergeCell ref="I208:I209"/>
    <mergeCell ref="J208:J209"/>
    <mergeCell ref="K208:K209"/>
    <mergeCell ref="B217:B218"/>
    <mergeCell ref="C217:C218"/>
    <mergeCell ref="D217:G217"/>
    <mergeCell ref="H217:H218"/>
    <mergeCell ref="I217:I218"/>
    <mergeCell ref="J217:J218"/>
    <mergeCell ref="K217:K218"/>
    <mergeCell ref="L208:L209"/>
    <mergeCell ref="M208:M209"/>
    <mergeCell ref="L217:L218"/>
    <mergeCell ref="M217:M218"/>
    <mergeCell ref="N217:N218"/>
    <mergeCell ref="C223:H223"/>
    <mergeCell ref="C225:I225"/>
    <mergeCell ref="K225:M225"/>
    <mergeCell ref="O216:O218"/>
    <mergeCell ref="Q216:Q218"/>
    <mergeCell ref="S216:S218"/>
    <mergeCell ref="N226:N227"/>
    <mergeCell ref="C232:H232"/>
    <mergeCell ref="C234:I234"/>
    <mergeCell ref="K234:M234"/>
    <mergeCell ref="O225:O227"/>
    <mergeCell ref="Q225:Q227"/>
    <mergeCell ref="S225:S227"/>
    <mergeCell ref="B226:B227"/>
    <mergeCell ref="C226:C227"/>
    <mergeCell ref="D226:G226"/>
    <mergeCell ref="H226:H227"/>
    <mergeCell ref="I226:I227"/>
    <mergeCell ref="J226:J227"/>
    <mergeCell ref="K226:K227"/>
    <mergeCell ref="B235:B236"/>
    <mergeCell ref="C235:C236"/>
    <mergeCell ref="D235:G235"/>
    <mergeCell ref="H235:H236"/>
    <mergeCell ref="I235:I236"/>
    <mergeCell ref="J235:J236"/>
    <mergeCell ref="K235:K236"/>
    <mergeCell ref="L226:L227"/>
    <mergeCell ref="M226:M227"/>
    <mergeCell ref="L235:L236"/>
    <mergeCell ref="M235:M236"/>
    <mergeCell ref="N235:N236"/>
    <mergeCell ref="C241:H241"/>
    <mergeCell ref="C243:I243"/>
    <mergeCell ref="K243:M243"/>
    <mergeCell ref="O234:O236"/>
    <mergeCell ref="Q234:Q236"/>
    <mergeCell ref="S234:S236"/>
    <mergeCell ref="N244:N245"/>
    <mergeCell ref="C250:H250"/>
    <mergeCell ref="C252:I252"/>
    <mergeCell ref="K252:M252"/>
    <mergeCell ref="O243:O245"/>
    <mergeCell ref="Q243:Q245"/>
    <mergeCell ref="S243:S245"/>
    <mergeCell ref="B244:B245"/>
    <mergeCell ref="C244:C245"/>
    <mergeCell ref="D244:G244"/>
    <mergeCell ref="H244:H245"/>
    <mergeCell ref="I244:I245"/>
    <mergeCell ref="J244:J245"/>
    <mergeCell ref="K244:K245"/>
    <mergeCell ref="B253:B254"/>
    <mergeCell ref="C253:C254"/>
    <mergeCell ref="D253:G253"/>
    <mergeCell ref="H253:H254"/>
    <mergeCell ref="I253:I254"/>
    <mergeCell ref="J253:J254"/>
    <mergeCell ref="K253:K254"/>
    <mergeCell ref="L244:L245"/>
    <mergeCell ref="M244:M245"/>
    <mergeCell ref="L253:L254"/>
    <mergeCell ref="M253:M254"/>
    <mergeCell ref="N253:N254"/>
    <mergeCell ref="C259:H259"/>
    <mergeCell ref="C261:I261"/>
    <mergeCell ref="K261:M261"/>
    <mergeCell ref="O252:O254"/>
    <mergeCell ref="Q252:Q254"/>
    <mergeCell ref="S252:S254"/>
    <mergeCell ref="N262:N263"/>
    <mergeCell ref="C268:H268"/>
    <mergeCell ref="C270:I270"/>
    <mergeCell ref="K270:M270"/>
    <mergeCell ref="O261:O263"/>
    <mergeCell ref="Q261:Q263"/>
    <mergeCell ref="S261:S263"/>
    <mergeCell ref="B262:B263"/>
    <mergeCell ref="C262:C263"/>
    <mergeCell ref="D262:G262"/>
    <mergeCell ref="H262:H263"/>
    <mergeCell ref="I262:I263"/>
    <mergeCell ref="J262:J263"/>
    <mergeCell ref="K262:K263"/>
    <mergeCell ref="B271:B272"/>
    <mergeCell ref="C271:C272"/>
    <mergeCell ref="D271:G271"/>
    <mergeCell ref="H271:H272"/>
    <mergeCell ref="I271:I272"/>
    <mergeCell ref="J271:J272"/>
    <mergeCell ref="K271:K272"/>
    <mergeCell ref="L262:L263"/>
    <mergeCell ref="M262:M263"/>
    <mergeCell ref="L271:L272"/>
    <mergeCell ref="M271:M272"/>
    <mergeCell ref="N271:N272"/>
    <mergeCell ref="C277:H277"/>
    <mergeCell ref="C279:I279"/>
    <mergeCell ref="K279:M279"/>
    <mergeCell ref="O270:O272"/>
    <mergeCell ref="Q270:Q272"/>
    <mergeCell ref="S270:S272"/>
    <mergeCell ref="N280:N281"/>
    <mergeCell ref="C286:H286"/>
    <mergeCell ref="C288:I288"/>
    <mergeCell ref="K288:M288"/>
    <mergeCell ref="O279:O281"/>
    <mergeCell ref="Q279:Q281"/>
    <mergeCell ref="S279:S281"/>
    <mergeCell ref="B280:B281"/>
    <mergeCell ref="C280:C281"/>
    <mergeCell ref="D280:G280"/>
    <mergeCell ref="H280:H281"/>
    <mergeCell ref="I280:I281"/>
    <mergeCell ref="J280:J281"/>
    <mergeCell ref="K280:K281"/>
    <mergeCell ref="B289:B290"/>
    <mergeCell ref="C289:C290"/>
    <mergeCell ref="D289:G289"/>
    <mergeCell ref="H289:H290"/>
    <mergeCell ref="I289:I290"/>
    <mergeCell ref="J289:J290"/>
    <mergeCell ref="K289:K290"/>
    <mergeCell ref="L280:L281"/>
    <mergeCell ref="M280:M281"/>
    <mergeCell ref="L289:L290"/>
    <mergeCell ref="M289:M290"/>
    <mergeCell ref="N289:N290"/>
    <mergeCell ref="C295:H295"/>
    <mergeCell ref="C297:I297"/>
    <mergeCell ref="K297:M297"/>
    <mergeCell ref="O288:O290"/>
    <mergeCell ref="Q288:Q290"/>
    <mergeCell ref="S288:S290"/>
    <mergeCell ref="N298:N299"/>
    <mergeCell ref="C304:H304"/>
    <mergeCell ref="C306:I306"/>
    <mergeCell ref="K306:M306"/>
    <mergeCell ref="O297:O299"/>
    <mergeCell ref="Q297:Q299"/>
    <mergeCell ref="S297:S299"/>
    <mergeCell ref="B298:B299"/>
    <mergeCell ref="C298:C299"/>
    <mergeCell ref="D298:G298"/>
    <mergeCell ref="H298:H299"/>
    <mergeCell ref="I298:I299"/>
    <mergeCell ref="J298:J299"/>
    <mergeCell ref="K298:K299"/>
    <mergeCell ref="B307:B308"/>
    <mergeCell ref="C307:C308"/>
    <mergeCell ref="D307:G307"/>
    <mergeCell ref="H307:H308"/>
    <mergeCell ref="I307:I308"/>
    <mergeCell ref="J307:J308"/>
    <mergeCell ref="K307:K308"/>
    <mergeCell ref="L298:L299"/>
    <mergeCell ref="M298:M299"/>
    <mergeCell ref="L307:L308"/>
    <mergeCell ref="M307:M308"/>
    <mergeCell ref="N307:N308"/>
    <mergeCell ref="C313:H313"/>
    <mergeCell ref="C315:I315"/>
    <mergeCell ref="K315:M315"/>
    <mergeCell ref="O306:O308"/>
    <mergeCell ref="Q306:Q308"/>
    <mergeCell ref="S306:S308"/>
    <mergeCell ref="N316:N317"/>
    <mergeCell ref="C322:H322"/>
    <mergeCell ref="C324:I324"/>
    <mergeCell ref="K324:M324"/>
    <mergeCell ref="O315:O317"/>
    <mergeCell ref="Q315:Q317"/>
    <mergeCell ref="S315:S317"/>
    <mergeCell ref="B316:B317"/>
    <mergeCell ref="C316:C317"/>
    <mergeCell ref="D316:G316"/>
    <mergeCell ref="H316:H317"/>
    <mergeCell ref="I316:I317"/>
    <mergeCell ref="J316:J317"/>
    <mergeCell ref="K316:K317"/>
    <mergeCell ref="B325:B326"/>
    <mergeCell ref="C325:C326"/>
    <mergeCell ref="D325:G325"/>
    <mergeCell ref="H325:H326"/>
    <mergeCell ref="I325:I326"/>
    <mergeCell ref="J325:J326"/>
    <mergeCell ref="K325:K326"/>
    <mergeCell ref="L316:L317"/>
    <mergeCell ref="M316:M317"/>
    <mergeCell ref="L325:L326"/>
    <mergeCell ref="M325:M326"/>
    <mergeCell ref="N325:N326"/>
    <mergeCell ref="C331:H331"/>
    <mergeCell ref="C333:I333"/>
    <mergeCell ref="K333:M333"/>
    <mergeCell ref="O324:O326"/>
    <mergeCell ref="Q324:Q326"/>
    <mergeCell ref="S324:S326"/>
    <mergeCell ref="N334:N335"/>
    <mergeCell ref="C340:H340"/>
    <mergeCell ref="C342:I342"/>
    <mergeCell ref="K342:M342"/>
    <mergeCell ref="O333:O335"/>
    <mergeCell ref="Q333:Q335"/>
    <mergeCell ref="S333:S335"/>
    <mergeCell ref="B334:B335"/>
    <mergeCell ref="C334:C335"/>
    <mergeCell ref="D334:G334"/>
    <mergeCell ref="H334:H335"/>
    <mergeCell ref="I334:I335"/>
    <mergeCell ref="J334:J335"/>
    <mergeCell ref="K334:K335"/>
    <mergeCell ref="B343:B344"/>
    <mergeCell ref="C343:C344"/>
    <mergeCell ref="D343:G343"/>
    <mergeCell ref="H343:H344"/>
    <mergeCell ref="I343:I344"/>
    <mergeCell ref="J343:J344"/>
    <mergeCell ref="K343:K344"/>
    <mergeCell ref="L334:L335"/>
    <mergeCell ref="M334:M335"/>
    <mergeCell ref="L343:L344"/>
    <mergeCell ref="M343:M344"/>
    <mergeCell ref="N343:N344"/>
    <mergeCell ref="C349:H349"/>
    <mergeCell ref="C351:I351"/>
    <mergeCell ref="K351:M351"/>
    <mergeCell ref="O342:O344"/>
    <mergeCell ref="Q342:Q344"/>
    <mergeCell ref="S342:S344"/>
    <mergeCell ref="N352:N353"/>
    <mergeCell ref="C358:H358"/>
    <mergeCell ref="C360:I360"/>
    <mergeCell ref="K360:M360"/>
    <mergeCell ref="O351:O353"/>
    <mergeCell ref="Q351:Q353"/>
    <mergeCell ref="S351:S353"/>
    <mergeCell ref="B352:B353"/>
    <mergeCell ref="C352:C353"/>
    <mergeCell ref="D352:G352"/>
    <mergeCell ref="H352:H353"/>
    <mergeCell ref="I352:I353"/>
    <mergeCell ref="J352:J353"/>
    <mergeCell ref="K352:K353"/>
    <mergeCell ref="B361:B362"/>
    <mergeCell ref="C361:C362"/>
    <mergeCell ref="D361:G361"/>
    <mergeCell ref="H361:H362"/>
    <mergeCell ref="I361:I362"/>
    <mergeCell ref="J361:J362"/>
    <mergeCell ref="K361:K362"/>
    <mergeCell ref="L352:L353"/>
    <mergeCell ref="M352:M353"/>
    <mergeCell ref="L361:L362"/>
    <mergeCell ref="M361:M362"/>
    <mergeCell ref="N361:N362"/>
    <mergeCell ref="C367:H367"/>
    <mergeCell ref="C369:I369"/>
    <mergeCell ref="K369:M369"/>
    <mergeCell ref="O360:O362"/>
    <mergeCell ref="Q360:Q362"/>
    <mergeCell ref="S360:S362"/>
    <mergeCell ref="N370:N371"/>
    <mergeCell ref="C376:H376"/>
    <mergeCell ref="C378:I378"/>
    <mergeCell ref="K378:M378"/>
    <mergeCell ref="O369:O371"/>
    <mergeCell ref="Q369:Q371"/>
    <mergeCell ref="S369:S371"/>
    <mergeCell ref="B370:B371"/>
    <mergeCell ref="C370:C371"/>
    <mergeCell ref="D370:G370"/>
    <mergeCell ref="H370:H371"/>
    <mergeCell ref="I370:I371"/>
    <mergeCell ref="J370:J371"/>
    <mergeCell ref="K370:K371"/>
    <mergeCell ref="B379:B380"/>
    <mergeCell ref="C379:C380"/>
    <mergeCell ref="D379:G379"/>
    <mergeCell ref="H379:H380"/>
    <mergeCell ref="I379:I380"/>
    <mergeCell ref="J379:J380"/>
    <mergeCell ref="K379:K380"/>
    <mergeCell ref="L370:L371"/>
    <mergeCell ref="M370:M371"/>
    <mergeCell ref="L379:L380"/>
    <mergeCell ref="M379:M380"/>
    <mergeCell ref="N379:N380"/>
    <mergeCell ref="C385:H385"/>
    <mergeCell ref="C387:I387"/>
    <mergeCell ref="K387:M387"/>
    <mergeCell ref="O378:O380"/>
    <mergeCell ref="Q378:Q380"/>
    <mergeCell ref="S378:S380"/>
    <mergeCell ref="N388:N389"/>
    <mergeCell ref="C394:H394"/>
    <mergeCell ref="C396:I396"/>
    <mergeCell ref="K396:M396"/>
    <mergeCell ref="O387:O389"/>
    <mergeCell ref="Q387:Q389"/>
    <mergeCell ref="S387:S389"/>
    <mergeCell ref="B388:B389"/>
    <mergeCell ref="C388:C389"/>
    <mergeCell ref="D388:G388"/>
    <mergeCell ref="H388:H389"/>
    <mergeCell ref="I388:I389"/>
    <mergeCell ref="J388:J389"/>
    <mergeCell ref="K388:K389"/>
    <mergeCell ref="B397:B398"/>
    <mergeCell ref="C397:C398"/>
    <mergeCell ref="D397:G397"/>
    <mergeCell ref="H397:H398"/>
    <mergeCell ref="I397:I398"/>
    <mergeCell ref="J397:J398"/>
    <mergeCell ref="K397:K398"/>
    <mergeCell ref="L388:L389"/>
    <mergeCell ref="M388:M389"/>
    <mergeCell ref="L397:L398"/>
    <mergeCell ref="M397:M398"/>
    <mergeCell ref="N397:N398"/>
    <mergeCell ref="C403:H403"/>
    <mergeCell ref="C405:I405"/>
    <mergeCell ref="K405:M405"/>
    <mergeCell ref="O396:O398"/>
    <mergeCell ref="Q396:Q398"/>
    <mergeCell ref="S396:S398"/>
    <mergeCell ref="N406:N407"/>
    <mergeCell ref="C412:H412"/>
    <mergeCell ref="C414:I414"/>
    <mergeCell ref="K414:M414"/>
    <mergeCell ref="O405:O407"/>
    <mergeCell ref="Q405:Q407"/>
    <mergeCell ref="S405:S407"/>
    <mergeCell ref="B406:B407"/>
    <mergeCell ref="C406:C407"/>
    <mergeCell ref="D406:G406"/>
    <mergeCell ref="H406:H407"/>
    <mergeCell ref="I406:I407"/>
    <mergeCell ref="J406:J407"/>
    <mergeCell ref="K406:K407"/>
    <mergeCell ref="B415:B416"/>
    <mergeCell ref="C415:C416"/>
    <mergeCell ref="D415:G415"/>
    <mergeCell ref="H415:H416"/>
    <mergeCell ref="I415:I416"/>
    <mergeCell ref="J415:J416"/>
    <mergeCell ref="K415:K416"/>
    <mergeCell ref="L406:L407"/>
    <mergeCell ref="M406:M407"/>
    <mergeCell ref="L415:L416"/>
    <mergeCell ref="M415:M416"/>
    <mergeCell ref="N415:N416"/>
    <mergeCell ref="C421:H421"/>
    <mergeCell ref="C423:I423"/>
    <mergeCell ref="K423:M423"/>
    <mergeCell ref="O414:O416"/>
    <mergeCell ref="Q414:Q416"/>
    <mergeCell ref="S414:S416"/>
    <mergeCell ref="N424:N425"/>
    <mergeCell ref="C430:H430"/>
    <mergeCell ref="C432:I432"/>
    <mergeCell ref="K432:M432"/>
    <mergeCell ref="O423:O425"/>
    <mergeCell ref="Q423:Q425"/>
    <mergeCell ref="S423:S425"/>
    <mergeCell ref="B424:B425"/>
    <mergeCell ref="C424:C425"/>
    <mergeCell ref="D424:G424"/>
    <mergeCell ref="H424:H425"/>
    <mergeCell ref="I424:I425"/>
    <mergeCell ref="J424:J425"/>
    <mergeCell ref="K424:K425"/>
    <mergeCell ref="B433:B434"/>
    <mergeCell ref="C433:C434"/>
    <mergeCell ref="D433:G433"/>
    <mergeCell ref="H433:H434"/>
    <mergeCell ref="I433:I434"/>
    <mergeCell ref="J433:J434"/>
    <mergeCell ref="K433:K434"/>
    <mergeCell ref="L424:L425"/>
    <mergeCell ref="M424:M425"/>
    <mergeCell ref="L433:L434"/>
    <mergeCell ref="M433:M434"/>
    <mergeCell ref="N433:N434"/>
    <mergeCell ref="C439:H439"/>
    <mergeCell ref="C441:I441"/>
    <mergeCell ref="K441:M441"/>
    <mergeCell ref="O432:O434"/>
    <mergeCell ref="Q432:Q434"/>
    <mergeCell ref="S432:S434"/>
    <mergeCell ref="N442:N443"/>
    <mergeCell ref="C448:H448"/>
    <mergeCell ref="C450:I450"/>
    <mergeCell ref="K450:M450"/>
    <mergeCell ref="O441:O443"/>
    <mergeCell ref="Q441:Q443"/>
    <mergeCell ref="S441:S443"/>
    <mergeCell ref="B442:B443"/>
    <mergeCell ref="C442:C443"/>
    <mergeCell ref="D442:G442"/>
    <mergeCell ref="H442:H443"/>
    <mergeCell ref="I442:I443"/>
    <mergeCell ref="J442:J443"/>
    <mergeCell ref="K442:K443"/>
    <mergeCell ref="B451:B452"/>
    <mergeCell ref="C451:C452"/>
    <mergeCell ref="D451:G451"/>
    <mergeCell ref="H451:H452"/>
    <mergeCell ref="I451:I452"/>
    <mergeCell ref="J451:J452"/>
    <mergeCell ref="K451:K452"/>
    <mergeCell ref="L442:L443"/>
    <mergeCell ref="M442:M443"/>
    <mergeCell ref="L451:L452"/>
    <mergeCell ref="M451:M452"/>
    <mergeCell ref="N451:N452"/>
    <mergeCell ref="C457:H457"/>
    <mergeCell ref="C459:I459"/>
    <mergeCell ref="K459:M459"/>
    <mergeCell ref="O450:O452"/>
    <mergeCell ref="Q450:Q452"/>
    <mergeCell ref="S450:S452"/>
    <mergeCell ref="N460:N461"/>
    <mergeCell ref="C466:H466"/>
    <mergeCell ref="C468:I468"/>
    <mergeCell ref="K468:M468"/>
    <mergeCell ref="O459:O461"/>
    <mergeCell ref="Q459:Q461"/>
    <mergeCell ref="S459:S461"/>
    <mergeCell ref="B460:B461"/>
    <mergeCell ref="C460:C461"/>
    <mergeCell ref="D460:G460"/>
    <mergeCell ref="H460:H461"/>
    <mergeCell ref="I460:I461"/>
    <mergeCell ref="J460:J461"/>
    <mergeCell ref="K460:K461"/>
    <mergeCell ref="B469:B470"/>
    <mergeCell ref="C469:C470"/>
    <mergeCell ref="D469:G469"/>
    <mergeCell ref="H469:H470"/>
    <mergeCell ref="I469:I470"/>
    <mergeCell ref="J469:J470"/>
    <mergeCell ref="K469:K470"/>
    <mergeCell ref="L460:L461"/>
    <mergeCell ref="M460:M461"/>
    <mergeCell ref="L469:L470"/>
    <mergeCell ref="M469:M470"/>
    <mergeCell ref="N469:N470"/>
    <mergeCell ref="C475:H475"/>
    <mergeCell ref="C477:I477"/>
    <mergeCell ref="K477:M477"/>
    <mergeCell ref="O468:O470"/>
    <mergeCell ref="Q468:Q470"/>
    <mergeCell ref="S468:S470"/>
    <mergeCell ref="N478:N479"/>
    <mergeCell ref="C484:H484"/>
    <mergeCell ref="C486:I486"/>
    <mergeCell ref="K486:M486"/>
    <mergeCell ref="O477:O479"/>
    <mergeCell ref="Q477:Q479"/>
    <mergeCell ref="S477:S479"/>
    <mergeCell ref="B478:B479"/>
    <mergeCell ref="C478:C479"/>
    <mergeCell ref="D478:G478"/>
    <mergeCell ref="H478:H479"/>
    <mergeCell ref="I478:I479"/>
    <mergeCell ref="J478:J479"/>
    <mergeCell ref="K478:K479"/>
    <mergeCell ref="B487:B488"/>
    <mergeCell ref="C487:C488"/>
    <mergeCell ref="D487:G487"/>
    <mergeCell ref="H487:H488"/>
    <mergeCell ref="I487:I488"/>
    <mergeCell ref="J487:J488"/>
    <mergeCell ref="K487:K488"/>
    <mergeCell ref="L478:L479"/>
    <mergeCell ref="M478:M479"/>
    <mergeCell ref="L487:L488"/>
    <mergeCell ref="M487:M488"/>
    <mergeCell ref="N487:N488"/>
    <mergeCell ref="C493:H493"/>
    <mergeCell ref="C495:I495"/>
    <mergeCell ref="K495:M495"/>
    <mergeCell ref="O486:O488"/>
    <mergeCell ref="Q486:Q488"/>
    <mergeCell ref="S486:S488"/>
    <mergeCell ref="L496:L497"/>
    <mergeCell ref="M496:M497"/>
    <mergeCell ref="N496:N497"/>
    <mergeCell ref="C502:H502"/>
    <mergeCell ref="O495:O497"/>
    <mergeCell ref="Q495:Q497"/>
    <mergeCell ref="S495:S497"/>
    <mergeCell ref="B496:B497"/>
    <mergeCell ref="C496:C497"/>
    <mergeCell ref="D496:G496"/>
    <mergeCell ref="H496:H497"/>
    <mergeCell ref="I496:I497"/>
    <mergeCell ref="J496:J497"/>
    <mergeCell ref="K496:K497"/>
  </mergeCells>
  <conditionalFormatting sqref="I17">
    <cfRule type="cellIs" dxfId="6542" priority="1594" operator="equal">
      <formula>"NO"</formula>
    </cfRule>
    <cfRule type="cellIs" dxfId="6541" priority="1596" operator="equal">
      <formula>"NA"</formula>
    </cfRule>
    <cfRule type="cellIs" dxfId="6540" priority="1597" operator="equal">
      <formula>"SI"</formula>
    </cfRule>
  </conditionalFormatting>
  <conditionalFormatting sqref="N8 N17 N152 N161 N170 N179 N188 N197 N206 N215 N224 N233 N242 N251 N260 N269 N278 N287 N296 N305 N314 N323 N332 N341 N350 N359 N368 N377 N386 N395 N404 N413 N422 N431 N440 N449 N458 N467 N476 N485 N494 N503:N1048576">
    <cfRule type="containsText" dxfId="6539" priority="1595" operator="containsText" text="NO CUMPLE">
      <formula>NOT(ISERROR(SEARCH("NO CUMPLE",N8)))</formula>
    </cfRule>
  </conditionalFormatting>
  <conditionalFormatting sqref="L53 L35 L44 L62 L71 L80 L89 L98 L107 L116 L125 L134 L143 M41:M42 M32:M33 M23:M24 M14:M15">
    <cfRule type="cellIs" dxfId="6538" priority="1598" stopIfTrue="1" operator="equal">
      <formula>0</formula>
    </cfRule>
    <cfRule type="cellIs" dxfId="6537" priority="1599" stopIfTrue="1" operator="greaterThanOrEqual">
      <formula>#REF!</formula>
    </cfRule>
    <cfRule type="cellIs" dxfId="6536" priority="1600" stopIfTrue="1" operator="between">
      <formula>0</formula>
      <formula>#REF!</formula>
    </cfRule>
  </conditionalFormatting>
  <conditionalFormatting sqref="I26 I35 I44 I53 I62 I71 I80 I89 I98 I107 I116 I125 I134 I143">
    <cfRule type="cellIs" dxfId="6535" priority="1587" operator="equal">
      <formula>"NO"</formula>
    </cfRule>
    <cfRule type="cellIs" dxfId="6534" priority="1589" operator="equal">
      <formula>"NA"</formula>
    </cfRule>
    <cfRule type="cellIs" dxfId="6533" priority="1590" operator="equal">
      <formula>"SI"</formula>
    </cfRule>
  </conditionalFormatting>
  <conditionalFormatting sqref="N26 N35 N44 N53 N62 N71 N80 N89 N98 N107 N116 N125 N134 N143">
    <cfRule type="containsText" dxfId="6532" priority="1588" operator="containsText" text="NO CUMPLE">
      <formula>NOT(ISERROR(SEARCH("NO CUMPLE",N26)))</formula>
    </cfRule>
  </conditionalFormatting>
  <conditionalFormatting sqref="L26">
    <cfRule type="cellIs" dxfId="6531" priority="1591" stopIfTrue="1" operator="equal">
      <formula>0</formula>
    </cfRule>
    <cfRule type="cellIs" dxfId="6530" priority="1592" stopIfTrue="1" operator="greaterThanOrEqual">
      <formula>#REF!</formula>
    </cfRule>
    <cfRule type="cellIs" dxfId="6529" priority="1593" stopIfTrue="1" operator="between">
      <formula>0</formula>
      <formula>#REF!</formula>
    </cfRule>
  </conditionalFormatting>
  <conditionalFormatting sqref="N52">
    <cfRule type="containsText" dxfId="6528" priority="1583" operator="containsText" text="NO CUMPLE">
      <formula>NOT(ISERROR(SEARCH("NO CUMPLE",N52)))</formula>
    </cfRule>
  </conditionalFormatting>
  <conditionalFormatting sqref="L52">
    <cfRule type="cellIs" dxfId="6527" priority="1584" stopIfTrue="1" operator="equal">
      <formula>0</formula>
    </cfRule>
    <cfRule type="cellIs" dxfId="6526" priority="1585" stopIfTrue="1" operator="greaterThanOrEqual">
      <formula>#REF!</formula>
    </cfRule>
    <cfRule type="cellIs" dxfId="6525" priority="1586" stopIfTrue="1" operator="between">
      <formula>0</formula>
      <formula>#REF!</formula>
    </cfRule>
  </conditionalFormatting>
  <conditionalFormatting sqref="N48 N50:N51 C50:K51">
    <cfRule type="cellIs" dxfId="6524" priority="1582" stopIfTrue="1" operator="greaterThan">
      <formula>0</formula>
    </cfRule>
  </conditionalFormatting>
  <conditionalFormatting sqref="N48 N50:N51 I50:I51">
    <cfRule type="cellIs" dxfId="6523" priority="1581" operator="equal">
      <formula>"NO"</formula>
    </cfRule>
  </conditionalFormatting>
  <conditionalFormatting sqref="H50:H51 J50:J51">
    <cfRule type="cellIs" dxfId="6522" priority="1580" stopIfTrue="1" operator="lessThan">
      <formula>0</formula>
    </cfRule>
  </conditionalFormatting>
  <conditionalFormatting sqref="N55:N56">
    <cfRule type="containsText" dxfId="6521" priority="1576" operator="containsText" text="NO CUMPLE">
      <formula>NOT(ISERROR(SEARCH("NO CUMPLE",N55)))</formula>
    </cfRule>
  </conditionalFormatting>
  <conditionalFormatting sqref="L55:L56">
    <cfRule type="cellIs" dxfId="6520" priority="1577" stopIfTrue="1" operator="equal">
      <formula>0</formula>
    </cfRule>
    <cfRule type="cellIs" dxfId="6519" priority="1578" stopIfTrue="1" operator="greaterThanOrEqual">
      <formula>#REF!</formula>
    </cfRule>
    <cfRule type="cellIs" dxfId="6518" priority="1579" stopIfTrue="1" operator="between">
      <formula>0</formula>
      <formula>#REF!</formula>
    </cfRule>
  </conditionalFormatting>
  <conditionalFormatting sqref="N49 C49:K49 C48">
    <cfRule type="cellIs" dxfId="6517" priority="1575" stopIfTrue="1" operator="greaterThan">
      <formula>0</formula>
    </cfRule>
  </conditionalFormatting>
  <conditionalFormatting sqref="N49 I49">
    <cfRule type="cellIs" dxfId="6516" priority="1574" operator="equal">
      <formula>"NO"</formula>
    </cfRule>
  </conditionalFormatting>
  <conditionalFormatting sqref="H49 J49">
    <cfRule type="cellIs" dxfId="6515" priority="1573" stopIfTrue="1" operator="lessThan">
      <formula>0</formula>
    </cfRule>
  </conditionalFormatting>
  <conditionalFormatting sqref="M48:M51">
    <cfRule type="cellIs" dxfId="6514" priority="1570" stopIfTrue="1" operator="equal">
      <formula>0</formula>
    </cfRule>
    <cfRule type="cellIs" dxfId="6513" priority="1571" stopIfTrue="1" operator="greaterThanOrEqual">
      <formula>#REF!</formula>
    </cfRule>
    <cfRule type="cellIs" dxfId="6512" priority="1572" stopIfTrue="1" operator="between">
      <formula>0</formula>
      <formula>#REF!</formula>
    </cfRule>
  </conditionalFormatting>
  <conditionalFormatting sqref="N43">
    <cfRule type="containsText" dxfId="6511" priority="1566" operator="containsText" text="NO CUMPLE">
      <formula>NOT(ISERROR(SEARCH("NO CUMPLE",N43)))</formula>
    </cfRule>
  </conditionalFormatting>
  <conditionalFormatting sqref="L43">
    <cfRule type="cellIs" dxfId="6510" priority="1567" stopIfTrue="1" operator="equal">
      <formula>0</formula>
    </cfRule>
    <cfRule type="cellIs" dxfId="6509" priority="1568" stopIfTrue="1" operator="greaterThanOrEqual">
      <formula>#REF!</formula>
    </cfRule>
    <cfRule type="cellIs" dxfId="6508" priority="1569" stopIfTrue="1" operator="between">
      <formula>0</formula>
      <formula>#REF!</formula>
    </cfRule>
  </conditionalFormatting>
  <conditionalFormatting sqref="D39:G39 I39:K39 N39 N41:N42 D41:K42">
    <cfRule type="cellIs" dxfId="6507" priority="1565" stopIfTrue="1" operator="greaterThan">
      <formula>0</formula>
    </cfRule>
  </conditionalFormatting>
  <conditionalFormatting sqref="I39 N39 N41:N42 I41:I42">
    <cfRule type="cellIs" dxfId="6506" priority="1564" operator="equal">
      <formula>"NO"</formula>
    </cfRule>
  </conditionalFormatting>
  <conditionalFormatting sqref="H41:H42 J39 J41:J42">
    <cfRule type="cellIs" dxfId="6505" priority="1563" stopIfTrue="1" operator="lessThan">
      <formula>0</formula>
    </cfRule>
  </conditionalFormatting>
  <conditionalFormatting sqref="H39">
    <cfRule type="cellIs" dxfId="6504" priority="1562" stopIfTrue="1" operator="lessThan">
      <formula>0</formula>
    </cfRule>
  </conditionalFormatting>
  <conditionalFormatting sqref="H39">
    <cfRule type="cellIs" dxfId="6503" priority="1561" stopIfTrue="1" operator="greaterThan">
      <formula>0</formula>
    </cfRule>
  </conditionalFormatting>
  <conditionalFormatting sqref="N40 D40:K40">
    <cfRule type="cellIs" dxfId="6502" priority="1560" stopIfTrue="1" operator="greaterThan">
      <formula>0</formula>
    </cfRule>
  </conditionalFormatting>
  <conditionalFormatting sqref="N40 I40">
    <cfRule type="cellIs" dxfId="6501" priority="1559" operator="equal">
      <formula>"NO"</formula>
    </cfRule>
  </conditionalFormatting>
  <conditionalFormatting sqref="H40 J40">
    <cfRule type="cellIs" dxfId="6500" priority="1558" stopIfTrue="1" operator="lessThan">
      <formula>0</formula>
    </cfRule>
  </conditionalFormatting>
  <conditionalFormatting sqref="M39">
    <cfRule type="cellIs" dxfId="6499" priority="1555" stopIfTrue="1" operator="equal">
      <formula>0</formula>
    </cfRule>
    <cfRule type="cellIs" dxfId="6498" priority="1556" stopIfTrue="1" operator="greaterThanOrEqual">
      <formula>#REF!</formula>
    </cfRule>
    <cfRule type="cellIs" dxfId="6497" priority="1557" stopIfTrue="1" operator="between">
      <formula>0</formula>
      <formula>#REF!</formula>
    </cfRule>
  </conditionalFormatting>
  <conditionalFormatting sqref="M40">
    <cfRule type="cellIs" dxfId="6496" priority="1552" stopIfTrue="1" operator="equal">
      <formula>0</formula>
    </cfRule>
    <cfRule type="cellIs" dxfId="6495" priority="1553" stopIfTrue="1" operator="greaterThanOrEqual">
      <formula>#REF!</formula>
    </cfRule>
    <cfRule type="cellIs" dxfId="6494" priority="1554" stopIfTrue="1" operator="between">
      <formula>0</formula>
      <formula>#REF!</formula>
    </cfRule>
  </conditionalFormatting>
  <conditionalFormatting sqref="C39 C41:C42">
    <cfRule type="cellIs" dxfId="6493" priority="1551" stopIfTrue="1" operator="greaterThan">
      <formula>0</formula>
    </cfRule>
  </conditionalFormatting>
  <conditionalFormatting sqref="C40">
    <cfRule type="cellIs" dxfId="6492" priority="1550" stopIfTrue="1" operator="greaterThan">
      <formula>0</formula>
    </cfRule>
  </conditionalFormatting>
  <conditionalFormatting sqref="N34">
    <cfRule type="containsText" dxfId="6491" priority="1546" operator="containsText" text="NO CUMPLE">
      <formula>NOT(ISERROR(SEARCH("NO CUMPLE",N34)))</formula>
    </cfRule>
  </conditionalFormatting>
  <conditionalFormatting sqref="L34">
    <cfRule type="cellIs" dxfId="6490" priority="1547" stopIfTrue="1" operator="equal">
      <formula>0</formula>
    </cfRule>
    <cfRule type="cellIs" dxfId="6489" priority="1548" stopIfTrue="1" operator="greaterThanOrEqual">
      <formula>#REF!</formula>
    </cfRule>
    <cfRule type="cellIs" dxfId="6488" priority="1549" stopIfTrue="1" operator="between">
      <formula>0</formula>
      <formula>#REF!</formula>
    </cfRule>
  </conditionalFormatting>
  <conditionalFormatting sqref="D30:G30 I30:K30 N30 N32:N33 D32:K33">
    <cfRule type="cellIs" dxfId="6487" priority="1545" stopIfTrue="1" operator="greaterThan">
      <formula>0</formula>
    </cfRule>
  </conditionalFormatting>
  <conditionalFormatting sqref="I30 N30 N32:N33 I32:I33">
    <cfRule type="cellIs" dxfId="6486" priority="1544" operator="equal">
      <formula>"NO"</formula>
    </cfRule>
  </conditionalFormatting>
  <conditionalFormatting sqref="H32:H33 J30 J32:J33">
    <cfRule type="cellIs" dxfId="6485" priority="1543" stopIfTrue="1" operator="lessThan">
      <formula>0</formula>
    </cfRule>
  </conditionalFormatting>
  <conditionalFormatting sqref="H30">
    <cfRule type="cellIs" dxfId="6484" priority="1542" stopIfTrue="1" operator="lessThan">
      <formula>0</formula>
    </cfRule>
  </conditionalFormatting>
  <conditionalFormatting sqref="H30">
    <cfRule type="cellIs" dxfId="6483" priority="1541" stopIfTrue="1" operator="greaterThan">
      <formula>0</formula>
    </cfRule>
  </conditionalFormatting>
  <conditionalFormatting sqref="N31 D31:K31">
    <cfRule type="cellIs" dxfId="6482" priority="1540" stopIfTrue="1" operator="greaterThan">
      <formula>0</formula>
    </cfRule>
  </conditionalFormatting>
  <conditionalFormatting sqref="N31 I31">
    <cfRule type="cellIs" dxfId="6481" priority="1539" operator="equal">
      <formula>"NO"</formula>
    </cfRule>
  </conditionalFormatting>
  <conditionalFormatting sqref="H31 J31">
    <cfRule type="cellIs" dxfId="6480" priority="1538" stopIfTrue="1" operator="lessThan">
      <formula>0</formula>
    </cfRule>
  </conditionalFormatting>
  <conditionalFormatting sqref="M30">
    <cfRule type="cellIs" dxfId="6479" priority="1535" stopIfTrue="1" operator="equal">
      <formula>0</formula>
    </cfRule>
    <cfRule type="cellIs" dxfId="6478" priority="1536" stopIfTrue="1" operator="greaterThanOrEqual">
      <formula>#REF!</formula>
    </cfRule>
    <cfRule type="cellIs" dxfId="6477" priority="1537" stopIfTrue="1" operator="between">
      <formula>0</formula>
      <formula>#REF!</formula>
    </cfRule>
  </conditionalFormatting>
  <conditionalFormatting sqref="M31">
    <cfRule type="cellIs" dxfId="6476" priority="1532" stopIfTrue="1" operator="equal">
      <formula>0</formula>
    </cfRule>
    <cfRule type="cellIs" dxfId="6475" priority="1533" stopIfTrue="1" operator="greaterThanOrEqual">
      <formula>#REF!</formula>
    </cfRule>
    <cfRule type="cellIs" dxfId="6474" priority="1534" stopIfTrue="1" operator="between">
      <formula>0</formula>
      <formula>#REF!</formula>
    </cfRule>
  </conditionalFormatting>
  <conditionalFormatting sqref="C30 C32:C33">
    <cfRule type="cellIs" dxfId="6473" priority="1531" stopIfTrue="1" operator="greaterThan">
      <formula>0</formula>
    </cfRule>
  </conditionalFormatting>
  <conditionalFormatting sqref="C31">
    <cfRule type="cellIs" dxfId="6472" priority="1530" stopIfTrue="1" operator="greaterThan">
      <formula>0</formula>
    </cfRule>
  </conditionalFormatting>
  <conditionalFormatting sqref="N25">
    <cfRule type="containsText" dxfId="6471" priority="1526" operator="containsText" text="NO CUMPLE">
      <formula>NOT(ISERROR(SEARCH("NO CUMPLE",N25)))</formula>
    </cfRule>
  </conditionalFormatting>
  <conditionalFormatting sqref="L25">
    <cfRule type="cellIs" dxfId="6470" priority="1527" stopIfTrue="1" operator="equal">
      <formula>0</formula>
    </cfRule>
    <cfRule type="cellIs" dxfId="6469" priority="1528" stopIfTrue="1" operator="greaterThanOrEqual">
      <formula>#REF!</formula>
    </cfRule>
    <cfRule type="cellIs" dxfId="6468" priority="1529" stopIfTrue="1" operator="between">
      <formula>0</formula>
      <formula>#REF!</formula>
    </cfRule>
  </conditionalFormatting>
  <conditionalFormatting sqref="D21:G21 I21:K21 N21 N23:N24 D23:K24">
    <cfRule type="cellIs" dxfId="6467" priority="1525" stopIfTrue="1" operator="greaterThan">
      <formula>0</formula>
    </cfRule>
  </conditionalFormatting>
  <conditionalFormatting sqref="I21 N21 N23:N24 I23:I24">
    <cfRule type="cellIs" dxfId="6466" priority="1524" operator="equal">
      <formula>"NO"</formula>
    </cfRule>
  </conditionalFormatting>
  <conditionalFormatting sqref="H23:H24 J21 J23:J24">
    <cfRule type="cellIs" dxfId="6465" priority="1523" stopIfTrue="1" operator="lessThan">
      <formula>0</formula>
    </cfRule>
  </conditionalFormatting>
  <conditionalFormatting sqref="H21">
    <cfRule type="cellIs" dxfId="6464" priority="1522" stopIfTrue="1" operator="lessThan">
      <formula>0</formula>
    </cfRule>
  </conditionalFormatting>
  <conditionalFormatting sqref="H21">
    <cfRule type="cellIs" dxfId="6463" priority="1521" stopIfTrue="1" operator="greaterThan">
      <formula>0</formula>
    </cfRule>
  </conditionalFormatting>
  <conditionalFormatting sqref="N22 D22:K22">
    <cfRule type="cellIs" dxfId="6462" priority="1520" stopIfTrue="1" operator="greaterThan">
      <formula>0</formula>
    </cfRule>
  </conditionalFormatting>
  <conditionalFormatting sqref="N22 I22">
    <cfRule type="cellIs" dxfId="6461" priority="1519" operator="equal">
      <formula>"NO"</formula>
    </cfRule>
  </conditionalFormatting>
  <conditionalFormatting sqref="H22 J22">
    <cfRule type="cellIs" dxfId="6460" priority="1518" stopIfTrue="1" operator="lessThan">
      <formula>0</formula>
    </cfRule>
  </conditionalFormatting>
  <conditionalFormatting sqref="M21">
    <cfRule type="cellIs" dxfId="6459" priority="1515" stopIfTrue="1" operator="equal">
      <formula>0</formula>
    </cfRule>
    <cfRule type="cellIs" dxfId="6458" priority="1516" stopIfTrue="1" operator="greaterThanOrEqual">
      <formula>#REF!</formula>
    </cfRule>
    <cfRule type="cellIs" dxfId="6457" priority="1517" stopIfTrue="1" operator="between">
      <formula>0</formula>
      <formula>#REF!</formula>
    </cfRule>
  </conditionalFormatting>
  <conditionalFormatting sqref="M22">
    <cfRule type="cellIs" dxfId="6456" priority="1512" stopIfTrue="1" operator="equal">
      <formula>0</formula>
    </cfRule>
    <cfRule type="cellIs" dxfId="6455" priority="1513" stopIfTrue="1" operator="greaterThanOrEqual">
      <formula>#REF!</formula>
    </cfRule>
    <cfRule type="cellIs" dxfId="6454" priority="1514" stopIfTrue="1" operator="between">
      <formula>0</formula>
      <formula>#REF!</formula>
    </cfRule>
  </conditionalFormatting>
  <conditionalFormatting sqref="C23:C24">
    <cfRule type="cellIs" dxfId="6453" priority="1511" stopIfTrue="1" operator="greaterThan">
      <formula>0</formula>
    </cfRule>
  </conditionalFormatting>
  <conditionalFormatting sqref="C22">
    <cfRule type="cellIs" dxfId="6452" priority="1510" stopIfTrue="1" operator="greaterThan">
      <formula>0</formula>
    </cfRule>
  </conditionalFormatting>
  <conditionalFormatting sqref="N16">
    <cfRule type="containsText" dxfId="6451" priority="1506" operator="containsText" text="NO CUMPLE">
      <formula>NOT(ISERROR(SEARCH("NO CUMPLE",N16)))</formula>
    </cfRule>
  </conditionalFormatting>
  <conditionalFormatting sqref="L16">
    <cfRule type="cellIs" dxfId="6450" priority="1507" stopIfTrue="1" operator="equal">
      <formula>0</formula>
    </cfRule>
    <cfRule type="cellIs" dxfId="6449" priority="1508" stopIfTrue="1" operator="greaterThanOrEqual">
      <formula>#REF!</formula>
    </cfRule>
    <cfRule type="cellIs" dxfId="6448" priority="1509" stopIfTrue="1" operator="between">
      <formula>0</formula>
      <formula>#REF!</formula>
    </cfRule>
  </conditionalFormatting>
  <conditionalFormatting sqref="D12:G12 I12:K12 N12 N14:N15 D14:K15">
    <cfRule type="cellIs" dxfId="6447" priority="1505" stopIfTrue="1" operator="greaterThan">
      <formula>0</formula>
    </cfRule>
  </conditionalFormatting>
  <conditionalFormatting sqref="I12 N12 N14:N15 I14:I15">
    <cfRule type="cellIs" dxfId="6446" priority="1504" operator="equal">
      <formula>"NO"</formula>
    </cfRule>
  </conditionalFormatting>
  <conditionalFormatting sqref="H14:H15 J12 J14:J15">
    <cfRule type="cellIs" dxfId="6445" priority="1503" stopIfTrue="1" operator="lessThan">
      <formula>0</formula>
    </cfRule>
  </conditionalFormatting>
  <conditionalFormatting sqref="H12">
    <cfRule type="cellIs" dxfId="6444" priority="1502" stopIfTrue="1" operator="lessThan">
      <formula>0</formula>
    </cfRule>
  </conditionalFormatting>
  <conditionalFormatting sqref="H12">
    <cfRule type="cellIs" dxfId="6443" priority="1501" stopIfTrue="1" operator="greaterThan">
      <formula>0</formula>
    </cfRule>
  </conditionalFormatting>
  <conditionalFormatting sqref="N13 H13:K13">
    <cfRule type="cellIs" dxfId="6442" priority="1500" stopIfTrue="1" operator="greaterThan">
      <formula>0</formula>
    </cfRule>
  </conditionalFormatting>
  <conditionalFormatting sqref="N13 I13">
    <cfRule type="cellIs" dxfId="6441" priority="1499" operator="equal">
      <formula>"NO"</formula>
    </cfRule>
  </conditionalFormatting>
  <conditionalFormatting sqref="H13 J13">
    <cfRule type="cellIs" dxfId="6440" priority="1498" stopIfTrue="1" operator="lessThan">
      <formula>0</formula>
    </cfRule>
  </conditionalFormatting>
  <conditionalFormatting sqref="M12">
    <cfRule type="cellIs" dxfId="6439" priority="1495" stopIfTrue="1" operator="equal">
      <formula>0</formula>
    </cfRule>
    <cfRule type="cellIs" dxfId="6438" priority="1496" stopIfTrue="1" operator="greaterThanOrEqual">
      <formula>#REF!</formula>
    </cfRule>
    <cfRule type="cellIs" dxfId="6437" priority="1497" stopIfTrue="1" operator="between">
      <formula>0</formula>
      <formula>#REF!</formula>
    </cfRule>
  </conditionalFormatting>
  <conditionalFormatting sqref="M13">
    <cfRule type="cellIs" dxfId="6436" priority="1492" stopIfTrue="1" operator="equal">
      <formula>0</formula>
    </cfRule>
    <cfRule type="cellIs" dxfId="6435" priority="1493" stopIfTrue="1" operator="greaterThanOrEqual">
      <formula>#REF!</formula>
    </cfRule>
    <cfRule type="cellIs" dxfId="6434" priority="1494" stopIfTrue="1" operator="between">
      <formula>0</formula>
      <formula>#REF!</formula>
    </cfRule>
  </conditionalFormatting>
  <conditionalFormatting sqref="C12:C15">
    <cfRule type="cellIs" dxfId="6433" priority="1491" stopIfTrue="1" operator="greaterThan">
      <formula>0</formula>
    </cfRule>
  </conditionalFormatting>
  <conditionalFormatting sqref="N61">
    <cfRule type="containsText" dxfId="6432" priority="1487" operator="containsText" text="NO CUMPLE">
      <formula>NOT(ISERROR(SEARCH("NO CUMPLE",N61)))</formula>
    </cfRule>
  </conditionalFormatting>
  <conditionalFormatting sqref="L61">
    <cfRule type="cellIs" dxfId="6431" priority="1488" stopIfTrue="1" operator="equal">
      <formula>0</formula>
    </cfRule>
    <cfRule type="cellIs" dxfId="6430" priority="1489" stopIfTrue="1" operator="greaterThanOrEqual">
      <formula>#REF!</formula>
    </cfRule>
    <cfRule type="cellIs" dxfId="6429" priority="1490" stopIfTrue="1" operator="between">
      <formula>0</formula>
      <formula>#REF!</formula>
    </cfRule>
  </conditionalFormatting>
  <conditionalFormatting sqref="D57:F57 I57:K57 N57 N59:N60 D59:K60">
    <cfRule type="cellIs" dxfId="6428" priority="1486" stopIfTrue="1" operator="greaterThan">
      <formula>0</formula>
    </cfRule>
  </conditionalFormatting>
  <conditionalFormatting sqref="I57 N57 N59:N60 I59:I60">
    <cfRule type="cellIs" dxfId="6427" priority="1485" operator="equal">
      <formula>"NO"</formula>
    </cfRule>
  </conditionalFormatting>
  <conditionalFormatting sqref="H59:H60 J57 J59:J60">
    <cfRule type="cellIs" dxfId="6426" priority="1484" stopIfTrue="1" operator="lessThan">
      <formula>0</formula>
    </cfRule>
  </conditionalFormatting>
  <conditionalFormatting sqref="H57">
    <cfRule type="cellIs" dxfId="6425" priority="1483" stopIfTrue="1" operator="lessThan">
      <formula>0</formula>
    </cfRule>
  </conditionalFormatting>
  <conditionalFormatting sqref="H57">
    <cfRule type="cellIs" dxfId="6424" priority="1482" stopIfTrue="1" operator="greaterThan">
      <formula>0</formula>
    </cfRule>
  </conditionalFormatting>
  <conditionalFormatting sqref="N58 D58:K58">
    <cfRule type="cellIs" dxfId="6423" priority="1481" stopIfTrue="1" operator="greaterThan">
      <formula>0</formula>
    </cfRule>
  </conditionalFormatting>
  <conditionalFormatting sqref="N58 I58">
    <cfRule type="cellIs" dxfId="6422" priority="1480" operator="equal">
      <formula>"NO"</formula>
    </cfRule>
  </conditionalFormatting>
  <conditionalFormatting sqref="H58 J58">
    <cfRule type="cellIs" dxfId="6421" priority="1479" stopIfTrue="1" operator="lessThan">
      <formula>0</formula>
    </cfRule>
  </conditionalFormatting>
  <conditionalFormatting sqref="M57:M60">
    <cfRule type="cellIs" dxfId="6420" priority="1476" stopIfTrue="1" operator="equal">
      <formula>0</formula>
    </cfRule>
    <cfRule type="cellIs" dxfId="6419" priority="1477" stopIfTrue="1" operator="greaterThanOrEqual">
      <formula>#REF!</formula>
    </cfRule>
    <cfRule type="cellIs" dxfId="6418" priority="1478" stopIfTrue="1" operator="between">
      <formula>0</formula>
      <formula>#REF!</formula>
    </cfRule>
  </conditionalFormatting>
  <conditionalFormatting sqref="C57 C59:C60">
    <cfRule type="cellIs" dxfId="6417" priority="1475" stopIfTrue="1" operator="greaterThan">
      <formula>0</formula>
    </cfRule>
  </conditionalFormatting>
  <conditionalFormatting sqref="C58">
    <cfRule type="cellIs" dxfId="6416" priority="1474" stopIfTrue="1" operator="greaterThan">
      <formula>0</formula>
    </cfRule>
  </conditionalFormatting>
  <conditionalFormatting sqref="N70">
    <cfRule type="containsText" dxfId="6415" priority="1470" operator="containsText" text="NO CUMPLE">
      <formula>NOT(ISERROR(SEARCH("NO CUMPLE",N70)))</formula>
    </cfRule>
  </conditionalFormatting>
  <conditionalFormatting sqref="L70">
    <cfRule type="cellIs" dxfId="6414" priority="1471" stopIfTrue="1" operator="equal">
      <formula>0</formula>
    </cfRule>
    <cfRule type="cellIs" dxfId="6413" priority="1472" stopIfTrue="1" operator="greaterThanOrEqual">
      <formula>#REF!</formula>
    </cfRule>
    <cfRule type="cellIs" dxfId="6412" priority="1473" stopIfTrue="1" operator="between">
      <formula>0</formula>
      <formula>#REF!</formula>
    </cfRule>
  </conditionalFormatting>
  <conditionalFormatting sqref="D66:G66 I66:K66 N66 N68:N69 D68:K69">
    <cfRule type="cellIs" dxfId="6411" priority="1469" stopIfTrue="1" operator="greaterThan">
      <formula>0</formula>
    </cfRule>
  </conditionalFormatting>
  <conditionalFormatting sqref="I66 N66 N68:N69 I68:I69">
    <cfRule type="cellIs" dxfId="6410" priority="1468" operator="equal">
      <formula>"NO"</formula>
    </cfRule>
  </conditionalFormatting>
  <conditionalFormatting sqref="H68:H69 J66 J68:J69">
    <cfRule type="cellIs" dxfId="6409" priority="1467" stopIfTrue="1" operator="lessThan">
      <formula>0</formula>
    </cfRule>
  </conditionalFormatting>
  <conditionalFormatting sqref="H66">
    <cfRule type="cellIs" dxfId="6408" priority="1466" stopIfTrue="1" operator="lessThan">
      <formula>0</formula>
    </cfRule>
  </conditionalFormatting>
  <conditionalFormatting sqref="H66">
    <cfRule type="cellIs" dxfId="6407" priority="1465" stopIfTrue="1" operator="greaterThan">
      <formula>0</formula>
    </cfRule>
  </conditionalFormatting>
  <conditionalFormatting sqref="N67 D67:K67">
    <cfRule type="cellIs" dxfId="6406" priority="1464" stopIfTrue="1" operator="greaterThan">
      <formula>0</formula>
    </cfRule>
  </conditionalFormatting>
  <conditionalFormatting sqref="N67 I67">
    <cfRule type="cellIs" dxfId="6405" priority="1463" operator="equal">
      <formula>"NO"</formula>
    </cfRule>
  </conditionalFormatting>
  <conditionalFormatting sqref="H67 J67">
    <cfRule type="cellIs" dxfId="6404" priority="1462" stopIfTrue="1" operator="lessThan">
      <formula>0</formula>
    </cfRule>
  </conditionalFormatting>
  <conditionalFormatting sqref="M66:M69">
    <cfRule type="cellIs" dxfId="6403" priority="1459" stopIfTrue="1" operator="equal">
      <formula>0</formula>
    </cfRule>
    <cfRule type="cellIs" dxfId="6402" priority="1460" stopIfTrue="1" operator="greaterThanOrEqual">
      <formula>#REF!</formula>
    </cfRule>
    <cfRule type="cellIs" dxfId="6401" priority="1461" stopIfTrue="1" operator="between">
      <formula>0</formula>
      <formula>#REF!</formula>
    </cfRule>
  </conditionalFormatting>
  <conditionalFormatting sqref="C66 C68:C69">
    <cfRule type="cellIs" dxfId="6400" priority="1458" stopIfTrue="1" operator="greaterThan">
      <formula>0</formula>
    </cfRule>
  </conditionalFormatting>
  <conditionalFormatting sqref="C67">
    <cfRule type="cellIs" dxfId="6399" priority="1457" stopIfTrue="1" operator="greaterThan">
      <formula>0</formula>
    </cfRule>
  </conditionalFormatting>
  <conditionalFormatting sqref="D75:G75 I75:K75 N75 N77:N78 D77:K78">
    <cfRule type="cellIs" dxfId="6398" priority="1456" stopIfTrue="1" operator="greaterThan">
      <formula>0</formula>
    </cfRule>
  </conditionalFormatting>
  <conditionalFormatting sqref="I75 N75 N77:N78 I77:I78">
    <cfRule type="cellIs" dxfId="6397" priority="1455" operator="equal">
      <formula>"NO"</formula>
    </cfRule>
  </conditionalFormatting>
  <conditionalFormatting sqref="H77:H78 J75 J77:J78">
    <cfRule type="cellIs" dxfId="6396" priority="1454" stopIfTrue="1" operator="lessThan">
      <formula>0</formula>
    </cfRule>
  </conditionalFormatting>
  <conditionalFormatting sqref="H75">
    <cfRule type="cellIs" dxfId="6395" priority="1453" stopIfTrue="1" operator="lessThan">
      <formula>0</formula>
    </cfRule>
  </conditionalFormatting>
  <conditionalFormatting sqref="H75">
    <cfRule type="cellIs" dxfId="6394" priority="1452" stopIfTrue="1" operator="greaterThan">
      <formula>0</formula>
    </cfRule>
  </conditionalFormatting>
  <conditionalFormatting sqref="N76 D76:K76">
    <cfRule type="cellIs" dxfId="6393" priority="1451" stopIfTrue="1" operator="greaterThan">
      <formula>0</formula>
    </cfRule>
  </conditionalFormatting>
  <conditionalFormatting sqref="N76 I76">
    <cfRule type="cellIs" dxfId="6392" priority="1450" operator="equal">
      <formula>"NO"</formula>
    </cfRule>
  </conditionalFormatting>
  <conditionalFormatting sqref="H76 J76">
    <cfRule type="cellIs" dxfId="6391" priority="1449" stopIfTrue="1" operator="lessThan">
      <formula>0</formula>
    </cfRule>
  </conditionalFormatting>
  <conditionalFormatting sqref="M75:M78">
    <cfRule type="cellIs" dxfId="6390" priority="1446" stopIfTrue="1" operator="equal">
      <formula>0</formula>
    </cfRule>
    <cfRule type="cellIs" dxfId="6389" priority="1447" stopIfTrue="1" operator="greaterThanOrEqual">
      <formula>#REF!</formula>
    </cfRule>
    <cfRule type="cellIs" dxfId="6388" priority="1448" stopIfTrue="1" operator="between">
      <formula>0</formula>
      <formula>#REF!</formula>
    </cfRule>
  </conditionalFormatting>
  <conditionalFormatting sqref="N79">
    <cfRule type="containsText" dxfId="6387" priority="1442" operator="containsText" text="NO CUMPLE">
      <formula>NOT(ISERROR(SEARCH("NO CUMPLE",N79)))</formula>
    </cfRule>
  </conditionalFormatting>
  <conditionalFormatting sqref="L79">
    <cfRule type="cellIs" dxfId="6386" priority="1443" stopIfTrue="1" operator="equal">
      <formula>0</formula>
    </cfRule>
    <cfRule type="cellIs" dxfId="6385" priority="1444" stopIfTrue="1" operator="greaterThanOrEqual">
      <formula>#REF!</formula>
    </cfRule>
    <cfRule type="cellIs" dxfId="6384" priority="1445" stopIfTrue="1" operator="between">
      <formula>0</formula>
      <formula>#REF!</formula>
    </cfRule>
  </conditionalFormatting>
  <conditionalFormatting sqref="C75 C77:C78">
    <cfRule type="cellIs" dxfId="6383" priority="1441" stopIfTrue="1" operator="greaterThan">
      <formula>0</formula>
    </cfRule>
  </conditionalFormatting>
  <conditionalFormatting sqref="C76">
    <cfRule type="cellIs" dxfId="6382" priority="1440" stopIfTrue="1" operator="greaterThan">
      <formula>0</formula>
    </cfRule>
  </conditionalFormatting>
  <conditionalFormatting sqref="D84:G84 I84:K84 N84 N86:N87 D86:K87">
    <cfRule type="cellIs" dxfId="6381" priority="1439" stopIfTrue="1" operator="greaterThan">
      <formula>0</formula>
    </cfRule>
  </conditionalFormatting>
  <conditionalFormatting sqref="I84 N84 N86:N87 I86:I87">
    <cfRule type="cellIs" dxfId="6380" priority="1438" operator="equal">
      <formula>"NO"</formula>
    </cfRule>
  </conditionalFormatting>
  <conditionalFormatting sqref="H86:H87 J84 J86:J87">
    <cfRule type="cellIs" dxfId="6379" priority="1437" stopIfTrue="1" operator="lessThan">
      <formula>0</formula>
    </cfRule>
  </conditionalFormatting>
  <conditionalFormatting sqref="H84">
    <cfRule type="cellIs" dxfId="6378" priority="1436" stopIfTrue="1" operator="lessThan">
      <formula>0</formula>
    </cfRule>
  </conditionalFormatting>
  <conditionalFormatting sqref="H84">
    <cfRule type="cellIs" dxfId="6377" priority="1435" stopIfTrue="1" operator="greaterThan">
      <formula>0</formula>
    </cfRule>
  </conditionalFormatting>
  <conditionalFormatting sqref="N85 H85:K85">
    <cfRule type="cellIs" dxfId="6376" priority="1434" stopIfTrue="1" operator="greaterThan">
      <formula>0</formula>
    </cfRule>
  </conditionalFormatting>
  <conditionalFormatting sqref="N85 I85">
    <cfRule type="cellIs" dxfId="6375" priority="1433" operator="equal">
      <formula>"NO"</formula>
    </cfRule>
  </conditionalFormatting>
  <conditionalFormatting sqref="H85 J85">
    <cfRule type="cellIs" dxfId="6374" priority="1432" stopIfTrue="1" operator="lessThan">
      <formula>0</formula>
    </cfRule>
  </conditionalFormatting>
  <conditionalFormatting sqref="M84:M87">
    <cfRule type="cellIs" dxfId="6373" priority="1429" stopIfTrue="1" operator="equal">
      <formula>0</formula>
    </cfRule>
    <cfRule type="cellIs" dxfId="6372" priority="1430" stopIfTrue="1" operator="greaterThanOrEqual">
      <formula>#REF!</formula>
    </cfRule>
    <cfRule type="cellIs" dxfId="6371" priority="1431" stopIfTrue="1" operator="between">
      <formula>0</formula>
      <formula>#REF!</formula>
    </cfRule>
  </conditionalFormatting>
  <conditionalFormatting sqref="N88">
    <cfRule type="containsText" dxfId="6370" priority="1425" operator="containsText" text="NO CUMPLE">
      <formula>NOT(ISERROR(SEARCH("NO CUMPLE",N88)))</formula>
    </cfRule>
  </conditionalFormatting>
  <conditionalFormatting sqref="L88">
    <cfRule type="cellIs" dxfId="6369" priority="1426" stopIfTrue="1" operator="equal">
      <formula>0</formula>
    </cfRule>
    <cfRule type="cellIs" dxfId="6368" priority="1427" stopIfTrue="1" operator="greaterThanOrEqual">
      <formula>#REF!</formula>
    </cfRule>
    <cfRule type="cellIs" dxfId="6367" priority="1428" stopIfTrue="1" operator="between">
      <formula>0</formula>
      <formula>#REF!</formula>
    </cfRule>
  </conditionalFormatting>
  <conditionalFormatting sqref="C84 C86:C87">
    <cfRule type="cellIs" dxfId="6366" priority="1424" stopIfTrue="1" operator="greaterThan">
      <formula>0</formula>
    </cfRule>
  </conditionalFormatting>
  <conditionalFormatting sqref="C85">
    <cfRule type="cellIs" dxfId="6365" priority="1423" stopIfTrue="1" operator="greaterThan">
      <formula>0</formula>
    </cfRule>
  </conditionalFormatting>
  <conditionalFormatting sqref="D93:G93 I93:K93 N93 N95:N96 D95:K96">
    <cfRule type="cellIs" dxfId="6364" priority="1422" stopIfTrue="1" operator="greaterThan">
      <formula>0</formula>
    </cfRule>
  </conditionalFormatting>
  <conditionalFormatting sqref="I93 N93 N95:N96 I95:I96">
    <cfRule type="cellIs" dxfId="6363" priority="1421" operator="equal">
      <formula>"NO"</formula>
    </cfRule>
  </conditionalFormatting>
  <conditionalFormatting sqref="H95:H96 J93 J95:J96">
    <cfRule type="cellIs" dxfId="6362" priority="1420" stopIfTrue="1" operator="lessThan">
      <formula>0</formula>
    </cfRule>
  </conditionalFormatting>
  <conditionalFormatting sqref="H93">
    <cfRule type="cellIs" dxfId="6361" priority="1419" stopIfTrue="1" operator="lessThan">
      <formula>0</formula>
    </cfRule>
  </conditionalFormatting>
  <conditionalFormatting sqref="H93">
    <cfRule type="cellIs" dxfId="6360" priority="1418" stopIfTrue="1" operator="greaterThan">
      <formula>0</formula>
    </cfRule>
  </conditionalFormatting>
  <conditionalFormatting sqref="N94 D94:K94">
    <cfRule type="cellIs" dxfId="6359" priority="1417" stopIfTrue="1" operator="greaterThan">
      <formula>0</formula>
    </cfRule>
  </conditionalFormatting>
  <conditionalFormatting sqref="N94 I94">
    <cfRule type="cellIs" dxfId="6358" priority="1416" operator="equal">
      <formula>"NO"</formula>
    </cfRule>
  </conditionalFormatting>
  <conditionalFormatting sqref="H94 J94">
    <cfRule type="cellIs" dxfId="6357" priority="1415" stopIfTrue="1" operator="lessThan">
      <formula>0</formula>
    </cfRule>
  </conditionalFormatting>
  <conditionalFormatting sqref="M93:M96">
    <cfRule type="cellIs" dxfId="6356" priority="1412" stopIfTrue="1" operator="equal">
      <formula>0</formula>
    </cfRule>
    <cfRule type="cellIs" dxfId="6355" priority="1413" stopIfTrue="1" operator="greaterThanOrEqual">
      <formula>#REF!</formula>
    </cfRule>
    <cfRule type="cellIs" dxfId="6354" priority="1414" stopIfTrue="1" operator="between">
      <formula>0</formula>
      <formula>#REF!</formula>
    </cfRule>
  </conditionalFormatting>
  <conditionalFormatting sqref="N97">
    <cfRule type="containsText" dxfId="6353" priority="1408" operator="containsText" text="NO CUMPLE">
      <formula>NOT(ISERROR(SEARCH("NO CUMPLE",N97)))</formula>
    </cfRule>
  </conditionalFormatting>
  <conditionalFormatting sqref="L97">
    <cfRule type="cellIs" dxfId="6352" priority="1409" stopIfTrue="1" operator="equal">
      <formula>0</formula>
    </cfRule>
    <cfRule type="cellIs" dxfId="6351" priority="1410" stopIfTrue="1" operator="greaterThanOrEqual">
      <formula>#REF!</formula>
    </cfRule>
    <cfRule type="cellIs" dxfId="6350" priority="1411" stopIfTrue="1" operator="between">
      <formula>0</formula>
      <formula>#REF!</formula>
    </cfRule>
  </conditionalFormatting>
  <conditionalFormatting sqref="C93 C95:C96">
    <cfRule type="cellIs" dxfId="6349" priority="1407" stopIfTrue="1" operator="greaterThan">
      <formula>0</formula>
    </cfRule>
  </conditionalFormatting>
  <conditionalFormatting sqref="C94">
    <cfRule type="cellIs" dxfId="6348" priority="1406" stopIfTrue="1" operator="greaterThan">
      <formula>0</formula>
    </cfRule>
  </conditionalFormatting>
  <conditionalFormatting sqref="D102:G102 I102:K102 N104:N105 D104:K105">
    <cfRule type="cellIs" dxfId="6347" priority="1405" stopIfTrue="1" operator="greaterThan">
      <formula>0</formula>
    </cfRule>
  </conditionalFormatting>
  <conditionalFormatting sqref="I102 N104:N105 I104:I105">
    <cfRule type="cellIs" dxfId="6346" priority="1404" operator="equal">
      <formula>"NO"</formula>
    </cfRule>
  </conditionalFormatting>
  <conditionalFormatting sqref="H104:H105 J102 J104:J105">
    <cfRule type="cellIs" dxfId="6345" priority="1403" stopIfTrue="1" operator="lessThan">
      <formula>0</formula>
    </cfRule>
  </conditionalFormatting>
  <conditionalFormatting sqref="H102">
    <cfRule type="cellIs" dxfId="6344" priority="1402" stopIfTrue="1" operator="lessThan">
      <formula>0</formula>
    </cfRule>
  </conditionalFormatting>
  <conditionalFormatting sqref="H102">
    <cfRule type="cellIs" dxfId="6343" priority="1401" stopIfTrue="1" operator="greaterThan">
      <formula>0</formula>
    </cfRule>
  </conditionalFormatting>
  <conditionalFormatting sqref="N103 D103:K103">
    <cfRule type="cellIs" dxfId="6342" priority="1400" stopIfTrue="1" operator="greaterThan">
      <formula>0</formula>
    </cfRule>
  </conditionalFormatting>
  <conditionalFormatting sqref="N103 I103">
    <cfRule type="cellIs" dxfId="6341" priority="1399" operator="equal">
      <formula>"NO"</formula>
    </cfRule>
  </conditionalFormatting>
  <conditionalFormatting sqref="H103 J103">
    <cfRule type="cellIs" dxfId="6340" priority="1398" stopIfTrue="1" operator="lessThan">
      <formula>0</formula>
    </cfRule>
  </conditionalFormatting>
  <conditionalFormatting sqref="M102:M105">
    <cfRule type="cellIs" dxfId="6339" priority="1395" stopIfTrue="1" operator="equal">
      <formula>0</formula>
    </cfRule>
    <cfRule type="cellIs" dxfId="6338" priority="1396" stopIfTrue="1" operator="greaterThanOrEqual">
      <formula>#REF!</formula>
    </cfRule>
    <cfRule type="cellIs" dxfId="6337" priority="1397" stopIfTrue="1" operator="between">
      <formula>0</formula>
      <formula>#REF!</formula>
    </cfRule>
  </conditionalFormatting>
  <conditionalFormatting sqref="N106">
    <cfRule type="containsText" dxfId="6336" priority="1391" operator="containsText" text="NO CUMPLE">
      <formula>NOT(ISERROR(SEARCH("NO CUMPLE",N106)))</formula>
    </cfRule>
  </conditionalFormatting>
  <conditionalFormatting sqref="L106">
    <cfRule type="cellIs" dxfId="6335" priority="1392" stopIfTrue="1" operator="equal">
      <formula>0</formula>
    </cfRule>
    <cfRule type="cellIs" dxfId="6334" priority="1393" stopIfTrue="1" operator="greaterThanOrEqual">
      <formula>#REF!</formula>
    </cfRule>
    <cfRule type="cellIs" dxfId="6333" priority="1394" stopIfTrue="1" operator="between">
      <formula>0</formula>
      <formula>#REF!</formula>
    </cfRule>
  </conditionalFormatting>
  <conditionalFormatting sqref="C102 C104:C105">
    <cfRule type="cellIs" dxfId="6332" priority="1390" stopIfTrue="1" operator="greaterThan">
      <formula>0</formula>
    </cfRule>
  </conditionalFormatting>
  <conditionalFormatting sqref="C103">
    <cfRule type="cellIs" dxfId="6331" priority="1389" stopIfTrue="1" operator="greaterThan">
      <formula>0</formula>
    </cfRule>
  </conditionalFormatting>
  <conditionalFormatting sqref="D111:G111 I111:K111 N111 N113:N114 D113:K114">
    <cfRule type="cellIs" dxfId="6330" priority="1388" stopIfTrue="1" operator="greaterThan">
      <formula>0</formula>
    </cfRule>
  </conditionalFormatting>
  <conditionalFormatting sqref="I111 N111 N113:N114 I113:I114">
    <cfRule type="cellIs" dxfId="6329" priority="1387" operator="equal">
      <formula>"NO"</formula>
    </cfRule>
  </conditionalFormatting>
  <conditionalFormatting sqref="H113:H114 J111 J113:J114">
    <cfRule type="cellIs" dxfId="6328" priority="1386" stopIfTrue="1" operator="lessThan">
      <formula>0</formula>
    </cfRule>
  </conditionalFormatting>
  <conditionalFormatting sqref="H111">
    <cfRule type="cellIs" dxfId="6327" priority="1385" stopIfTrue="1" operator="lessThan">
      <formula>0</formula>
    </cfRule>
  </conditionalFormatting>
  <conditionalFormatting sqref="H111">
    <cfRule type="cellIs" dxfId="6326" priority="1384" stopIfTrue="1" operator="greaterThan">
      <formula>0</formula>
    </cfRule>
  </conditionalFormatting>
  <conditionalFormatting sqref="N112 D112:K112">
    <cfRule type="cellIs" dxfId="6325" priority="1383" stopIfTrue="1" operator="greaterThan">
      <formula>0</formula>
    </cfRule>
  </conditionalFormatting>
  <conditionalFormatting sqref="N112 I112">
    <cfRule type="cellIs" dxfId="6324" priority="1382" operator="equal">
      <formula>"NO"</formula>
    </cfRule>
  </conditionalFormatting>
  <conditionalFormatting sqref="H112 J112">
    <cfRule type="cellIs" dxfId="6323" priority="1381" stopIfTrue="1" operator="lessThan">
      <formula>0</formula>
    </cfRule>
  </conditionalFormatting>
  <conditionalFormatting sqref="M111:M114">
    <cfRule type="cellIs" dxfId="6322" priority="1378" stopIfTrue="1" operator="equal">
      <formula>0</formula>
    </cfRule>
    <cfRule type="cellIs" dxfId="6321" priority="1379" stopIfTrue="1" operator="greaterThanOrEqual">
      <formula>#REF!</formula>
    </cfRule>
    <cfRule type="cellIs" dxfId="6320" priority="1380" stopIfTrue="1" operator="between">
      <formula>0</formula>
      <formula>#REF!</formula>
    </cfRule>
  </conditionalFormatting>
  <conditionalFormatting sqref="N115">
    <cfRule type="containsText" dxfId="6319" priority="1374" operator="containsText" text="NO CUMPLE">
      <formula>NOT(ISERROR(SEARCH("NO CUMPLE",N115)))</formula>
    </cfRule>
  </conditionalFormatting>
  <conditionalFormatting sqref="L115">
    <cfRule type="cellIs" dxfId="6318" priority="1375" stopIfTrue="1" operator="equal">
      <formula>0</formula>
    </cfRule>
    <cfRule type="cellIs" dxfId="6317" priority="1376" stopIfTrue="1" operator="greaterThanOrEqual">
      <formula>#REF!</formula>
    </cfRule>
    <cfRule type="cellIs" dxfId="6316" priority="1377" stopIfTrue="1" operator="between">
      <formula>0</formula>
      <formula>#REF!</formula>
    </cfRule>
  </conditionalFormatting>
  <conditionalFormatting sqref="C111 C113:C114">
    <cfRule type="cellIs" dxfId="6315" priority="1373" stopIfTrue="1" operator="greaterThan">
      <formula>0</formula>
    </cfRule>
  </conditionalFormatting>
  <conditionalFormatting sqref="C112">
    <cfRule type="cellIs" dxfId="6314" priority="1372" stopIfTrue="1" operator="greaterThan">
      <formula>0</formula>
    </cfRule>
  </conditionalFormatting>
  <conditionalFormatting sqref="D120:G120 I120:K120 N120 N122:N123 D122:K123">
    <cfRule type="cellIs" dxfId="6313" priority="1371" stopIfTrue="1" operator="greaterThan">
      <formula>0</formula>
    </cfRule>
  </conditionalFormatting>
  <conditionalFormatting sqref="I120 N120 N122:N123 I122:I123">
    <cfRule type="cellIs" dxfId="6312" priority="1370" operator="equal">
      <formula>"NO"</formula>
    </cfRule>
  </conditionalFormatting>
  <conditionalFormatting sqref="H122:H123 J120 J122:J123">
    <cfRule type="cellIs" dxfId="6311" priority="1369" stopIfTrue="1" operator="lessThan">
      <formula>0</formula>
    </cfRule>
  </conditionalFormatting>
  <conditionalFormatting sqref="H120">
    <cfRule type="cellIs" dxfId="6310" priority="1368" stopIfTrue="1" operator="lessThan">
      <formula>0</formula>
    </cfRule>
  </conditionalFormatting>
  <conditionalFormatting sqref="H120">
    <cfRule type="cellIs" dxfId="6309" priority="1367" stopIfTrue="1" operator="greaterThan">
      <formula>0</formula>
    </cfRule>
  </conditionalFormatting>
  <conditionalFormatting sqref="N121 G121:K121">
    <cfRule type="cellIs" dxfId="6308" priority="1366" stopIfTrue="1" operator="greaterThan">
      <formula>0</formula>
    </cfRule>
  </conditionalFormatting>
  <conditionalFormatting sqref="N121 I121">
    <cfRule type="cellIs" dxfId="6307" priority="1365" operator="equal">
      <formula>"NO"</formula>
    </cfRule>
  </conditionalFormatting>
  <conditionalFormatting sqref="H121 J121">
    <cfRule type="cellIs" dxfId="6306" priority="1364" stopIfTrue="1" operator="lessThan">
      <formula>0</formula>
    </cfRule>
  </conditionalFormatting>
  <conditionalFormatting sqref="M120:M123">
    <cfRule type="cellIs" dxfId="6305" priority="1361" stopIfTrue="1" operator="equal">
      <formula>0</formula>
    </cfRule>
    <cfRule type="cellIs" dxfId="6304" priority="1362" stopIfTrue="1" operator="greaterThanOrEqual">
      <formula>#REF!</formula>
    </cfRule>
    <cfRule type="cellIs" dxfId="6303" priority="1363" stopIfTrue="1" operator="between">
      <formula>0</formula>
      <formula>#REF!</formula>
    </cfRule>
  </conditionalFormatting>
  <conditionalFormatting sqref="N124">
    <cfRule type="containsText" dxfId="6302" priority="1357" operator="containsText" text="NO CUMPLE">
      <formula>NOT(ISERROR(SEARCH("NO CUMPLE",N124)))</formula>
    </cfRule>
  </conditionalFormatting>
  <conditionalFormatting sqref="L124">
    <cfRule type="cellIs" dxfId="6301" priority="1358" stopIfTrue="1" operator="equal">
      <formula>0</formula>
    </cfRule>
    <cfRule type="cellIs" dxfId="6300" priority="1359" stopIfTrue="1" operator="greaterThanOrEqual">
      <formula>#REF!</formula>
    </cfRule>
    <cfRule type="cellIs" dxfId="6299" priority="1360" stopIfTrue="1" operator="between">
      <formula>0</formula>
      <formula>#REF!</formula>
    </cfRule>
  </conditionalFormatting>
  <conditionalFormatting sqref="C120 C122:C123">
    <cfRule type="cellIs" dxfId="6298" priority="1356" stopIfTrue="1" operator="greaterThan">
      <formula>0</formula>
    </cfRule>
  </conditionalFormatting>
  <conditionalFormatting sqref="C121">
    <cfRule type="cellIs" dxfId="6297" priority="1355" stopIfTrue="1" operator="greaterThan">
      <formula>0</formula>
    </cfRule>
  </conditionalFormatting>
  <conditionalFormatting sqref="D129:G129 I129:K129 N131:N132 D131:K132">
    <cfRule type="cellIs" dxfId="6296" priority="1354" stopIfTrue="1" operator="greaterThan">
      <formula>0</formula>
    </cfRule>
  </conditionalFormatting>
  <conditionalFormatting sqref="I129 N131:N132 I131:I132">
    <cfRule type="cellIs" dxfId="6295" priority="1353" operator="equal">
      <formula>"NO"</formula>
    </cfRule>
  </conditionalFormatting>
  <conditionalFormatting sqref="H131:H132 J129 J131:J132">
    <cfRule type="cellIs" dxfId="6294" priority="1352" stopIfTrue="1" operator="lessThan">
      <formula>0</formula>
    </cfRule>
  </conditionalFormatting>
  <conditionalFormatting sqref="H129">
    <cfRule type="cellIs" dxfId="6293" priority="1351" stopIfTrue="1" operator="lessThan">
      <formula>0</formula>
    </cfRule>
  </conditionalFormatting>
  <conditionalFormatting sqref="H129">
    <cfRule type="cellIs" dxfId="6292" priority="1350" stopIfTrue="1" operator="greaterThan">
      <formula>0</formula>
    </cfRule>
  </conditionalFormatting>
  <conditionalFormatting sqref="N130 D130:K130">
    <cfRule type="cellIs" dxfId="6291" priority="1349" stopIfTrue="1" operator="greaterThan">
      <formula>0</formula>
    </cfRule>
  </conditionalFormatting>
  <conditionalFormatting sqref="N130 I130">
    <cfRule type="cellIs" dxfId="6290" priority="1348" operator="equal">
      <formula>"NO"</formula>
    </cfRule>
  </conditionalFormatting>
  <conditionalFormatting sqref="H130 J130">
    <cfRule type="cellIs" dxfId="6289" priority="1347" stopIfTrue="1" operator="lessThan">
      <formula>0</formula>
    </cfRule>
  </conditionalFormatting>
  <conditionalFormatting sqref="M129:M132">
    <cfRule type="cellIs" dxfId="6288" priority="1344" stopIfTrue="1" operator="equal">
      <formula>0</formula>
    </cfRule>
    <cfRule type="cellIs" dxfId="6287" priority="1345" stopIfTrue="1" operator="greaterThanOrEqual">
      <formula>#REF!</formula>
    </cfRule>
    <cfRule type="cellIs" dxfId="6286" priority="1346" stopIfTrue="1" operator="between">
      <formula>0</formula>
      <formula>#REF!</formula>
    </cfRule>
  </conditionalFormatting>
  <conditionalFormatting sqref="N133">
    <cfRule type="containsText" dxfId="6285" priority="1340" operator="containsText" text="NO CUMPLE">
      <formula>NOT(ISERROR(SEARCH("NO CUMPLE",N133)))</formula>
    </cfRule>
  </conditionalFormatting>
  <conditionalFormatting sqref="L133">
    <cfRule type="cellIs" dxfId="6284" priority="1341" stopIfTrue="1" operator="equal">
      <formula>0</formula>
    </cfRule>
    <cfRule type="cellIs" dxfId="6283" priority="1342" stopIfTrue="1" operator="greaterThanOrEqual">
      <formula>#REF!</formula>
    </cfRule>
    <cfRule type="cellIs" dxfId="6282" priority="1343" stopIfTrue="1" operator="between">
      <formula>0</formula>
      <formula>#REF!</formula>
    </cfRule>
  </conditionalFormatting>
  <conditionalFormatting sqref="C129 C131:C132">
    <cfRule type="cellIs" dxfId="6281" priority="1339" stopIfTrue="1" operator="greaterThan">
      <formula>0</formula>
    </cfRule>
  </conditionalFormatting>
  <conditionalFormatting sqref="C130">
    <cfRule type="cellIs" dxfId="6280" priority="1338" stopIfTrue="1" operator="greaterThan">
      <formula>0</formula>
    </cfRule>
  </conditionalFormatting>
  <conditionalFormatting sqref="D138:G138 I138:K138 N140:N141 D140:K141">
    <cfRule type="cellIs" dxfId="6279" priority="1337" stopIfTrue="1" operator="greaterThan">
      <formula>0</formula>
    </cfRule>
  </conditionalFormatting>
  <conditionalFormatting sqref="I138 N140:N141 I140:I141">
    <cfRule type="cellIs" dxfId="6278" priority="1336" operator="equal">
      <formula>"NO"</formula>
    </cfRule>
  </conditionalFormatting>
  <conditionalFormatting sqref="H140:H141 J138 J140:J141">
    <cfRule type="cellIs" dxfId="6277" priority="1335" stopIfTrue="1" operator="lessThan">
      <formula>0</formula>
    </cfRule>
  </conditionalFormatting>
  <conditionalFormatting sqref="H138">
    <cfRule type="cellIs" dxfId="6276" priority="1334" stopIfTrue="1" operator="lessThan">
      <formula>0</formula>
    </cfRule>
  </conditionalFormatting>
  <conditionalFormatting sqref="H138">
    <cfRule type="cellIs" dxfId="6275" priority="1333" stopIfTrue="1" operator="greaterThan">
      <formula>0</formula>
    </cfRule>
  </conditionalFormatting>
  <conditionalFormatting sqref="N139 D139:K139">
    <cfRule type="cellIs" dxfId="6274" priority="1332" stopIfTrue="1" operator="greaterThan">
      <formula>0</formula>
    </cfRule>
  </conditionalFormatting>
  <conditionalFormatting sqref="N139 I139">
    <cfRule type="cellIs" dxfId="6273" priority="1331" operator="equal">
      <formula>"NO"</formula>
    </cfRule>
  </conditionalFormatting>
  <conditionalFormatting sqref="H139 J139">
    <cfRule type="cellIs" dxfId="6272" priority="1330" stopIfTrue="1" operator="lessThan">
      <formula>0</formula>
    </cfRule>
  </conditionalFormatting>
  <conditionalFormatting sqref="M138:M141">
    <cfRule type="cellIs" dxfId="6271" priority="1327" stopIfTrue="1" operator="equal">
      <formula>0</formula>
    </cfRule>
    <cfRule type="cellIs" dxfId="6270" priority="1328" stopIfTrue="1" operator="greaterThanOrEqual">
      <formula>#REF!</formula>
    </cfRule>
    <cfRule type="cellIs" dxfId="6269" priority="1329" stopIfTrue="1" operator="between">
      <formula>0</formula>
      <formula>#REF!</formula>
    </cfRule>
  </conditionalFormatting>
  <conditionalFormatting sqref="N142">
    <cfRule type="containsText" dxfId="6268" priority="1323" operator="containsText" text="NO CUMPLE">
      <formula>NOT(ISERROR(SEARCH("NO CUMPLE",N142)))</formula>
    </cfRule>
  </conditionalFormatting>
  <conditionalFormatting sqref="L142">
    <cfRule type="cellIs" dxfId="6267" priority="1324" stopIfTrue="1" operator="equal">
      <formula>0</formula>
    </cfRule>
    <cfRule type="cellIs" dxfId="6266" priority="1325" stopIfTrue="1" operator="greaterThanOrEqual">
      <formula>#REF!</formula>
    </cfRule>
    <cfRule type="cellIs" dxfId="6265" priority="1326" stopIfTrue="1" operator="between">
      <formula>0</formula>
      <formula>#REF!</formula>
    </cfRule>
  </conditionalFormatting>
  <conditionalFormatting sqref="C138 C140:C141">
    <cfRule type="cellIs" dxfId="6264" priority="1322" stopIfTrue="1" operator="greaterThan">
      <formula>0</formula>
    </cfRule>
  </conditionalFormatting>
  <conditionalFormatting sqref="C139">
    <cfRule type="cellIs" dxfId="6263" priority="1321" stopIfTrue="1" operator="greaterThan">
      <formula>0</formula>
    </cfRule>
  </conditionalFormatting>
  <conditionalFormatting sqref="D147:G147 I147:K147 N149:N150 D149:K150">
    <cfRule type="cellIs" dxfId="6262" priority="1320" stopIfTrue="1" operator="greaterThan">
      <formula>0</formula>
    </cfRule>
  </conditionalFormatting>
  <conditionalFormatting sqref="I147 N149:N150 I149:I150">
    <cfRule type="cellIs" dxfId="6261" priority="1319" operator="equal">
      <formula>"NO"</formula>
    </cfRule>
  </conditionalFormatting>
  <conditionalFormatting sqref="H149:H150 J147 J149:J150">
    <cfRule type="cellIs" dxfId="6260" priority="1318" stopIfTrue="1" operator="lessThan">
      <formula>0</formula>
    </cfRule>
  </conditionalFormatting>
  <conditionalFormatting sqref="H147">
    <cfRule type="cellIs" dxfId="6259" priority="1317" stopIfTrue="1" operator="lessThan">
      <formula>0</formula>
    </cfRule>
  </conditionalFormatting>
  <conditionalFormatting sqref="H147">
    <cfRule type="cellIs" dxfId="6258" priority="1316" stopIfTrue="1" operator="greaterThan">
      <formula>0</formula>
    </cfRule>
  </conditionalFormatting>
  <conditionalFormatting sqref="N148 D148:K148">
    <cfRule type="cellIs" dxfId="6257" priority="1315" stopIfTrue="1" operator="greaterThan">
      <formula>0</formula>
    </cfRule>
  </conditionalFormatting>
  <conditionalFormatting sqref="N148 I148">
    <cfRule type="cellIs" dxfId="6256" priority="1314" operator="equal">
      <formula>"NO"</formula>
    </cfRule>
  </conditionalFormatting>
  <conditionalFormatting sqref="H148 J148">
    <cfRule type="cellIs" dxfId="6255" priority="1313" stopIfTrue="1" operator="lessThan">
      <formula>0</formula>
    </cfRule>
  </conditionalFormatting>
  <conditionalFormatting sqref="M147:M150">
    <cfRule type="cellIs" dxfId="6254" priority="1310" stopIfTrue="1" operator="equal">
      <formula>0</formula>
    </cfRule>
    <cfRule type="cellIs" dxfId="6253" priority="1311" stopIfTrue="1" operator="greaterThanOrEqual">
      <formula>#REF!</formula>
    </cfRule>
    <cfRule type="cellIs" dxfId="6252" priority="1312" stopIfTrue="1" operator="between">
      <formula>0</formula>
      <formula>#REF!</formula>
    </cfRule>
  </conditionalFormatting>
  <conditionalFormatting sqref="N151">
    <cfRule type="containsText" dxfId="6251" priority="1306" operator="containsText" text="NO CUMPLE">
      <formula>NOT(ISERROR(SEARCH("NO CUMPLE",N151)))</formula>
    </cfRule>
  </conditionalFormatting>
  <conditionalFormatting sqref="L151">
    <cfRule type="cellIs" dxfId="6250" priority="1307" stopIfTrue="1" operator="equal">
      <formula>0</formula>
    </cfRule>
    <cfRule type="cellIs" dxfId="6249" priority="1308" stopIfTrue="1" operator="greaterThanOrEqual">
      <formula>#REF!</formula>
    </cfRule>
    <cfRule type="cellIs" dxfId="6248" priority="1309" stopIfTrue="1" operator="between">
      <formula>0</formula>
      <formula>#REF!</formula>
    </cfRule>
  </conditionalFormatting>
  <conditionalFormatting sqref="D156:G156 I156:K156 N158:N159 D158:K159">
    <cfRule type="cellIs" dxfId="6247" priority="1305" stopIfTrue="1" operator="greaterThan">
      <formula>0</formula>
    </cfRule>
  </conditionalFormatting>
  <conditionalFormatting sqref="I156 N158:N159 I158:I159">
    <cfRule type="cellIs" dxfId="6246" priority="1304" operator="equal">
      <formula>"NO"</formula>
    </cfRule>
  </conditionalFormatting>
  <conditionalFormatting sqref="H158:H159 J156 J158:J159">
    <cfRule type="cellIs" dxfId="6245" priority="1303" stopIfTrue="1" operator="lessThan">
      <formula>0</formula>
    </cfRule>
  </conditionalFormatting>
  <conditionalFormatting sqref="H156">
    <cfRule type="cellIs" dxfId="6244" priority="1302" stopIfTrue="1" operator="lessThan">
      <formula>0</formula>
    </cfRule>
  </conditionalFormatting>
  <conditionalFormatting sqref="H156">
    <cfRule type="cellIs" dxfId="6243" priority="1301" stopIfTrue="1" operator="greaterThan">
      <formula>0</formula>
    </cfRule>
  </conditionalFormatting>
  <conditionalFormatting sqref="N157 D157:K157">
    <cfRule type="cellIs" dxfId="6242" priority="1300" stopIfTrue="1" operator="greaterThan">
      <formula>0</formula>
    </cfRule>
  </conditionalFormatting>
  <conditionalFormatting sqref="N157 I157">
    <cfRule type="cellIs" dxfId="6241" priority="1299" operator="equal">
      <formula>"NO"</formula>
    </cfRule>
  </conditionalFormatting>
  <conditionalFormatting sqref="H157 J157">
    <cfRule type="cellIs" dxfId="6240" priority="1298" stopIfTrue="1" operator="lessThan">
      <formula>0</formula>
    </cfRule>
  </conditionalFormatting>
  <conditionalFormatting sqref="M156:M159">
    <cfRule type="cellIs" dxfId="6239" priority="1295" stopIfTrue="1" operator="equal">
      <formula>0</formula>
    </cfRule>
    <cfRule type="cellIs" dxfId="6238" priority="1296" stopIfTrue="1" operator="greaterThanOrEqual">
      <formula>#REF!</formula>
    </cfRule>
    <cfRule type="cellIs" dxfId="6237" priority="1297" stopIfTrue="1" operator="between">
      <formula>0</formula>
      <formula>#REF!</formula>
    </cfRule>
  </conditionalFormatting>
  <conditionalFormatting sqref="N160">
    <cfRule type="containsText" dxfId="6236" priority="1291" operator="containsText" text="NO CUMPLE">
      <formula>NOT(ISERROR(SEARCH("NO CUMPLE",N160)))</formula>
    </cfRule>
  </conditionalFormatting>
  <conditionalFormatting sqref="L160">
    <cfRule type="cellIs" dxfId="6235" priority="1292" stopIfTrue="1" operator="equal">
      <formula>0</formula>
    </cfRule>
    <cfRule type="cellIs" dxfId="6234" priority="1293" stopIfTrue="1" operator="greaterThanOrEqual">
      <formula>#REF!</formula>
    </cfRule>
    <cfRule type="cellIs" dxfId="6233" priority="1294" stopIfTrue="1" operator="between">
      <formula>0</formula>
      <formula>#REF!</formula>
    </cfRule>
  </conditionalFormatting>
  <conditionalFormatting sqref="C147 C149:C150">
    <cfRule type="cellIs" dxfId="6232" priority="1290" stopIfTrue="1" operator="greaterThan">
      <formula>0</formula>
    </cfRule>
  </conditionalFormatting>
  <conditionalFormatting sqref="C148">
    <cfRule type="cellIs" dxfId="6231" priority="1289" stopIfTrue="1" operator="greaterThan">
      <formula>0</formula>
    </cfRule>
  </conditionalFormatting>
  <conditionalFormatting sqref="C156 C158:C159">
    <cfRule type="cellIs" dxfId="6230" priority="1288" stopIfTrue="1" operator="greaterThan">
      <formula>0</formula>
    </cfRule>
  </conditionalFormatting>
  <conditionalFormatting sqref="C157">
    <cfRule type="cellIs" dxfId="6229" priority="1287" stopIfTrue="1" operator="greaterThan">
      <formula>0</formula>
    </cfRule>
  </conditionalFormatting>
  <conditionalFormatting sqref="D165:G165 I165:K165 N167:N168 D167:K168">
    <cfRule type="cellIs" dxfId="6228" priority="1286" stopIfTrue="1" operator="greaterThan">
      <formula>0</formula>
    </cfRule>
  </conditionalFormatting>
  <conditionalFormatting sqref="I165 N167:N168 I167:I168">
    <cfRule type="cellIs" dxfId="6227" priority="1285" operator="equal">
      <formula>"NO"</formula>
    </cfRule>
  </conditionalFormatting>
  <conditionalFormatting sqref="H167:H168 J165 J167:J168">
    <cfRule type="cellIs" dxfId="6226" priority="1284" stopIfTrue="1" operator="lessThan">
      <formula>0</formula>
    </cfRule>
  </conditionalFormatting>
  <conditionalFormatting sqref="H165">
    <cfRule type="cellIs" dxfId="6225" priority="1283" stopIfTrue="1" operator="lessThan">
      <formula>0</formula>
    </cfRule>
  </conditionalFormatting>
  <conditionalFormatting sqref="H165">
    <cfRule type="cellIs" dxfId="6224" priority="1282" stopIfTrue="1" operator="greaterThan">
      <formula>0</formula>
    </cfRule>
  </conditionalFormatting>
  <conditionalFormatting sqref="N166 D166:K166">
    <cfRule type="cellIs" dxfId="6223" priority="1281" stopIfTrue="1" operator="greaterThan">
      <formula>0</formula>
    </cfRule>
  </conditionalFormatting>
  <conditionalFormatting sqref="N166 I166">
    <cfRule type="cellIs" dxfId="6222" priority="1280" operator="equal">
      <formula>"NO"</formula>
    </cfRule>
  </conditionalFormatting>
  <conditionalFormatting sqref="H166 J166">
    <cfRule type="cellIs" dxfId="6221" priority="1279" stopIfTrue="1" operator="lessThan">
      <formula>0</formula>
    </cfRule>
  </conditionalFormatting>
  <conditionalFormatting sqref="M165:M168">
    <cfRule type="cellIs" dxfId="6220" priority="1276" stopIfTrue="1" operator="equal">
      <formula>0</formula>
    </cfRule>
    <cfRule type="cellIs" dxfId="6219" priority="1277" stopIfTrue="1" operator="greaterThanOrEqual">
      <formula>#REF!</formula>
    </cfRule>
    <cfRule type="cellIs" dxfId="6218" priority="1278" stopIfTrue="1" operator="between">
      <formula>0</formula>
      <formula>#REF!</formula>
    </cfRule>
  </conditionalFormatting>
  <conditionalFormatting sqref="N169">
    <cfRule type="containsText" dxfId="6217" priority="1272" operator="containsText" text="NO CUMPLE">
      <formula>NOT(ISERROR(SEARCH("NO CUMPLE",N169)))</formula>
    </cfRule>
  </conditionalFormatting>
  <conditionalFormatting sqref="L169">
    <cfRule type="cellIs" dxfId="6216" priority="1273" stopIfTrue="1" operator="equal">
      <formula>0</formula>
    </cfRule>
    <cfRule type="cellIs" dxfId="6215" priority="1274" stopIfTrue="1" operator="greaterThanOrEqual">
      <formula>#REF!</formula>
    </cfRule>
    <cfRule type="cellIs" dxfId="6214" priority="1275" stopIfTrue="1" operator="between">
      <formula>0</formula>
      <formula>#REF!</formula>
    </cfRule>
  </conditionalFormatting>
  <conditionalFormatting sqref="C165 C167:C168">
    <cfRule type="cellIs" dxfId="6213" priority="1271" stopIfTrue="1" operator="greaterThan">
      <formula>0</formula>
    </cfRule>
  </conditionalFormatting>
  <conditionalFormatting sqref="C166">
    <cfRule type="cellIs" dxfId="6212" priority="1270" stopIfTrue="1" operator="greaterThan">
      <formula>0</formula>
    </cfRule>
  </conditionalFormatting>
  <conditionalFormatting sqref="D174:G174 I174:K174 N176:N177 D176:K177">
    <cfRule type="cellIs" dxfId="6211" priority="1269" stopIfTrue="1" operator="greaterThan">
      <formula>0</formula>
    </cfRule>
  </conditionalFormatting>
  <conditionalFormatting sqref="I174 N176:N177 I176:I177">
    <cfRule type="cellIs" dxfId="6210" priority="1268" operator="equal">
      <formula>"NO"</formula>
    </cfRule>
  </conditionalFormatting>
  <conditionalFormatting sqref="H176:H177 J174 J176:J177">
    <cfRule type="cellIs" dxfId="6209" priority="1267" stopIfTrue="1" operator="lessThan">
      <formula>0</formula>
    </cfRule>
  </conditionalFormatting>
  <conditionalFormatting sqref="H174">
    <cfRule type="cellIs" dxfId="6208" priority="1266" stopIfTrue="1" operator="lessThan">
      <formula>0</formula>
    </cfRule>
  </conditionalFormatting>
  <conditionalFormatting sqref="H174">
    <cfRule type="cellIs" dxfId="6207" priority="1265" stopIfTrue="1" operator="greaterThan">
      <formula>0</formula>
    </cfRule>
  </conditionalFormatting>
  <conditionalFormatting sqref="N175 D175:K175">
    <cfRule type="cellIs" dxfId="6206" priority="1264" stopIfTrue="1" operator="greaterThan">
      <formula>0</formula>
    </cfRule>
  </conditionalFormatting>
  <conditionalFormatting sqref="N175 I175">
    <cfRule type="cellIs" dxfId="6205" priority="1263" operator="equal">
      <formula>"NO"</formula>
    </cfRule>
  </conditionalFormatting>
  <conditionalFormatting sqref="H175 J175">
    <cfRule type="cellIs" dxfId="6204" priority="1262" stopIfTrue="1" operator="lessThan">
      <formula>0</formula>
    </cfRule>
  </conditionalFormatting>
  <conditionalFormatting sqref="M174:M177">
    <cfRule type="cellIs" dxfId="6203" priority="1259" stopIfTrue="1" operator="equal">
      <formula>0</formula>
    </cfRule>
    <cfRule type="cellIs" dxfId="6202" priority="1260" stopIfTrue="1" operator="greaterThanOrEqual">
      <formula>#REF!</formula>
    </cfRule>
    <cfRule type="cellIs" dxfId="6201" priority="1261" stopIfTrue="1" operator="between">
      <formula>0</formula>
      <formula>#REF!</formula>
    </cfRule>
  </conditionalFormatting>
  <conditionalFormatting sqref="N178">
    <cfRule type="containsText" dxfId="6200" priority="1255" operator="containsText" text="NO CUMPLE">
      <formula>NOT(ISERROR(SEARCH("NO CUMPLE",N178)))</formula>
    </cfRule>
  </conditionalFormatting>
  <conditionalFormatting sqref="L178">
    <cfRule type="cellIs" dxfId="6199" priority="1256" stopIfTrue="1" operator="equal">
      <formula>0</formula>
    </cfRule>
    <cfRule type="cellIs" dxfId="6198" priority="1257" stopIfTrue="1" operator="greaterThanOrEqual">
      <formula>#REF!</formula>
    </cfRule>
    <cfRule type="cellIs" dxfId="6197" priority="1258" stopIfTrue="1" operator="between">
      <formula>0</formula>
      <formula>#REF!</formula>
    </cfRule>
  </conditionalFormatting>
  <conditionalFormatting sqref="C174 C176:C177">
    <cfRule type="cellIs" dxfId="6196" priority="1254" stopIfTrue="1" operator="greaterThan">
      <formula>0</formula>
    </cfRule>
  </conditionalFormatting>
  <conditionalFormatting sqref="C175">
    <cfRule type="cellIs" dxfId="6195" priority="1253" stopIfTrue="1" operator="greaterThan">
      <formula>0</formula>
    </cfRule>
  </conditionalFormatting>
  <conditionalFormatting sqref="D183:G183 I183:K183 N185:N186 D185:K186">
    <cfRule type="cellIs" dxfId="6194" priority="1252" stopIfTrue="1" operator="greaterThan">
      <formula>0</formula>
    </cfRule>
  </conditionalFormatting>
  <conditionalFormatting sqref="I183 N185:N186 I185:I186">
    <cfRule type="cellIs" dxfId="6193" priority="1251" operator="equal">
      <formula>"NO"</formula>
    </cfRule>
  </conditionalFormatting>
  <conditionalFormatting sqref="H185:H186 J183 J185:J186">
    <cfRule type="cellIs" dxfId="6192" priority="1250" stopIfTrue="1" operator="lessThan">
      <formula>0</formula>
    </cfRule>
  </conditionalFormatting>
  <conditionalFormatting sqref="H183">
    <cfRule type="cellIs" dxfId="6191" priority="1249" stopIfTrue="1" operator="lessThan">
      <formula>0</formula>
    </cfRule>
  </conditionalFormatting>
  <conditionalFormatting sqref="H183">
    <cfRule type="cellIs" dxfId="6190" priority="1248" stopIfTrue="1" operator="greaterThan">
      <formula>0</formula>
    </cfRule>
  </conditionalFormatting>
  <conditionalFormatting sqref="N184 D184:K184">
    <cfRule type="cellIs" dxfId="6189" priority="1247" stopIfTrue="1" operator="greaterThan">
      <formula>0</formula>
    </cfRule>
  </conditionalFormatting>
  <conditionalFormatting sqref="N184 I184">
    <cfRule type="cellIs" dxfId="6188" priority="1246" operator="equal">
      <formula>"NO"</formula>
    </cfRule>
  </conditionalFormatting>
  <conditionalFormatting sqref="H184 J184">
    <cfRule type="cellIs" dxfId="6187" priority="1245" stopIfTrue="1" operator="lessThan">
      <formula>0</formula>
    </cfRule>
  </conditionalFormatting>
  <conditionalFormatting sqref="M183:M186">
    <cfRule type="cellIs" dxfId="6186" priority="1242" stopIfTrue="1" operator="equal">
      <formula>0</formula>
    </cfRule>
    <cfRule type="cellIs" dxfId="6185" priority="1243" stopIfTrue="1" operator="greaterThanOrEqual">
      <formula>#REF!</formula>
    </cfRule>
    <cfRule type="cellIs" dxfId="6184" priority="1244" stopIfTrue="1" operator="between">
      <formula>0</formula>
      <formula>#REF!</formula>
    </cfRule>
  </conditionalFormatting>
  <conditionalFormatting sqref="N187">
    <cfRule type="containsText" dxfId="6183" priority="1238" operator="containsText" text="NO CUMPLE">
      <formula>NOT(ISERROR(SEARCH("NO CUMPLE",N187)))</formula>
    </cfRule>
  </conditionalFormatting>
  <conditionalFormatting sqref="L187">
    <cfRule type="cellIs" dxfId="6182" priority="1239" stopIfTrue="1" operator="equal">
      <formula>0</formula>
    </cfRule>
    <cfRule type="cellIs" dxfId="6181" priority="1240" stopIfTrue="1" operator="greaterThanOrEqual">
      <formula>#REF!</formula>
    </cfRule>
    <cfRule type="cellIs" dxfId="6180" priority="1241" stopIfTrue="1" operator="between">
      <formula>0</formula>
      <formula>#REF!</formula>
    </cfRule>
  </conditionalFormatting>
  <conditionalFormatting sqref="C183 C185:C186">
    <cfRule type="cellIs" dxfId="6179" priority="1237" stopIfTrue="1" operator="greaterThan">
      <formula>0</formula>
    </cfRule>
  </conditionalFormatting>
  <conditionalFormatting sqref="C184">
    <cfRule type="cellIs" dxfId="6178" priority="1236" stopIfTrue="1" operator="greaterThan">
      <formula>0</formula>
    </cfRule>
  </conditionalFormatting>
  <conditionalFormatting sqref="D192:G192 I192:K192 N194:N195 D194:K195">
    <cfRule type="cellIs" dxfId="6177" priority="1235" stopIfTrue="1" operator="greaterThan">
      <formula>0</formula>
    </cfRule>
  </conditionalFormatting>
  <conditionalFormatting sqref="I192 N194:N195 I194:I195">
    <cfRule type="cellIs" dxfId="6176" priority="1234" operator="equal">
      <formula>"NO"</formula>
    </cfRule>
  </conditionalFormatting>
  <conditionalFormatting sqref="H194:H195 J192 J194:J195">
    <cfRule type="cellIs" dxfId="6175" priority="1233" stopIfTrue="1" operator="lessThan">
      <formula>0</formula>
    </cfRule>
  </conditionalFormatting>
  <conditionalFormatting sqref="H192">
    <cfRule type="cellIs" dxfId="6174" priority="1232" stopIfTrue="1" operator="lessThan">
      <formula>0</formula>
    </cfRule>
  </conditionalFormatting>
  <conditionalFormatting sqref="H192">
    <cfRule type="cellIs" dxfId="6173" priority="1231" stopIfTrue="1" operator="greaterThan">
      <formula>0</formula>
    </cfRule>
  </conditionalFormatting>
  <conditionalFormatting sqref="N193 D193:K193">
    <cfRule type="cellIs" dxfId="6172" priority="1230" stopIfTrue="1" operator="greaterThan">
      <formula>0</formula>
    </cfRule>
  </conditionalFormatting>
  <conditionalFormatting sqref="N193 I193">
    <cfRule type="cellIs" dxfId="6171" priority="1229" operator="equal">
      <formula>"NO"</formula>
    </cfRule>
  </conditionalFormatting>
  <conditionalFormatting sqref="H193 J193">
    <cfRule type="cellIs" dxfId="6170" priority="1228" stopIfTrue="1" operator="lessThan">
      <formula>0</formula>
    </cfRule>
  </conditionalFormatting>
  <conditionalFormatting sqref="M192:M195">
    <cfRule type="cellIs" dxfId="6169" priority="1225" stopIfTrue="1" operator="equal">
      <formula>0</formula>
    </cfRule>
    <cfRule type="cellIs" dxfId="6168" priority="1226" stopIfTrue="1" operator="greaterThanOrEqual">
      <formula>#REF!</formula>
    </cfRule>
    <cfRule type="cellIs" dxfId="6167" priority="1227" stopIfTrue="1" operator="between">
      <formula>0</formula>
      <formula>#REF!</formula>
    </cfRule>
  </conditionalFormatting>
  <conditionalFormatting sqref="N196">
    <cfRule type="containsText" dxfId="6166" priority="1221" operator="containsText" text="NO CUMPLE">
      <formula>NOT(ISERROR(SEARCH("NO CUMPLE",N196)))</formula>
    </cfRule>
  </conditionalFormatting>
  <conditionalFormatting sqref="L196">
    <cfRule type="cellIs" dxfId="6165" priority="1222" stopIfTrue="1" operator="equal">
      <formula>0</formula>
    </cfRule>
    <cfRule type="cellIs" dxfId="6164" priority="1223" stopIfTrue="1" operator="greaterThanOrEqual">
      <formula>#REF!</formula>
    </cfRule>
    <cfRule type="cellIs" dxfId="6163" priority="1224" stopIfTrue="1" operator="between">
      <formula>0</formula>
      <formula>#REF!</formula>
    </cfRule>
  </conditionalFormatting>
  <conditionalFormatting sqref="C192">
    <cfRule type="cellIs" dxfId="6162" priority="1220" stopIfTrue="1" operator="greaterThan">
      <formula>0</formula>
    </cfRule>
  </conditionalFormatting>
  <conditionalFormatting sqref="C193">
    <cfRule type="cellIs" dxfId="6161" priority="1219" stopIfTrue="1" operator="greaterThan">
      <formula>0</formula>
    </cfRule>
  </conditionalFormatting>
  <conditionalFormatting sqref="C194:C195">
    <cfRule type="cellIs" dxfId="6160" priority="1218" stopIfTrue="1" operator="greaterThan">
      <formula>0</formula>
    </cfRule>
  </conditionalFormatting>
  <conditionalFormatting sqref="D201:G201 I201:K201 N203:N204 D203:K204">
    <cfRule type="cellIs" dxfId="6159" priority="1217" stopIfTrue="1" operator="greaterThan">
      <formula>0</formula>
    </cfRule>
  </conditionalFormatting>
  <conditionalFormatting sqref="I201 N203:N204 I203:I204">
    <cfRule type="cellIs" dxfId="6158" priority="1216" operator="equal">
      <formula>"NO"</formula>
    </cfRule>
  </conditionalFormatting>
  <conditionalFormatting sqref="H203:H204 J201 J203:J204">
    <cfRule type="cellIs" dxfId="6157" priority="1215" stopIfTrue="1" operator="lessThan">
      <formula>0</formula>
    </cfRule>
  </conditionalFormatting>
  <conditionalFormatting sqref="H201">
    <cfRule type="cellIs" dxfId="6156" priority="1214" stopIfTrue="1" operator="lessThan">
      <formula>0</formula>
    </cfRule>
  </conditionalFormatting>
  <conditionalFormatting sqref="H201">
    <cfRule type="cellIs" dxfId="6155" priority="1213" stopIfTrue="1" operator="greaterThan">
      <formula>0</formula>
    </cfRule>
  </conditionalFormatting>
  <conditionalFormatting sqref="N202 D202:K202">
    <cfRule type="cellIs" dxfId="6154" priority="1212" stopIfTrue="1" operator="greaterThan">
      <formula>0</formula>
    </cfRule>
  </conditionalFormatting>
  <conditionalFormatting sqref="N202 I202">
    <cfRule type="cellIs" dxfId="6153" priority="1211" operator="equal">
      <formula>"NO"</formula>
    </cfRule>
  </conditionalFormatting>
  <conditionalFormatting sqref="H202 J202">
    <cfRule type="cellIs" dxfId="6152" priority="1210" stopIfTrue="1" operator="lessThan">
      <formula>0</formula>
    </cfRule>
  </conditionalFormatting>
  <conditionalFormatting sqref="M201:M204">
    <cfRule type="cellIs" dxfId="6151" priority="1207" stopIfTrue="1" operator="equal">
      <formula>0</formula>
    </cfRule>
    <cfRule type="cellIs" dxfId="6150" priority="1208" stopIfTrue="1" operator="greaterThanOrEqual">
      <formula>#REF!</formula>
    </cfRule>
    <cfRule type="cellIs" dxfId="6149" priority="1209" stopIfTrue="1" operator="between">
      <formula>0</formula>
      <formula>#REF!</formula>
    </cfRule>
  </conditionalFormatting>
  <conditionalFormatting sqref="N205">
    <cfRule type="containsText" dxfId="6148" priority="1203" operator="containsText" text="NO CUMPLE">
      <formula>NOT(ISERROR(SEARCH("NO CUMPLE",N205)))</formula>
    </cfRule>
  </conditionalFormatting>
  <conditionalFormatting sqref="L205">
    <cfRule type="cellIs" dxfId="6147" priority="1204" stopIfTrue="1" operator="equal">
      <formula>0</formula>
    </cfRule>
    <cfRule type="cellIs" dxfId="6146" priority="1205" stopIfTrue="1" operator="greaterThanOrEqual">
      <formula>#REF!</formula>
    </cfRule>
    <cfRule type="cellIs" dxfId="6145" priority="1206" stopIfTrue="1" operator="between">
      <formula>0</formula>
      <formula>#REF!</formula>
    </cfRule>
  </conditionalFormatting>
  <conditionalFormatting sqref="C201 C203:C204">
    <cfRule type="cellIs" dxfId="6144" priority="1202" stopIfTrue="1" operator="greaterThan">
      <formula>0</formula>
    </cfRule>
  </conditionalFormatting>
  <conditionalFormatting sqref="C202">
    <cfRule type="cellIs" dxfId="6143" priority="1201" stopIfTrue="1" operator="greaterThan">
      <formula>0</formula>
    </cfRule>
  </conditionalFormatting>
  <conditionalFormatting sqref="D210:G210 I210:K210 N212:N213 D212:K213">
    <cfRule type="cellIs" dxfId="6142" priority="1200" stopIfTrue="1" operator="greaterThan">
      <formula>0</formula>
    </cfRule>
  </conditionalFormatting>
  <conditionalFormatting sqref="I210 N212:N213 I212:I213">
    <cfRule type="cellIs" dxfId="6141" priority="1199" operator="equal">
      <formula>"NO"</formula>
    </cfRule>
  </conditionalFormatting>
  <conditionalFormatting sqref="H212:H213 J210 J212:J213">
    <cfRule type="cellIs" dxfId="6140" priority="1198" stopIfTrue="1" operator="lessThan">
      <formula>0</formula>
    </cfRule>
  </conditionalFormatting>
  <conditionalFormatting sqref="H210">
    <cfRule type="cellIs" dxfId="6139" priority="1197" stopIfTrue="1" operator="lessThan">
      <formula>0</formula>
    </cfRule>
  </conditionalFormatting>
  <conditionalFormatting sqref="H210">
    <cfRule type="cellIs" dxfId="6138" priority="1196" stopIfTrue="1" operator="greaterThan">
      <formula>0</formula>
    </cfRule>
  </conditionalFormatting>
  <conditionalFormatting sqref="N211 D211:K211">
    <cfRule type="cellIs" dxfId="6137" priority="1195" stopIfTrue="1" operator="greaterThan">
      <formula>0</formula>
    </cfRule>
  </conditionalFormatting>
  <conditionalFormatting sqref="N211 I211">
    <cfRule type="cellIs" dxfId="6136" priority="1194" operator="equal">
      <formula>"NO"</formula>
    </cfRule>
  </conditionalFormatting>
  <conditionalFormatting sqref="H211 J211">
    <cfRule type="cellIs" dxfId="6135" priority="1193" stopIfTrue="1" operator="lessThan">
      <formula>0</formula>
    </cfRule>
  </conditionalFormatting>
  <conditionalFormatting sqref="M210:M213">
    <cfRule type="cellIs" dxfId="6134" priority="1190" stopIfTrue="1" operator="equal">
      <formula>0</formula>
    </cfRule>
    <cfRule type="cellIs" dxfId="6133" priority="1191" stopIfTrue="1" operator="greaterThanOrEqual">
      <formula>#REF!</formula>
    </cfRule>
    <cfRule type="cellIs" dxfId="6132" priority="1192" stopIfTrue="1" operator="between">
      <formula>0</formula>
      <formula>#REF!</formula>
    </cfRule>
  </conditionalFormatting>
  <conditionalFormatting sqref="N214">
    <cfRule type="containsText" dxfId="6131" priority="1186" operator="containsText" text="NO CUMPLE">
      <formula>NOT(ISERROR(SEARCH("NO CUMPLE",N214)))</formula>
    </cfRule>
  </conditionalFormatting>
  <conditionalFormatting sqref="L214">
    <cfRule type="cellIs" dxfId="6130" priority="1187" stopIfTrue="1" operator="equal">
      <formula>0</formula>
    </cfRule>
    <cfRule type="cellIs" dxfId="6129" priority="1188" stopIfTrue="1" operator="greaterThanOrEqual">
      <formula>#REF!</formula>
    </cfRule>
    <cfRule type="cellIs" dxfId="6128" priority="1189" stopIfTrue="1" operator="between">
      <formula>0</formula>
      <formula>#REF!</formula>
    </cfRule>
  </conditionalFormatting>
  <conditionalFormatting sqref="C210 C212:C213">
    <cfRule type="cellIs" dxfId="6127" priority="1185" stopIfTrue="1" operator="greaterThan">
      <formula>0</formula>
    </cfRule>
  </conditionalFormatting>
  <conditionalFormatting sqref="C211">
    <cfRule type="cellIs" dxfId="6126" priority="1184" stopIfTrue="1" operator="greaterThan">
      <formula>0</formula>
    </cfRule>
  </conditionalFormatting>
  <conditionalFormatting sqref="D219:G219 I219:K219 N221:N222 D221:K222">
    <cfRule type="cellIs" dxfId="6125" priority="1183" stopIfTrue="1" operator="greaterThan">
      <formula>0</formula>
    </cfRule>
  </conditionalFormatting>
  <conditionalFormatting sqref="I219 N221:N222 I221:I222">
    <cfRule type="cellIs" dxfId="6124" priority="1182" operator="equal">
      <formula>"NO"</formula>
    </cfRule>
  </conditionalFormatting>
  <conditionalFormatting sqref="H221:H222 J219 J221:J222">
    <cfRule type="cellIs" dxfId="6123" priority="1181" stopIfTrue="1" operator="lessThan">
      <formula>0</formula>
    </cfRule>
  </conditionalFormatting>
  <conditionalFormatting sqref="H219">
    <cfRule type="cellIs" dxfId="6122" priority="1180" stopIfTrue="1" operator="lessThan">
      <formula>0</formula>
    </cfRule>
  </conditionalFormatting>
  <conditionalFormatting sqref="H219">
    <cfRule type="cellIs" dxfId="6121" priority="1179" stopIfTrue="1" operator="greaterThan">
      <formula>0</formula>
    </cfRule>
  </conditionalFormatting>
  <conditionalFormatting sqref="N220 D220:K220">
    <cfRule type="cellIs" dxfId="6120" priority="1178" stopIfTrue="1" operator="greaterThan">
      <formula>0</formula>
    </cfRule>
  </conditionalFormatting>
  <conditionalFormatting sqref="N220 I220">
    <cfRule type="cellIs" dxfId="6119" priority="1177" operator="equal">
      <formula>"NO"</formula>
    </cfRule>
  </conditionalFormatting>
  <conditionalFormatting sqref="H220 J220">
    <cfRule type="cellIs" dxfId="6118" priority="1176" stopIfTrue="1" operator="lessThan">
      <formula>0</formula>
    </cfRule>
  </conditionalFormatting>
  <conditionalFormatting sqref="M219:M222">
    <cfRule type="cellIs" dxfId="6117" priority="1173" stopIfTrue="1" operator="equal">
      <formula>0</formula>
    </cfRule>
    <cfRule type="cellIs" dxfId="6116" priority="1174" stopIfTrue="1" operator="greaterThanOrEqual">
      <formula>#REF!</formula>
    </cfRule>
    <cfRule type="cellIs" dxfId="6115" priority="1175" stopIfTrue="1" operator="between">
      <formula>0</formula>
      <formula>#REF!</formula>
    </cfRule>
  </conditionalFormatting>
  <conditionalFormatting sqref="N223">
    <cfRule type="containsText" dxfId="6114" priority="1169" operator="containsText" text="NO CUMPLE">
      <formula>NOT(ISERROR(SEARCH("NO CUMPLE",N223)))</formula>
    </cfRule>
  </conditionalFormatting>
  <conditionalFormatting sqref="L223">
    <cfRule type="cellIs" dxfId="6113" priority="1170" stopIfTrue="1" operator="equal">
      <formula>0</formula>
    </cfRule>
    <cfRule type="cellIs" dxfId="6112" priority="1171" stopIfTrue="1" operator="greaterThanOrEqual">
      <formula>#REF!</formula>
    </cfRule>
    <cfRule type="cellIs" dxfId="6111" priority="1172" stopIfTrue="1" operator="between">
      <formula>0</formula>
      <formula>#REF!</formula>
    </cfRule>
  </conditionalFormatting>
  <conditionalFormatting sqref="C219 C221:C222">
    <cfRule type="cellIs" dxfId="6110" priority="1168" stopIfTrue="1" operator="greaterThan">
      <formula>0</formula>
    </cfRule>
  </conditionalFormatting>
  <conditionalFormatting sqref="C220">
    <cfRule type="cellIs" dxfId="6109" priority="1167" stopIfTrue="1" operator="greaterThan">
      <formula>0</formula>
    </cfRule>
  </conditionalFormatting>
  <conditionalFormatting sqref="D228:G228 I228:K228 N230:N231 D230:K231">
    <cfRule type="cellIs" dxfId="6108" priority="1166" stopIfTrue="1" operator="greaterThan">
      <formula>0</formula>
    </cfRule>
  </conditionalFormatting>
  <conditionalFormatting sqref="I228 N230:N231 I230:I231">
    <cfRule type="cellIs" dxfId="6107" priority="1165" operator="equal">
      <formula>"NO"</formula>
    </cfRule>
  </conditionalFormatting>
  <conditionalFormatting sqref="H230:H231 J228 J230:J231">
    <cfRule type="cellIs" dxfId="6106" priority="1164" stopIfTrue="1" operator="lessThan">
      <formula>0</formula>
    </cfRule>
  </conditionalFormatting>
  <conditionalFormatting sqref="H228">
    <cfRule type="cellIs" dxfId="6105" priority="1163" stopIfTrue="1" operator="lessThan">
      <formula>0</formula>
    </cfRule>
  </conditionalFormatting>
  <conditionalFormatting sqref="H228">
    <cfRule type="cellIs" dxfId="6104" priority="1162" stopIfTrue="1" operator="greaterThan">
      <formula>0</formula>
    </cfRule>
  </conditionalFormatting>
  <conditionalFormatting sqref="N229 D229:K229">
    <cfRule type="cellIs" dxfId="6103" priority="1161" stopIfTrue="1" operator="greaterThan">
      <formula>0</formula>
    </cfRule>
  </conditionalFormatting>
  <conditionalFormatting sqref="N229 I229">
    <cfRule type="cellIs" dxfId="6102" priority="1160" operator="equal">
      <formula>"NO"</formula>
    </cfRule>
  </conditionalFormatting>
  <conditionalFormatting sqref="H229 J229">
    <cfRule type="cellIs" dxfId="6101" priority="1159" stopIfTrue="1" operator="lessThan">
      <formula>0</formula>
    </cfRule>
  </conditionalFormatting>
  <conditionalFormatting sqref="M228:M231">
    <cfRule type="cellIs" dxfId="6100" priority="1156" stopIfTrue="1" operator="equal">
      <formula>0</formula>
    </cfRule>
    <cfRule type="cellIs" dxfId="6099" priority="1157" stopIfTrue="1" operator="greaterThanOrEqual">
      <formula>#REF!</formula>
    </cfRule>
    <cfRule type="cellIs" dxfId="6098" priority="1158" stopIfTrue="1" operator="between">
      <formula>0</formula>
      <formula>#REF!</formula>
    </cfRule>
  </conditionalFormatting>
  <conditionalFormatting sqref="N232">
    <cfRule type="containsText" dxfId="6097" priority="1152" operator="containsText" text="NO CUMPLE">
      <formula>NOT(ISERROR(SEARCH("NO CUMPLE",N232)))</formula>
    </cfRule>
  </conditionalFormatting>
  <conditionalFormatting sqref="L232">
    <cfRule type="cellIs" dxfId="6096" priority="1153" stopIfTrue="1" operator="equal">
      <formula>0</formula>
    </cfRule>
    <cfRule type="cellIs" dxfId="6095" priority="1154" stopIfTrue="1" operator="greaterThanOrEqual">
      <formula>#REF!</formula>
    </cfRule>
    <cfRule type="cellIs" dxfId="6094" priority="1155" stopIfTrue="1" operator="between">
      <formula>0</formula>
      <formula>#REF!</formula>
    </cfRule>
  </conditionalFormatting>
  <conditionalFormatting sqref="C228 C230:C231">
    <cfRule type="cellIs" dxfId="6093" priority="1151" stopIfTrue="1" operator="greaterThan">
      <formula>0</formula>
    </cfRule>
  </conditionalFormatting>
  <conditionalFormatting sqref="C229">
    <cfRule type="cellIs" dxfId="6092" priority="1150" stopIfTrue="1" operator="greaterThan">
      <formula>0</formula>
    </cfRule>
  </conditionalFormatting>
  <conditionalFormatting sqref="D237:G237 I237:K237 N239:N240 D239:K240">
    <cfRule type="cellIs" dxfId="6091" priority="1149" stopIfTrue="1" operator="greaterThan">
      <formula>0</formula>
    </cfRule>
  </conditionalFormatting>
  <conditionalFormatting sqref="I237 N239:N240 I239:I240">
    <cfRule type="cellIs" dxfId="6090" priority="1148" operator="equal">
      <formula>"NO"</formula>
    </cfRule>
  </conditionalFormatting>
  <conditionalFormatting sqref="H239:H240 J237 J239:J240">
    <cfRule type="cellIs" dxfId="6089" priority="1147" stopIfTrue="1" operator="lessThan">
      <formula>0</formula>
    </cfRule>
  </conditionalFormatting>
  <conditionalFormatting sqref="H237">
    <cfRule type="cellIs" dxfId="6088" priority="1146" stopIfTrue="1" operator="lessThan">
      <formula>0</formula>
    </cfRule>
  </conditionalFormatting>
  <conditionalFormatting sqref="H237">
    <cfRule type="cellIs" dxfId="6087" priority="1145" stopIfTrue="1" operator="greaterThan">
      <formula>0</formula>
    </cfRule>
  </conditionalFormatting>
  <conditionalFormatting sqref="N238 D238:K238">
    <cfRule type="cellIs" dxfId="6086" priority="1144" stopIfTrue="1" operator="greaterThan">
      <formula>0</formula>
    </cfRule>
  </conditionalFormatting>
  <conditionalFormatting sqref="N238 I238">
    <cfRule type="cellIs" dxfId="6085" priority="1143" operator="equal">
      <formula>"NO"</formula>
    </cfRule>
  </conditionalFormatting>
  <conditionalFormatting sqref="H238 J238">
    <cfRule type="cellIs" dxfId="6084" priority="1142" stopIfTrue="1" operator="lessThan">
      <formula>0</formula>
    </cfRule>
  </conditionalFormatting>
  <conditionalFormatting sqref="M237:M240">
    <cfRule type="cellIs" dxfId="6083" priority="1139" stopIfTrue="1" operator="equal">
      <formula>0</formula>
    </cfRule>
    <cfRule type="cellIs" dxfId="6082" priority="1140" stopIfTrue="1" operator="greaterThanOrEqual">
      <formula>#REF!</formula>
    </cfRule>
    <cfRule type="cellIs" dxfId="6081" priority="1141" stopIfTrue="1" operator="between">
      <formula>0</formula>
      <formula>#REF!</formula>
    </cfRule>
  </conditionalFormatting>
  <conditionalFormatting sqref="N241">
    <cfRule type="containsText" dxfId="6080" priority="1135" operator="containsText" text="NO CUMPLE">
      <formula>NOT(ISERROR(SEARCH("NO CUMPLE",N241)))</formula>
    </cfRule>
  </conditionalFormatting>
  <conditionalFormatting sqref="L241">
    <cfRule type="cellIs" dxfId="6079" priority="1136" stopIfTrue="1" operator="equal">
      <formula>0</formula>
    </cfRule>
    <cfRule type="cellIs" dxfId="6078" priority="1137" stopIfTrue="1" operator="greaterThanOrEqual">
      <formula>#REF!</formula>
    </cfRule>
    <cfRule type="cellIs" dxfId="6077" priority="1138" stopIfTrue="1" operator="between">
      <formula>0</formula>
      <formula>#REF!</formula>
    </cfRule>
  </conditionalFormatting>
  <conditionalFormatting sqref="C237 C239:C240">
    <cfRule type="cellIs" dxfId="6076" priority="1134" stopIfTrue="1" operator="greaterThan">
      <formula>0</formula>
    </cfRule>
  </conditionalFormatting>
  <conditionalFormatting sqref="C238">
    <cfRule type="cellIs" dxfId="6075" priority="1133" stopIfTrue="1" operator="greaterThan">
      <formula>0</formula>
    </cfRule>
  </conditionalFormatting>
  <conditionalFormatting sqref="D246:G246 I246:K246 N246 N248:N249 D248:K249">
    <cfRule type="cellIs" dxfId="6074" priority="1132" stopIfTrue="1" operator="greaterThan">
      <formula>0</formula>
    </cfRule>
  </conditionalFormatting>
  <conditionalFormatting sqref="I246 N246 N248:N249 I248:I249">
    <cfRule type="cellIs" dxfId="6073" priority="1131" operator="equal">
      <formula>"NO"</formula>
    </cfRule>
  </conditionalFormatting>
  <conditionalFormatting sqref="H248:H249 J246 J248:J249">
    <cfRule type="cellIs" dxfId="6072" priority="1130" stopIfTrue="1" operator="lessThan">
      <formula>0</formula>
    </cfRule>
  </conditionalFormatting>
  <conditionalFormatting sqref="H246">
    <cfRule type="cellIs" dxfId="6071" priority="1129" stopIfTrue="1" operator="lessThan">
      <formula>0</formula>
    </cfRule>
  </conditionalFormatting>
  <conditionalFormatting sqref="H246">
    <cfRule type="cellIs" dxfId="6070" priority="1128" stopIfTrue="1" operator="greaterThan">
      <formula>0</formula>
    </cfRule>
  </conditionalFormatting>
  <conditionalFormatting sqref="N247 D247:K247">
    <cfRule type="cellIs" dxfId="6069" priority="1127" stopIfTrue="1" operator="greaterThan">
      <formula>0</formula>
    </cfRule>
  </conditionalFormatting>
  <conditionalFormatting sqref="N247 I247">
    <cfRule type="cellIs" dxfId="6068" priority="1126" operator="equal">
      <formula>"NO"</formula>
    </cfRule>
  </conditionalFormatting>
  <conditionalFormatting sqref="H247 J247">
    <cfRule type="cellIs" dxfId="6067" priority="1125" stopIfTrue="1" operator="lessThan">
      <formula>0</formula>
    </cfRule>
  </conditionalFormatting>
  <conditionalFormatting sqref="M246:M249">
    <cfRule type="cellIs" dxfId="6066" priority="1122" stopIfTrue="1" operator="equal">
      <formula>0</formula>
    </cfRule>
    <cfRule type="cellIs" dxfId="6065" priority="1123" stopIfTrue="1" operator="greaterThanOrEqual">
      <formula>#REF!</formula>
    </cfRule>
    <cfRule type="cellIs" dxfId="6064" priority="1124" stopIfTrue="1" operator="between">
      <formula>0</formula>
      <formula>#REF!</formula>
    </cfRule>
  </conditionalFormatting>
  <conditionalFormatting sqref="N250">
    <cfRule type="containsText" dxfId="6063" priority="1118" operator="containsText" text="NO CUMPLE">
      <formula>NOT(ISERROR(SEARCH("NO CUMPLE",N250)))</formula>
    </cfRule>
  </conditionalFormatting>
  <conditionalFormatting sqref="L250">
    <cfRule type="cellIs" dxfId="6062" priority="1119" stopIfTrue="1" operator="equal">
      <formula>0</formula>
    </cfRule>
    <cfRule type="cellIs" dxfId="6061" priority="1120" stopIfTrue="1" operator="greaterThanOrEqual">
      <formula>#REF!</formula>
    </cfRule>
    <cfRule type="cellIs" dxfId="6060" priority="1121" stopIfTrue="1" operator="between">
      <formula>0</formula>
      <formula>#REF!</formula>
    </cfRule>
  </conditionalFormatting>
  <conditionalFormatting sqref="C246 C248:C249">
    <cfRule type="cellIs" dxfId="6059" priority="1117" stopIfTrue="1" operator="greaterThan">
      <formula>0</formula>
    </cfRule>
  </conditionalFormatting>
  <conditionalFormatting sqref="C247">
    <cfRule type="cellIs" dxfId="6058" priority="1116" stopIfTrue="1" operator="greaterThan">
      <formula>0</formula>
    </cfRule>
  </conditionalFormatting>
  <conditionalFormatting sqref="D255:G255 I255:K255 N255 N257:N258 D257:K258">
    <cfRule type="cellIs" dxfId="6057" priority="1115" stopIfTrue="1" operator="greaterThan">
      <formula>0</formula>
    </cfRule>
  </conditionalFormatting>
  <conditionalFormatting sqref="I255 N255 N257:N258 I257:I258">
    <cfRule type="cellIs" dxfId="6056" priority="1114" operator="equal">
      <formula>"NO"</formula>
    </cfRule>
  </conditionalFormatting>
  <conditionalFormatting sqref="H257:H258 J255 J257:J258">
    <cfRule type="cellIs" dxfId="6055" priority="1113" stopIfTrue="1" operator="lessThan">
      <formula>0</formula>
    </cfRule>
  </conditionalFormatting>
  <conditionalFormatting sqref="H255">
    <cfRule type="cellIs" dxfId="6054" priority="1112" stopIfTrue="1" operator="lessThan">
      <formula>0</formula>
    </cfRule>
  </conditionalFormatting>
  <conditionalFormatting sqref="H255">
    <cfRule type="cellIs" dxfId="6053" priority="1111" stopIfTrue="1" operator="greaterThan">
      <formula>0</formula>
    </cfRule>
  </conditionalFormatting>
  <conditionalFormatting sqref="N256 D256:K256">
    <cfRule type="cellIs" dxfId="6052" priority="1110" stopIfTrue="1" operator="greaterThan">
      <formula>0</formula>
    </cfRule>
  </conditionalFormatting>
  <conditionalFormatting sqref="N256 I256">
    <cfRule type="cellIs" dxfId="6051" priority="1109" operator="equal">
      <formula>"NO"</formula>
    </cfRule>
  </conditionalFormatting>
  <conditionalFormatting sqref="H256 J256">
    <cfRule type="cellIs" dxfId="6050" priority="1108" stopIfTrue="1" operator="lessThan">
      <formula>0</formula>
    </cfRule>
  </conditionalFormatting>
  <conditionalFormatting sqref="M255:M258">
    <cfRule type="cellIs" dxfId="6049" priority="1105" stopIfTrue="1" operator="equal">
      <formula>0</formula>
    </cfRule>
    <cfRule type="cellIs" dxfId="6048" priority="1106" stopIfTrue="1" operator="greaterThanOrEqual">
      <formula>#REF!</formula>
    </cfRule>
    <cfRule type="cellIs" dxfId="6047" priority="1107" stopIfTrue="1" operator="between">
      <formula>0</formula>
      <formula>#REF!</formula>
    </cfRule>
  </conditionalFormatting>
  <conditionalFormatting sqref="N259">
    <cfRule type="containsText" dxfId="6046" priority="1101" operator="containsText" text="NO CUMPLE">
      <formula>NOT(ISERROR(SEARCH("NO CUMPLE",N259)))</formula>
    </cfRule>
  </conditionalFormatting>
  <conditionalFormatting sqref="L259">
    <cfRule type="cellIs" dxfId="6045" priority="1102" stopIfTrue="1" operator="equal">
      <formula>0</formula>
    </cfRule>
    <cfRule type="cellIs" dxfId="6044" priority="1103" stopIfTrue="1" operator="greaterThanOrEqual">
      <formula>#REF!</formula>
    </cfRule>
    <cfRule type="cellIs" dxfId="6043" priority="1104" stopIfTrue="1" operator="between">
      <formula>0</formula>
      <formula>#REF!</formula>
    </cfRule>
  </conditionalFormatting>
  <conditionalFormatting sqref="C255 C257:C258">
    <cfRule type="cellIs" dxfId="6042" priority="1100" stopIfTrue="1" operator="greaterThan">
      <formula>0</formula>
    </cfRule>
  </conditionalFormatting>
  <conditionalFormatting sqref="C256">
    <cfRule type="cellIs" dxfId="6041" priority="1099" stopIfTrue="1" operator="greaterThan">
      <formula>0</formula>
    </cfRule>
  </conditionalFormatting>
  <conditionalFormatting sqref="D264:G264 I264:K264 N266:N267 D266:K267">
    <cfRule type="cellIs" dxfId="6040" priority="1098" stopIfTrue="1" operator="greaterThan">
      <formula>0</formula>
    </cfRule>
  </conditionalFormatting>
  <conditionalFormatting sqref="I264 N266:N267 I266:I267">
    <cfRule type="cellIs" dxfId="6039" priority="1097" operator="equal">
      <formula>"NO"</formula>
    </cfRule>
  </conditionalFormatting>
  <conditionalFormatting sqref="H266:H267 J264 J266:J267">
    <cfRule type="cellIs" dxfId="6038" priority="1096" stopIfTrue="1" operator="lessThan">
      <formula>0</formula>
    </cfRule>
  </conditionalFormatting>
  <conditionalFormatting sqref="H264">
    <cfRule type="cellIs" dxfId="6037" priority="1095" stopIfTrue="1" operator="lessThan">
      <formula>0</formula>
    </cfRule>
  </conditionalFormatting>
  <conditionalFormatting sqref="H264">
    <cfRule type="cellIs" dxfId="6036" priority="1094" stopIfTrue="1" operator="greaterThan">
      <formula>0</formula>
    </cfRule>
  </conditionalFormatting>
  <conditionalFormatting sqref="N265 D265:K265">
    <cfRule type="cellIs" dxfId="6035" priority="1093" stopIfTrue="1" operator="greaterThan">
      <formula>0</formula>
    </cfRule>
  </conditionalFormatting>
  <conditionalFormatting sqref="N265 I265">
    <cfRule type="cellIs" dxfId="6034" priority="1092" operator="equal">
      <formula>"NO"</formula>
    </cfRule>
  </conditionalFormatting>
  <conditionalFormatting sqref="H265 J265">
    <cfRule type="cellIs" dxfId="6033" priority="1091" stopIfTrue="1" operator="lessThan">
      <formula>0</formula>
    </cfRule>
  </conditionalFormatting>
  <conditionalFormatting sqref="M264:M267">
    <cfRule type="cellIs" dxfId="6032" priority="1088" stopIfTrue="1" operator="equal">
      <formula>0</formula>
    </cfRule>
    <cfRule type="cellIs" dxfId="6031" priority="1089" stopIfTrue="1" operator="greaterThanOrEqual">
      <formula>#REF!</formula>
    </cfRule>
    <cfRule type="cellIs" dxfId="6030" priority="1090" stopIfTrue="1" operator="between">
      <formula>0</formula>
      <formula>#REF!</formula>
    </cfRule>
  </conditionalFormatting>
  <conditionalFormatting sqref="N268">
    <cfRule type="containsText" dxfId="6029" priority="1084" operator="containsText" text="NO CUMPLE">
      <formula>NOT(ISERROR(SEARCH("NO CUMPLE",N268)))</formula>
    </cfRule>
  </conditionalFormatting>
  <conditionalFormatting sqref="L268">
    <cfRule type="cellIs" dxfId="6028" priority="1085" stopIfTrue="1" operator="equal">
      <formula>0</formula>
    </cfRule>
    <cfRule type="cellIs" dxfId="6027" priority="1086" stopIfTrue="1" operator="greaterThanOrEqual">
      <formula>#REF!</formula>
    </cfRule>
    <cfRule type="cellIs" dxfId="6026" priority="1087" stopIfTrue="1" operator="between">
      <formula>0</formula>
      <formula>#REF!</formula>
    </cfRule>
  </conditionalFormatting>
  <conditionalFormatting sqref="C264 C266:C267">
    <cfRule type="cellIs" dxfId="6025" priority="1083" stopIfTrue="1" operator="greaterThan">
      <formula>0</formula>
    </cfRule>
  </conditionalFormatting>
  <conditionalFormatting sqref="C265">
    <cfRule type="cellIs" dxfId="6024" priority="1082" stopIfTrue="1" operator="greaterThan">
      <formula>0</formula>
    </cfRule>
  </conditionalFormatting>
  <conditionalFormatting sqref="D273:G273 I273:K273 N275:N276 D275:K276">
    <cfRule type="cellIs" dxfId="6023" priority="1081" stopIfTrue="1" operator="greaterThan">
      <formula>0</formula>
    </cfRule>
  </conditionalFormatting>
  <conditionalFormatting sqref="I273 N275:N276 I275:I276">
    <cfRule type="cellIs" dxfId="6022" priority="1080" operator="equal">
      <formula>"NO"</formula>
    </cfRule>
  </conditionalFormatting>
  <conditionalFormatting sqref="H275:H276 J273 J275:J276">
    <cfRule type="cellIs" dxfId="6021" priority="1079" stopIfTrue="1" operator="lessThan">
      <formula>0</formula>
    </cfRule>
  </conditionalFormatting>
  <conditionalFormatting sqref="H273">
    <cfRule type="cellIs" dxfId="6020" priority="1078" stopIfTrue="1" operator="lessThan">
      <formula>0</formula>
    </cfRule>
  </conditionalFormatting>
  <conditionalFormatting sqref="H273">
    <cfRule type="cellIs" dxfId="6019" priority="1077" stopIfTrue="1" operator="greaterThan">
      <formula>0</formula>
    </cfRule>
  </conditionalFormatting>
  <conditionalFormatting sqref="N274 D274:K274">
    <cfRule type="cellIs" dxfId="6018" priority="1076" stopIfTrue="1" operator="greaterThan">
      <formula>0</formula>
    </cfRule>
  </conditionalFormatting>
  <conditionalFormatting sqref="N274 I274">
    <cfRule type="cellIs" dxfId="6017" priority="1075" operator="equal">
      <formula>"NO"</formula>
    </cfRule>
  </conditionalFormatting>
  <conditionalFormatting sqref="H274 J274">
    <cfRule type="cellIs" dxfId="6016" priority="1074" stopIfTrue="1" operator="lessThan">
      <formula>0</formula>
    </cfRule>
  </conditionalFormatting>
  <conditionalFormatting sqref="M273:M276">
    <cfRule type="cellIs" dxfId="6015" priority="1071" stopIfTrue="1" operator="equal">
      <formula>0</formula>
    </cfRule>
    <cfRule type="cellIs" dxfId="6014" priority="1072" stopIfTrue="1" operator="greaterThanOrEqual">
      <formula>#REF!</formula>
    </cfRule>
    <cfRule type="cellIs" dxfId="6013" priority="1073" stopIfTrue="1" operator="between">
      <formula>0</formula>
      <formula>#REF!</formula>
    </cfRule>
  </conditionalFormatting>
  <conditionalFormatting sqref="N277">
    <cfRule type="containsText" dxfId="6012" priority="1067" operator="containsText" text="NO CUMPLE">
      <formula>NOT(ISERROR(SEARCH("NO CUMPLE",N277)))</formula>
    </cfRule>
  </conditionalFormatting>
  <conditionalFormatting sqref="L277">
    <cfRule type="cellIs" dxfId="6011" priority="1068" stopIfTrue="1" operator="equal">
      <formula>0</formula>
    </cfRule>
    <cfRule type="cellIs" dxfId="6010" priority="1069" stopIfTrue="1" operator="greaterThanOrEqual">
      <formula>#REF!</formula>
    </cfRule>
    <cfRule type="cellIs" dxfId="6009" priority="1070" stopIfTrue="1" operator="between">
      <formula>0</formula>
      <formula>#REF!</formula>
    </cfRule>
  </conditionalFormatting>
  <conditionalFormatting sqref="C273 C275:C276">
    <cfRule type="cellIs" dxfId="6008" priority="1066" stopIfTrue="1" operator="greaterThan">
      <formula>0</formula>
    </cfRule>
  </conditionalFormatting>
  <conditionalFormatting sqref="C274">
    <cfRule type="cellIs" dxfId="6007" priority="1065" stopIfTrue="1" operator="greaterThan">
      <formula>0</formula>
    </cfRule>
  </conditionalFormatting>
  <conditionalFormatting sqref="D282:G282 I282:K282 N284:N285 D284:K285">
    <cfRule type="cellIs" dxfId="6006" priority="1064" stopIfTrue="1" operator="greaterThan">
      <formula>0</formula>
    </cfRule>
  </conditionalFormatting>
  <conditionalFormatting sqref="I282 N284:N285 I284:I285">
    <cfRule type="cellIs" dxfId="6005" priority="1063" operator="equal">
      <formula>"NO"</formula>
    </cfRule>
  </conditionalFormatting>
  <conditionalFormatting sqref="H284:H285 J282 J284:J285">
    <cfRule type="cellIs" dxfId="6004" priority="1062" stopIfTrue="1" operator="lessThan">
      <formula>0</formula>
    </cfRule>
  </conditionalFormatting>
  <conditionalFormatting sqref="H282">
    <cfRule type="cellIs" dxfId="6003" priority="1061" stopIfTrue="1" operator="lessThan">
      <formula>0</formula>
    </cfRule>
  </conditionalFormatting>
  <conditionalFormatting sqref="H282">
    <cfRule type="cellIs" dxfId="6002" priority="1060" stopIfTrue="1" operator="greaterThan">
      <formula>0</formula>
    </cfRule>
  </conditionalFormatting>
  <conditionalFormatting sqref="N283 D283:K283">
    <cfRule type="cellIs" dxfId="6001" priority="1059" stopIfTrue="1" operator="greaterThan">
      <formula>0</formula>
    </cfRule>
  </conditionalFormatting>
  <conditionalFormatting sqref="N283 I283">
    <cfRule type="cellIs" dxfId="6000" priority="1058" operator="equal">
      <formula>"NO"</formula>
    </cfRule>
  </conditionalFormatting>
  <conditionalFormatting sqref="H283 J283">
    <cfRule type="cellIs" dxfId="5999" priority="1057" stopIfTrue="1" operator="lessThan">
      <formula>0</formula>
    </cfRule>
  </conditionalFormatting>
  <conditionalFormatting sqref="M282:M285">
    <cfRule type="cellIs" dxfId="5998" priority="1054" stopIfTrue="1" operator="equal">
      <formula>0</formula>
    </cfRule>
    <cfRule type="cellIs" dxfId="5997" priority="1055" stopIfTrue="1" operator="greaterThanOrEqual">
      <formula>#REF!</formula>
    </cfRule>
    <cfRule type="cellIs" dxfId="5996" priority="1056" stopIfTrue="1" operator="between">
      <formula>0</formula>
      <formula>#REF!</formula>
    </cfRule>
  </conditionalFormatting>
  <conditionalFormatting sqref="N286">
    <cfRule type="containsText" dxfId="5995" priority="1050" operator="containsText" text="NO CUMPLE">
      <formula>NOT(ISERROR(SEARCH("NO CUMPLE",N286)))</formula>
    </cfRule>
  </conditionalFormatting>
  <conditionalFormatting sqref="L286">
    <cfRule type="cellIs" dxfId="5994" priority="1051" stopIfTrue="1" operator="equal">
      <formula>0</formula>
    </cfRule>
    <cfRule type="cellIs" dxfId="5993" priority="1052" stopIfTrue="1" operator="greaterThanOrEqual">
      <formula>#REF!</formula>
    </cfRule>
    <cfRule type="cellIs" dxfId="5992" priority="1053" stopIfTrue="1" operator="between">
      <formula>0</formula>
      <formula>#REF!</formula>
    </cfRule>
  </conditionalFormatting>
  <conditionalFormatting sqref="C282 C284:C285">
    <cfRule type="cellIs" dxfId="5991" priority="1049" stopIfTrue="1" operator="greaterThan">
      <formula>0</formula>
    </cfRule>
  </conditionalFormatting>
  <conditionalFormatting sqref="C283">
    <cfRule type="cellIs" dxfId="5990" priority="1048" stopIfTrue="1" operator="greaterThan">
      <formula>0</formula>
    </cfRule>
  </conditionalFormatting>
  <conditionalFormatting sqref="D291:G291 I291:K291 N293:N294 D293:K294">
    <cfRule type="cellIs" dxfId="5989" priority="1047" stopIfTrue="1" operator="greaterThan">
      <formula>0</formula>
    </cfRule>
  </conditionalFormatting>
  <conditionalFormatting sqref="I291 N293:N294 I293:I294">
    <cfRule type="cellIs" dxfId="5988" priority="1046" operator="equal">
      <formula>"NO"</formula>
    </cfRule>
  </conditionalFormatting>
  <conditionalFormatting sqref="H293:H294 J291 J293:J294">
    <cfRule type="cellIs" dxfId="5987" priority="1045" stopIfTrue="1" operator="lessThan">
      <formula>0</formula>
    </cfRule>
  </conditionalFormatting>
  <conditionalFormatting sqref="H291">
    <cfRule type="cellIs" dxfId="5986" priority="1044" stopIfTrue="1" operator="lessThan">
      <formula>0</formula>
    </cfRule>
  </conditionalFormatting>
  <conditionalFormatting sqref="H291">
    <cfRule type="cellIs" dxfId="5985" priority="1043" stopIfTrue="1" operator="greaterThan">
      <formula>0</formula>
    </cfRule>
  </conditionalFormatting>
  <conditionalFormatting sqref="N292 D292:K292">
    <cfRule type="cellIs" dxfId="5984" priority="1042" stopIfTrue="1" operator="greaterThan">
      <formula>0</formula>
    </cfRule>
  </conditionalFormatting>
  <conditionalFormatting sqref="N292 I292">
    <cfRule type="cellIs" dxfId="5983" priority="1041" operator="equal">
      <formula>"NO"</formula>
    </cfRule>
  </conditionalFormatting>
  <conditionalFormatting sqref="H292 J292">
    <cfRule type="cellIs" dxfId="5982" priority="1040" stopIfTrue="1" operator="lessThan">
      <formula>0</formula>
    </cfRule>
  </conditionalFormatting>
  <conditionalFormatting sqref="M291:M294">
    <cfRule type="cellIs" dxfId="5981" priority="1037" stopIfTrue="1" operator="equal">
      <formula>0</formula>
    </cfRule>
    <cfRule type="cellIs" dxfId="5980" priority="1038" stopIfTrue="1" operator="greaterThanOrEqual">
      <formula>#REF!</formula>
    </cfRule>
    <cfRule type="cellIs" dxfId="5979" priority="1039" stopIfTrue="1" operator="between">
      <formula>0</formula>
      <formula>#REF!</formula>
    </cfRule>
  </conditionalFormatting>
  <conditionalFormatting sqref="N295">
    <cfRule type="containsText" dxfId="5978" priority="1033" operator="containsText" text="NO CUMPLE">
      <formula>NOT(ISERROR(SEARCH("NO CUMPLE",N295)))</formula>
    </cfRule>
  </conditionalFormatting>
  <conditionalFormatting sqref="L295">
    <cfRule type="cellIs" dxfId="5977" priority="1034" stopIfTrue="1" operator="equal">
      <formula>0</formula>
    </cfRule>
    <cfRule type="cellIs" dxfId="5976" priority="1035" stopIfTrue="1" operator="greaterThanOrEqual">
      <formula>#REF!</formula>
    </cfRule>
    <cfRule type="cellIs" dxfId="5975" priority="1036" stopIfTrue="1" operator="between">
      <formula>0</formula>
      <formula>#REF!</formula>
    </cfRule>
  </conditionalFormatting>
  <conditionalFormatting sqref="C291 C293:C294">
    <cfRule type="cellIs" dxfId="5974" priority="1032" stopIfTrue="1" operator="greaterThan">
      <formula>0</formula>
    </cfRule>
  </conditionalFormatting>
  <conditionalFormatting sqref="C292">
    <cfRule type="cellIs" dxfId="5973" priority="1031" stopIfTrue="1" operator="greaterThan">
      <formula>0</formula>
    </cfRule>
  </conditionalFormatting>
  <conditionalFormatting sqref="D300:G300 I300:K300 N302:N303 D302:K303">
    <cfRule type="cellIs" dxfId="5972" priority="1030" stopIfTrue="1" operator="greaterThan">
      <formula>0</formula>
    </cfRule>
  </conditionalFormatting>
  <conditionalFormatting sqref="I300 N302:N303 I302:I303">
    <cfRule type="cellIs" dxfId="5971" priority="1029" operator="equal">
      <formula>"NO"</formula>
    </cfRule>
  </conditionalFormatting>
  <conditionalFormatting sqref="H302:H303 J300 J302:J303">
    <cfRule type="cellIs" dxfId="5970" priority="1028" stopIfTrue="1" operator="lessThan">
      <formula>0</formula>
    </cfRule>
  </conditionalFormatting>
  <conditionalFormatting sqref="H300">
    <cfRule type="cellIs" dxfId="5969" priority="1027" stopIfTrue="1" operator="lessThan">
      <formula>0</formula>
    </cfRule>
  </conditionalFormatting>
  <conditionalFormatting sqref="H300">
    <cfRule type="cellIs" dxfId="5968" priority="1026" stopIfTrue="1" operator="greaterThan">
      <formula>0</formula>
    </cfRule>
  </conditionalFormatting>
  <conditionalFormatting sqref="N301 D301:K301">
    <cfRule type="cellIs" dxfId="5967" priority="1025" stopIfTrue="1" operator="greaterThan">
      <formula>0</formula>
    </cfRule>
  </conditionalFormatting>
  <conditionalFormatting sqref="N301 I301">
    <cfRule type="cellIs" dxfId="5966" priority="1024" operator="equal">
      <formula>"NO"</formula>
    </cfRule>
  </conditionalFormatting>
  <conditionalFormatting sqref="H301 J301">
    <cfRule type="cellIs" dxfId="5965" priority="1023" stopIfTrue="1" operator="lessThan">
      <formula>0</formula>
    </cfRule>
  </conditionalFormatting>
  <conditionalFormatting sqref="M300:M303">
    <cfRule type="cellIs" dxfId="5964" priority="1020" stopIfTrue="1" operator="equal">
      <formula>0</formula>
    </cfRule>
    <cfRule type="cellIs" dxfId="5963" priority="1021" stopIfTrue="1" operator="greaterThanOrEqual">
      <formula>#REF!</formula>
    </cfRule>
    <cfRule type="cellIs" dxfId="5962" priority="1022" stopIfTrue="1" operator="between">
      <formula>0</formula>
      <formula>#REF!</formula>
    </cfRule>
  </conditionalFormatting>
  <conditionalFormatting sqref="N304">
    <cfRule type="containsText" dxfId="5961" priority="1016" operator="containsText" text="NO CUMPLE">
      <formula>NOT(ISERROR(SEARCH("NO CUMPLE",N304)))</formula>
    </cfRule>
  </conditionalFormatting>
  <conditionalFormatting sqref="L304">
    <cfRule type="cellIs" dxfId="5960" priority="1017" stopIfTrue="1" operator="equal">
      <formula>0</formula>
    </cfRule>
    <cfRule type="cellIs" dxfId="5959" priority="1018" stopIfTrue="1" operator="greaterThanOrEqual">
      <formula>#REF!</formula>
    </cfRule>
    <cfRule type="cellIs" dxfId="5958" priority="1019" stopIfTrue="1" operator="between">
      <formula>0</formula>
      <formula>#REF!</formula>
    </cfRule>
  </conditionalFormatting>
  <conditionalFormatting sqref="C300 C302:C303">
    <cfRule type="cellIs" dxfId="5957" priority="1015" stopIfTrue="1" operator="greaterThan">
      <formula>0</formula>
    </cfRule>
  </conditionalFormatting>
  <conditionalFormatting sqref="C301">
    <cfRule type="cellIs" dxfId="5956" priority="1014" stopIfTrue="1" operator="greaterThan">
      <formula>0</formula>
    </cfRule>
  </conditionalFormatting>
  <conditionalFormatting sqref="D309:G309 I309:K309 N309 N311:N312 D311:K312">
    <cfRule type="cellIs" dxfId="5955" priority="1013" stopIfTrue="1" operator="greaterThan">
      <formula>0</formula>
    </cfRule>
  </conditionalFormatting>
  <conditionalFormatting sqref="I309 N309 N311:N312 I311:I312">
    <cfRule type="cellIs" dxfId="5954" priority="1012" operator="equal">
      <formula>"NO"</formula>
    </cfRule>
  </conditionalFormatting>
  <conditionalFormatting sqref="H311:H312 J309 J311:J312">
    <cfRule type="cellIs" dxfId="5953" priority="1011" stopIfTrue="1" operator="lessThan">
      <formula>0</formula>
    </cfRule>
  </conditionalFormatting>
  <conditionalFormatting sqref="H309">
    <cfRule type="cellIs" dxfId="5952" priority="1010" stopIfTrue="1" operator="lessThan">
      <formula>0</formula>
    </cfRule>
  </conditionalFormatting>
  <conditionalFormatting sqref="H309">
    <cfRule type="cellIs" dxfId="5951" priority="1009" stopIfTrue="1" operator="greaterThan">
      <formula>0</formula>
    </cfRule>
  </conditionalFormatting>
  <conditionalFormatting sqref="N310 D310:K310">
    <cfRule type="cellIs" dxfId="5950" priority="1008" stopIfTrue="1" operator="greaterThan">
      <formula>0</formula>
    </cfRule>
  </conditionalFormatting>
  <conditionalFormatting sqref="N310 I310">
    <cfRule type="cellIs" dxfId="5949" priority="1007" operator="equal">
      <formula>"NO"</formula>
    </cfRule>
  </conditionalFormatting>
  <conditionalFormatting sqref="H310 J310">
    <cfRule type="cellIs" dxfId="5948" priority="1006" stopIfTrue="1" operator="lessThan">
      <formula>0</formula>
    </cfRule>
  </conditionalFormatting>
  <conditionalFormatting sqref="M309:M312">
    <cfRule type="cellIs" dxfId="5947" priority="1003" stopIfTrue="1" operator="equal">
      <formula>0</formula>
    </cfRule>
    <cfRule type="cellIs" dxfId="5946" priority="1004" stopIfTrue="1" operator="greaterThanOrEqual">
      <formula>#REF!</formula>
    </cfRule>
    <cfRule type="cellIs" dxfId="5945" priority="1005" stopIfTrue="1" operator="between">
      <formula>0</formula>
      <formula>#REF!</formula>
    </cfRule>
  </conditionalFormatting>
  <conditionalFormatting sqref="N313">
    <cfRule type="containsText" dxfId="5944" priority="999" operator="containsText" text="NO CUMPLE">
      <formula>NOT(ISERROR(SEARCH("NO CUMPLE",N313)))</formula>
    </cfRule>
  </conditionalFormatting>
  <conditionalFormatting sqref="L313">
    <cfRule type="cellIs" dxfId="5943" priority="1000" stopIfTrue="1" operator="equal">
      <formula>0</formula>
    </cfRule>
    <cfRule type="cellIs" dxfId="5942" priority="1001" stopIfTrue="1" operator="greaterThanOrEqual">
      <formula>#REF!</formula>
    </cfRule>
    <cfRule type="cellIs" dxfId="5941" priority="1002" stopIfTrue="1" operator="between">
      <formula>0</formula>
      <formula>#REF!</formula>
    </cfRule>
  </conditionalFormatting>
  <conditionalFormatting sqref="C309 C311:C312">
    <cfRule type="cellIs" dxfId="5940" priority="998" stopIfTrue="1" operator="greaterThan">
      <formula>0</formula>
    </cfRule>
  </conditionalFormatting>
  <conditionalFormatting sqref="C310">
    <cfRule type="cellIs" dxfId="5939" priority="997" stopIfTrue="1" operator="greaterThan">
      <formula>0</formula>
    </cfRule>
  </conditionalFormatting>
  <conditionalFormatting sqref="D318:F318 I318:K318 N318 N320:N321 D320:K321">
    <cfRule type="cellIs" dxfId="5938" priority="996" stopIfTrue="1" operator="greaterThan">
      <formula>0</formula>
    </cfRule>
  </conditionalFormatting>
  <conditionalFormatting sqref="I318 N318 N320:N321 I320:I321">
    <cfRule type="cellIs" dxfId="5937" priority="995" operator="equal">
      <formula>"NO"</formula>
    </cfRule>
  </conditionalFormatting>
  <conditionalFormatting sqref="H320:H321 J318 J320:J321">
    <cfRule type="cellIs" dxfId="5936" priority="994" stopIfTrue="1" operator="lessThan">
      <formula>0</formula>
    </cfRule>
  </conditionalFormatting>
  <conditionalFormatting sqref="H318">
    <cfRule type="cellIs" dxfId="5935" priority="993" stopIfTrue="1" operator="lessThan">
      <formula>0</formula>
    </cfRule>
  </conditionalFormatting>
  <conditionalFormatting sqref="H318">
    <cfRule type="cellIs" dxfId="5934" priority="992" stopIfTrue="1" operator="greaterThan">
      <formula>0</formula>
    </cfRule>
  </conditionalFormatting>
  <conditionalFormatting sqref="N319 G319:K319">
    <cfRule type="cellIs" dxfId="5933" priority="991" stopIfTrue="1" operator="greaterThan">
      <formula>0</formula>
    </cfRule>
  </conditionalFormatting>
  <conditionalFormatting sqref="N319 I319">
    <cfRule type="cellIs" dxfId="5932" priority="990" operator="equal">
      <formula>"NO"</formula>
    </cfRule>
  </conditionalFormatting>
  <conditionalFormatting sqref="H319 J319">
    <cfRule type="cellIs" dxfId="5931" priority="989" stopIfTrue="1" operator="lessThan">
      <formula>0</formula>
    </cfRule>
  </conditionalFormatting>
  <conditionalFormatting sqref="M318:M321">
    <cfRule type="cellIs" dxfId="5930" priority="986" stopIfTrue="1" operator="equal">
      <formula>0</formula>
    </cfRule>
    <cfRule type="cellIs" dxfId="5929" priority="987" stopIfTrue="1" operator="greaterThanOrEqual">
      <formula>#REF!</formula>
    </cfRule>
    <cfRule type="cellIs" dxfId="5928" priority="988" stopIfTrue="1" operator="between">
      <formula>0</formula>
      <formula>#REF!</formula>
    </cfRule>
  </conditionalFormatting>
  <conditionalFormatting sqref="N322">
    <cfRule type="containsText" dxfId="5927" priority="982" operator="containsText" text="NO CUMPLE">
      <formula>NOT(ISERROR(SEARCH("NO CUMPLE",N322)))</formula>
    </cfRule>
  </conditionalFormatting>
  <conditionalFormatting sqref="L322">
    <cfRule type="cellIs" dxfId="5926" priority="983" stopIfTrue="1" operator="equal">
      <formula>0</formula>
    </cfRule>
    <cfRule type="cellIs" dxfId="5925" priority="984" stopIfTrue="1" operator="greaterThanOrEqual">
      <formula>#REF!</formula>
    </cfRule>
    <cfRule type="cellIs" dxfId="5924" priority="985" stopIfTrue="1" operator="between">
      <formula>0</formula>
      <formula>#REF!</formula>
    </cfRule>
  </conditionalFormatting>
  <conditionalFormatting sqref="C318 C320:C321">
    <cfRule type="cellIs" dxfId="5923" priority="981" stopIfTrue="1" operator="greaterThan">
      <formula>0</formula>
    </cfRule>
  </conditionalFormatting>
  <conditionalFormatting sqref="C319">
    <cfRule type="cellIs" dxfId="5922" priority="980" stopIfTrue="1" operator="greaterThan">
      <formula>0</formula>
    </cfRule>
  </conditionalFormatting>
  <conditionalFormatting sqref="D327:G327 I327:K327 N327 N329:N330 D329:K330">
    <cfRule type="cellIs" dxfId="5921" priority="979" stopIfTrue="1" operator="greaterThan">
      <formula>0</formula>
    </cfRule>
  </conditionalFormatting>
  <conditionalFormatting sqref="I327 N327 N329:N330 I329:I330">
    <cfRule type="cellIs" dxfId="5920" priority="978" operator="equal">
      <formula>"NO"</formula>
    </cfRule>
  </conditionalFormatting>
  <conditionalFormatting sqref="H329:H330 J327 J329:J330">
    <cfRule type="cellIs" dxfId="5919" priority="977" stopIfTrue="1" operator="lessThan">
      <formula>0</formula>
    </cfRule>
  </conditionalFormatting>
  <conditionalFormatting sqref="H327">
    <cfRule type="cellIs" dxfId="5918" priority="976" stopIfTrue="1" operator="lessThan">
      <formula>0</formula>
    </cfRule>
  </conditionalFormatting>
  <conditionalFormatting sqref="H327">
    <cfRule type="cellIs" dxfId="5917" priority="975" stopIfTrue="1" operator="greaterThan">
      <formula>0</formula>
    </cfRule>
  </conditionalFormatting>
  <conditionalFormatting sqref="N328 D328:K328">
    <cfRule type="cellIs" dxfId="5916" priority="974" stopIfTrue="1" operator="greaterThan">
      <formula>0</formula>
    </cfRule>
  </conditionalFormatting>
  <conditionalFormatting sqref="N328 I328">
    <cfRule type="cellIs" dxfId="5915" priority="973" operator="equal">
      <formula>"NO"</formula>
    </cfRule>
  </conditionalFormatting>
  <conditionalFormatting sqref="H328 J328">
    <cfRule type="cellIs" dxfId="5914" priority="972" stopIfTrue="1" operator="lessThan">
      <formula>0</formula>
    </cfRule>
  </conditionalFormatting>
  <conditionalFormatting sqref="M327:M330">
    <cfRule type="cellIs" dxfId="5913" priority="969" stopIfTrue="1" operator="equal">
      <formula>0</formula>
    </cfRule>
    <cfRule type="cellIs" dxfId="5912" priority="970" stopIfTrue="1" operator="greaterThanOrEqual">
      <formula>#REF!</formula>
    </cfRule>
    <cfRule type="cellIs" dxfId="5911" priority="971" stopIfTrue="1" operator="between">
      <formula>0</formula>
      <formula>#REF!</formula>
    </cfRule>
  </conditionalFormatting>
  <conditionalFormatting sqref="N331">
    <cfRule type="containsText" dxfId="5910" priority="965" operator="containsText" text="NO CUMPLE">
      <formula>NOT(ISERROR(SEARCH("NO CUMPLE",N331)))</formula>
    </cfRule>
  </conditionalFormatting>
  <conditionalFormatting sqref="L331">
    <cfRule type="cellIs" dxfId="5909" priority="966" stopIfTrue="1" operator="equal">
      <formula>0</formula>
    </cfRule>
    <cfRule type="cellIs" dxfId="5908" priority="967" stopIfTrue="1" operator="greaterThanOrEqual">
      <formula>#REF!</formula>
    </cfRule>
    <cfRule type="cellIs" dxfId="5907" priority="968" stopIfTrue="1" operator="between">
      <formula>0</formula>
      <formula>#REF!</formula>
    </cfRule>
  </conditionalFormatting>
  <conditionalFormatting sqref="C327 C329:C330">
    <cfRule type="cellIs" dxfId="5906" priority="964" stopIfTrue="1" operator="greaterThan">
      <formula>0</formula>
    </cfRule>
  </conditionalFormatting>
  <conditionalFormatting sqref="C328">
    <cfRule type="cellIs" dxfId="5905" priority="963" stopIfTrue="1" operator="greaterThan">
      <formula>0</formula>
    </cfRule>
  </conditionalFormatting>
  <conditionalFormatting sqref="D336:G336 I336:K336 N336 N338:N339 D338:K339">
    <cfRule type="cellIs" dxfId="5904" priority="962" stopIfTrue="1" operator="greaterThan">
      <formula>0</formula>
    </cfRule>
  </conditionalFormatting>
  <conditionalFormatting sqref="I336 N336 N338:N339 I338:I339">
    <cfRule type="cellIs" dxfId="5903" priority="961" operator="equal">
      <formula>"NO"</formula>
    </cfRule>
  </conditionalFormatting>
  <conditionalFormatting sqref="H338:H339 J336 J338:J339">
    <cfRule type="cellIs" dxfId="5902" priority="960" stopIfTrue="1" operator="lessThan">
      <formula>0</formula>
    </cfRule>
  </conditionalFormatting>
  <conditionalFormatting sqref="H336">
    <cfRule type="cellIs" dxfId="5901" priority="959" stopIfTrue="1" operator="lessThan">
      <formula>0</formula>
    </cfRule>
  </conditionalFormatting>
  <conditionalFormatting sqref="H336">
    <cfRule type="cellIs" dxfId="5900" priority="958" stopIfTrue="1" operator="greaterThan">
      <formula>0</formula>
    </cfRule>
  </conditionalFormatting>
  <conditionalFormatting sqref="N337 D337:K337">
    <cfRule type="cellIs" dxfId="5899" priority="957" stopIfTrue="1" operator="greaterThan">
      <formula>0</formula>
    </cfRule>
  </conditionalFormatting>
  <conditionalFormatting sqref="N337 I337">
    <cfRule type="cellIs" dxfId="5898" priority="956" operator="equal">
      <formula>"NO"</formula>
    </cfRule>
  </conditionalFormatting>
  <conditionalFormatting sqref="H337 J337">
    <cfRule type="cellIs" dxfId="5897" priority="955" stopIfTrue="1" operator="lessThan">
      <formula>0</formula>
    </cfRule>
  </conditionalFormatting>
  <conditionalFormatting sqref="M336:M339">
    <cfRule type="cellIs" dxfId="5896" priority="952" stopIfTrue="1" operator="equal">
      <formula>0</formula>
    </cfRule>
    <cfRule type="cellIs" dxfId="5895" priority="953" stopIfTrue="1" operator="greaterThanOrEqual">
      <formula>#REF!</formula>
    </cfRule>
    <cfRule type="cellIs" dxfId="5894" priority="954" stopIfTrue="1" operator="between">
      <formula>0</formula>
      <formula>#REF!</formula>
    </cfRule>
  </conditionalFormatting>
  <conditionalFormatting sqref="N340">
    <cfRule type="containsText" dxfId="5893" priority="948" operator="containsText" text="NO CUMPLE">
      <formula>NOT(ISERROR(SEARCH("NO CUMPLE",N340)))</formula>
    </cfRule>
  </conditionalFormatting>
  <conditionalFormatting sqref="L340">
    <cfRule type="cellIs" dxfId="5892" priority="949" stopIfTrue="1" operator="equal">
      <formula>0</formula>
    </cfRule>
    <cfRule type="cellIs" dxfId="5891" priority="950" stopIfTrue="1" operator="greaterThanOrEqual">
      <formula>#REF!</formula>
    </cfRule>
    <cfRule type="cellIs" dxfId="5890" priority="951" stopIfTrue="1" operator="between">
      <formula>0</formula>
      <formula>#REF!</formula>
    </cfRule>
  </conditionalFormatting>
  <conditionalFormatting sqref="C336 C338:C339">
    <cfRule type="cellIs" dxfId="5889" priority="947" stopIfTrue="1" operator="greaterThan">
      <formula>0</formula>
    </cfRule>
  </conditionalFormatting>
  <conditionalFormatting sqref="C337">
    <cfRule type="cellIs" dxfId="5888" priority="946" stopIfTrue="1" operator="greaterThan">
      <formula>0</formula>
    </cfRule>
  </conditionalFormatting>
  <conditionalFormatting sqref="D345:G345 I345:K345 N345 N347:N348 D347:K348">
    <cfRule type="cellIs" dxfId="5887" priority="945" stopIfTrue="1" operator="greaterThan">
      <formula>0</formula>
    </cfRule>
  </conditionalFormatting>
  <conditionalFormatting sqref="I345 N345 N347:N348 I347:I348">
    <cfRule type="cellIs" dxfId="5886" priority="944" operator="equal">
      <formula>"NO"</formula>
    </cfRule>
  </conditionalFormatting>
  <conditionalFormatting sqref="H347:H348 J345 J347:J348">
    <cfRule type="cellIs" dxfId="5885" priority="943" stopIfTrue="1" operator="lessThan">
      <formula>0</formula>
    </cfRule>
  </conditionalFormatting>
  <conditionalFormatting sqref="H345">
    <cfRule type="cellIs" dxfId="5884" priority="942" stopIfTrue="1" operator="lessThan">
      <formula>0</formula>
    </cfRule>
  </conditionalFormatting>
  <conditionalFormatting sqref="H345">
    <cfRule type="cellIs" dxfId="5883" priority="941" stopIfTrue="1" operator="greaterThan">
      <formula>0</formula>
    </cfRule>
  </conditionalFormatting>
  <conditionalFormatting sqref="N346 D346:K346">
    <cfRule type="cellIs" dxfId="5882" priority="940" stopIfTrue="1" operator="greaterThan">
      <formula>0</formula>
    </cfRule>
  </conditionalFormatting>
  <conditionalFormatting sqref="N346 I346">
    <cfRule type="cellIs" dxfId="5881" priority="939" operator="equal">
      <formula>"NO"</formula>
    </cfRule>
  </conditionalFormatting>
  <conditionalFormatting sqref="H346 J346">
    <cfRule type="cellIs" dxfId="5880" priority="938" stopIfTrue="1" operator="lessThan">
      <formula>0</formula>
    </cfRule>
  </conditionalFormatting>
  <conditionalFormatting sqref="M345:M348">
    <cfRule type="cellIs" dxfId="5879" priority="935" stopIfTrue="1" operator="equal">
      <formula>0</formula>
    </cfRule>
    <cfRule type="cellIs" dxfId="5878" priority="936" stopIfTrue="1" operator="greaterThanOrEqual">
      <formula>#REF!</formula>
    </cfRule>
    <cfRule type="cellIs" dxfId="5877" priority="937" stopIfTrue="1" operator="between">
      <formula>0</formula>
      <formula>#REF!</formula>
    </cfRule>
  </conditionalFormatting>
  <conditionalFormatting sqref="N349">
    <cfRule type="containsText" dxfId="5876" priority="931" operator="containsText" text="NO CUMPLE">
      <formula>NOT(ISERROR(SEARCH("NO CUMPLE",N349)))</formula>
    </cfRule>
  </conditionalFormatting>
  <conditionalFormatting sqref="L349">
    <cfRule type="cellIs" dxfId="5875" priority="932" stopIfTrue="1" operator="equal">
      <formula>0</formula>
    </cfRule>
    <cfRule type="cellIs" dxfId="5874" priority="933" stopIfTrue="1" operator="greaterThanOrEqual">
      <formula>#REF!</formula>
    </cfRule>
    <cfRule type="cellIs" dxfId="5873" priority="934" stopIfTrue="1" operator="between">
      <formula>0</formula>
      <formula>#REF!</formula>
    </cfRule>
  </conditionalFormatting>
  <conditionalFormatting sqref="C345 C347:C348">
    <cfRule type="cellIs" dxfId="5872" priority="930" stopIfTrue="1" operator="greaterThan">
      <formula>0</formula>
    </cfRule>
  </conditionalFormatting>
  <conditionalFormatting sqref="C346">
    <cfRule type="cellIs" dxfId="5871" priority="929" stopIfTrue="1" operator="greaterThan">
      <formula>0</formula>
    </cfRule>
  </conditionalFormatting>
  <conditionalFormatting sqref="D354:G354 I354:K354 N354 N356:N357 D356:K357">
    <cfRule type="cellIs" dxfId="5870" priority="928" stopIfTrue="1" operator="greaterThan">
      <formula>0</formula>
    </cfRule>
  </conditionalFormatting>
  <conditionalFormatting sqref="I354 N354 N356:N357 I356:I357">
    <cfRule type="cellIs" dxfId="5869" priority="927" operator="equal">
      <formula>"NO"</formula>
    </cfRule>
  </conditionalFormatting>
  <conditionalFormatting sqref="H356:H357 J354 J356:J357">
    <cfRule type="cellIs" dxfId="5868" priority="926" stopIfTrue="1" operator="lessThan">
      <formula>0</formula>
    </cfRule>
  </conditionalFormatting>
  <conditionalFormatting sqref="H354">
    <cfRule type="cellIs" dxfId="5867" priority="925" stopIfTrue="1" operator="lessThan">
      <formula>0</formula>
    </cfRule>
  </conditionalFormatting>
  <conditionalFormatting sqref="H354">
    <cfRule type="cellIs" dxfId="5866" priority="924" stopIfTrue="1" operator="greaterThan">
      <formula>0</formula>
    </cfRule>
  </conditionalFormatting>
  <conditionalFormatting sqref="N355 D355:K355">
    <cfRule type="cellIs" dxfId="5865" priority="923" stopIfTrue="1" operator="greaterThan">
      <formula>0</formula>
    </cfRule>
  </conditionalFormatting>
  <conditionalFormatting sqref="N355 I355">
    <cfRule type="cellIs" dxfId="5864" priority="922" operator="equal">
      <formula>"NO"</formula>
    </cfRule>
  </conditionalFormatting>
  <conditionalFormatting sqref="H355 J355">
    <cfRule type="cellIs" dxfId="5863" priority="921" stopIfTrue="1" operator="lessThan">
      <formula>0</formula>
    </cfRule>
  </conditionalFormatting>
  <conditionalFormatting sqref="M354:M357">
    <cfRule type="cellIs" dxfId="5862" priority="918" stopIfTrue="1" operator="equal">
      <formula>0</formula>
    </cfRule>
    <cfRule type="cellIs" dxfId="5861" priority="919" stopIfTrue="1" operator="greaterThanOrEqual">
      <formula>#REF!</formula>
    </cfRule>
    <cfRule type="cellIs" dxfId="5860" priority="920" stopIfTrue="1" operator="between">
      <formula>0</formula>
      <formula>#REF!</formula>
    </cfRule>
  </conditionalFormatting>
  <conditionalFormatting sqref="N358">
    <cfRule type="containsText" dxfId="5859" priority="914" operator="containsText" text="NO CUMPLE">
      <formula>NOT(ISERROR(SEARCH("NO CUMPLE",N358)))</formula>
    </cfRule>
  </conditionalFormatting>
  <conditionalFormatting sqref="L358">
    <cfRule type="cellIs" dxfId="5858" priority="915" stopIfTrue="1" operator="equal">
      <formula>0</formula>
    </cfRule>
    <cfRule type="cellIs" dxfId="5857" priority="916" stopIfTrue="1" operator="greaterThanOrEqual">
      <formula>#REF!</formula>
    </cfRule>
    <cfRule type="cellIs" dxfId="5856" priority="917" stopIfTrue="1" operator="between">
      <formula>0</formula>
      <formula>#REF!</formula>
    </cfRule>
  </conditionalFormatting>
  <conditionalFormatting sqref="C354 C356:C357">
    <cfRule type="cellIs" dxfId="5855" priority="913" stopIfTrue="1" operator="greaterThan">
      <formula>0</formula>
    </cfRule>
  </conditionalFormatting>
  <conditionalFormatting sqref="C355">
    <cfRule type="cellIs" dxfId="5854" priority="912" stopIfTrue="1" operator="greaterThan">
      <formula>0</formula>
    </cfRule>
  </conditionalFormatting>
  <conditionalFormatting sqref="D363:G363 I363:K363 N363 N365:N366 D365:K366">
    <cfRule type="cellIs" dxfId="5853" priority="911" stopIfTrue="1" operator="greaterThan">
      <formula>0</formula>
    </cfRule>
  </conditionalFormatting>
  <conditionalFormatting sqref="I363 N363 N365:N366 I365:I366">
    <cfRule type="cellIs" dxfId="5852" priority="910" operator="equal">
      <formula>"NO"</formula>
    </cfRule>
  </conditionalFormatting>
  <conditionalFormatting sqref="H365:H366 J363 J365:J366">
    <cfRule type="cellIs" dxfId="5851" priority="909" stopIfTrue="1" operator="lessThan">
      <formula>0</formula>
    </cfRule>
  </conditionalFormatting>
  <conditionalFormatting sqref="H363">
    <cfRule type="cellIs" dxfId="5850" priority="908" stopIfTrue="1" operator="lessThan">
      <formula>0</formula>
    </cfRule>
  </conditionalFormatting>
  <conditionalFormatting sqref="H363">
    <cfRule type="cellIs" dxfId="5849" priority="907" stopIfTrue="1" operator="greaterThan">
      <formula>0</formula>
    </cfRule>
  </conditionalFormatting>
  <conditionalFormatting sqref="N364 D364:K364">
    <cfRule type="cellIs" dxfId="5848" priority="906" stopIfTrue="1" operator="greaterThan">
      <formula>0</formula>
    </cfRule>
  </conditionalFormatting>
  <conditionalFormatting sqref="N364 I364">
    <cfRule type="cellIs" dxfId="5847" priority="905" operator="equal">
      <formula>"NO"</formula>
    </cfRule>
  </conditionalFormatting>
  <conditionalFormatting sqref="H364 J364">
    <cfRule type="cellIs" dxfId="5846" priority="904" stopIfTrue="1" operator="lessThan">
      <formula>0</formula>
    </cfRule>
  </conditionalFormatting>
  <conditionalFormatting sqref="M363:M366">
    <cfRule type="cellIs" dxfId="5845" priority="901" stopIfTrue="1" operator="equal">
      <formula>0</formula>
    </cfRule>
    <cfRule type="cellIs" dxfId="5844" priority="902" stopIfTrue="1" operator="greaterThanOrEqual">
      <formula>#REF!</formula>
    </cfRule>
    <cfRule type="cellIs" dxfId="5843" priority="903" stopIfTrue="1" operator="between">
      <formula>0</formula>
      <formula>#REF!</formula>
    </cfRule>
  </conditionalFormatting>
  <conditionalFormatting sqref="N367">
    <cfRule type="containsText" dxfId="5842" priority="897" operator="containsText" text="NO CUMPLE">
      <formula>NOT(ISERROR(SEARCH("NO CUMPLE",N367)))</formula>
    </cfRule>
  </conditionalFormatting>
  <conditionalFormatting sqref="L367">
    <cfRule type="cellIs" dxfId="5841" priority="898" stopIfTrue="1" operator="equal">
      <formula>0</formula>
    </cfRule>
    <cfRule type="cellIs" dxfId="5840" priority="899" stopIfTrue="1" operator="greaterThanOrEqual">
      <formula>#REF!</formula>
    </cfRule>
    <cfRule type="cellIs" dxfId="5839" priority="900" stopIfTrue="1" operator="between">
      <formula>0</formula>
      <formula>#REF!</formula>
    </cfRule>
  </conditionalFormatting>
  <conditionalFormatting sqref="C363 C365:C366">
    <cfRule type="cellIs" dxfId="5838" priority="896" stopIfTrue="1" operator="greaterThan">
      <formula>0</formula>
    </cfRule>
  </conditionalFormatting>
  <conditionalFormatting sqref="C364">
    <cfRule type="cellIs" dxfId="5837" priority="895" stopIfTrue="1" operator="greaterThan">
      <formula>0</formula>
    </cfRule>
  </conditionalFormatting>
  <conditionalFormatting sqref="D372:G372 I372:K372 N372 N374:N375 D374:K375">
    <cfRule type="cellIs" dxfId="5836" priority="894" stopIfTrue="1" operator="greaterThan">
      <formula>0</formula>
    </cfRule>
  </conditionalFormatting>
  <conditionalFormatting sqref="I372 N372 N374:N375 I374:I375">
    <cfRule type="cellIs" dxfId="5835" priority="893" operator="equal">
      <formula>"NO"</formula>
    </cfRule>
  </conditionalFormatting>
  <conditionalFormatting sqref="H374:H375 J372 J374:J375">
    <cfRule type="cellIs" dxfId="5834" priority="892" stopIfTrue="1" operator="lessThan">
      <formula>0</formula>
    </cfRule>
  </conditionalFormatting>
  <conditionalFormatting sqref="H372">
    <cfRule type="cellIs" dxfId="5833" priority="891" stopIfTrue="1" operator="lessThan">
      <formula>0</formula>
    </cfRule>
  </conditionalFormatting>
  <conditionalFormatting sqref="H372">
    <cfRule type="cellIs" dxfId="5832" priority="890" stopIfTrue="1" operator="greaterThan">
      <formula>0</formula>
    </cfRule>
  </conditionalFormatting>
  <conditionalFormatting sqref="N373 D373:K373">
    <cfRule type="cellIs" dxfId="5831" priority="889" stopIfTrue="1" operator="greaterThan">
      <formula>0</formula>
    </cfRule>
  </conditionalFormatting>
  <conditionalFormatting sqref="N373 I373">
    <cfRule type="cellIs" dxfId="5830" priority="888" operator="equal">
      <formula>"NO"</formula>
    </cfRule>
  </conditionalFormatting>
  <conditionalFormatting sqref="H373 J373">
    <cfRule type="cellIs" dxfId="5829" priority="887" stopIfTrue="1" operator="lessThan">
      <formula>0</formula>
    </cfRule>
  </conditionalFormatting>
  <conditionalFormatting sqref="M372:M375">
    <cfRule type="cellIs" dxfId="5828" priority="884" stopIfTrue="1" operator="equal">
      <formula>0</formula>
    </cfRule>
    <cfRule type="cellIs" dxfId="5827" priority="885" stopIfTrue="1" operator="greaterThanOrEqual">
      <formula>#REF!</formula>
    </cfRule>
    <cfRule type="cellIs" dxfId="5826" priority="886" stopIfTrue="1" operator="between">
      <formula>0</formula>
      <formula>#REF!</formula>
    </cfRule>
  </conditionalFormatting>
  <conditionalFormatting sqref="N376">
    <cfRule type="containsText" dxfId="5825" priority="880" operator="containsText" text="NO CUMPLE">
      <formula>NOT(ISERROR(SEARCH("NO CUMPLE",N376)))</formula>
    </cfRule>
  </conditionalFormatting>
  <conditionalFormatting sqref="L376">
    <cfRule type="cellIs" dxfId="5824" priority="881" stopIfTrue="1" operator="equal">
      <formula>0</formula>
    </cfRule>
    <cfRule type="cellIs" dxfId="5823" priority="882" stopIfTrue="1" operator="greaterThanOrEqual">
      <formula>#REF!</formula>
    </cfRule>
    <cfRule type="cellIs" dxfId="5822" priority="883" stopIfTrue="1" operator="between">
      <formula>0</formula>
      <formula>#REF!</formula>
    </cfRule>
  </conditionalFormatting>
  <conditionalFormatting sqref="C372 C374:C375">
    <cfRule type="cellIs" dxfId="5821" priority="879" stopIfTrue="1" operator="greaterThan">
      <formula>0</formula>
    </cfRule>
  </conditionalFormatting>
  <conditionalFormatting sqref="C373">
    <cfRule type="cellIs" dxfId="5820" priority="878" stopIfTrue="1" operator="greaterThan">
      <formula>0</formula>
    </cfRule>
  </conditionalFormatting>
  <conditionalFormatting sqref="D381:G381 I381:K381 N381 N383:N384 D383:K384">
    <cfRule type="cellIs" dxfId="5819" priority="877" stopIfTrue="1" operator="greaterThan">
      <formula>0</formula>
    </cfRule>
  </conditionalFormatting>
  <conditionalFormatting sqref="I381 N381 N383:N384 I383:I384">
    <cfRule type="cellIs" dxfId="5818" priority="876" operator="equal">
      <formula>"NO"</formula>
    </cfRule>
  </conditionalFormatting>
  <conditionalFormatting sqref="H383:H384 J381 J383:J384">
    <cfRule type="cellIs" dxfId="5817" priority="875" stopIfTrue="1" operator="lessThan">
      <formula>0</formula>
    </cfRule>
  </conditionalFormatting>
  <conditionalFormatting sqref="H381">
    <cfRule type="cellIs" dxfId="5816" priority="874" stopIfTrue="1" operator="lessThan">
      <formula>0</formula>
    </cfRule>
  </conditionalFormatting>
  <conditionalFormatting sqref="H381">
    <cfRule type="cellIs" dxfId="5815" priority="873" stopIfTrue="1" operator="greaterThan">
      <formula>0</formula>
    </cfRule>
  </conditionalFormatting>
  <conditionalFormatting sqref="N382 D382:K382">
    <cfRule type="cellIs" dxfId="5814" priority="872" stopIfTrue="1" operator="greaterThan">
      <formula>0</formula>
    </cfRule>
  </conditionalFormatting>
  <conditionalFormatting sqref="N382 I382">
    <cfRule type="cellIs" dxfId="5813" priority="871" operator="equal">
      <formula>"NO"</formula>
    </cfRule>
  </conditionalFormatting>
  <conditionalFormatting sqref="H382 J382">
    <cfRule type="cellIs" dxfId="5812" priority="870" stopIfTrue="1" operator="lessThan">
      <formula>0</formula>
    </cfRule>
  </conditionalFormatting>
  <conditionalFormatting sqref="M381:M384">
    <cfRule type="cellIs" dxfId="5811" priority="867" stopIfTrue="1" operator="equal">
      <formula>0</formula>
    </cfRule>
    <cfRule type="cellIs" dxfId="5810" priority="868" stopIfTrue="1" operator="greaterThanOrEqual">
      <formula>#REF!</formula>
    </cfRule>
    <cfRule type="cellIs" dxfId="5809" priority="869" stopIfTrue="1" operator="between">
      <formula>0</formula>
      <formula>#REF!</formula>
    </cfRule>
  </conditionalFormatting>
  <conditionalFormatting sqref="N385">
    <cfRule type="containsText" dxfId="5808" priority="863" operator="containsText" text="NO CUMPLE">
      <formula>NOT(ISERROR(SEARCH("NO CUMPLE",N385)))</formula>
    </cfRule>
  </conditionalFormatting>
  <conditionalFormatting sqref="L385">
    <cfRule type="cellIs" dxfId="5807" priority="864" stopIfTrue="1" operator="equal">
      <formula>0</formula>
    </cfRule>
    <cfRule type="cellIs" dxfId="5806" priority="865" stopIfTrue="1" operator="greaterThanOrEqual">
      <formula>#REF!</formula>
    </cfRule>
    <cfRule type="cellIs" dxfId="5805" priority="866" stopIfTrue="1" operator="between">
      <formula>0</formula>
      <formula>#REF!</formula>
    </cfRule>
  </conditionalFormatting>
  <conditionalFormatting sqref="C381 C383:C384">
    <cfRule type="cellIs" dxfId="5804" priority="862" stopIfTrue="1" operator="greaterThan">
      <formula>0</formula>
    </cfRule>
  </conditionalFormatting>
  <conditionalFormatting sqref="C382">
    <cfRule type="cellIs" dxfId="5803" priority="861" stopIfTrue="1" operator="greaterThan">
      <formula>0</formula>
    </cfRule>
  </conditionalFormatting>
  <conditionalFormatting sqref="D390:G390 I390:K390 N390 N392:N393 D392:K393">
    <cfRule type="cellIs" dxfId="5802" priority="860" stopIfTrue="1" operator="greaterThan">
      <formula>0</formula>
    </cfRule>
  </conditionalFormatting>
  <conditionalFormatting sqref="I390 N390 N392:N393 I392:I393">
    <cfRule type="cellIs" dxfId="5801" priority="859" operator="equal">
      <formula>"NO"</formula>
    </cfRule>
  </conditionalFormatting>
  <conditionalFormatting sqref="H392:H393 J390 J392:J393">
    <cfRule type="cellIs" dxfId="5800" priority="858" stopIfTrue="1" operator="lessThan">
      <formula>0</formula>
    </cfRule>
  </conditionalFormatting>
  <conditionalFormatting sqref="H390">
    <cfRule type="cellIs" dxfId="5799" priority="857" stopIfTrue="1" operator="lessThan">
      <formula>0</formula>
    </cfRule>
  </conditionalFormatting>
  <conditionalFormatting sqref="H390">
    <cfRule type="cellIs" dxfId="5798" priority="856" stopIfTrue="1" operator="greaterThan">
      <formula>0</formula>
    </cfRule>
  </conditionalFormatting>
  <conditionalFormatting sqref="N391 D391:K391">
    <cfRule type="cellIs" dxfId="5797" priority="855" stopIfTrue="1" operator="greaterThan">
      <formula>0</formula>
    </cfRule>
  </conditionalFormatting>
  <conditionalFormatting sqref="N391 I391">
    <cfRule type="cellIs" dxfId="5796" priority="854" operator="equal">
      <formula>"NO"</formula>
    </cfRule>
  </conditionalFormatting>
  <conditionalFormatting sqref="H391 J391">
    <cfRule type="cellIs" dxfId="5795" priority="853" stopIfTrue="1" operator="lessThan">
      <formula>0</formula>
    </cfRule>
  </conditionalFormatting>
  <conditionalFormatting sqref="M390:M393">
    <cfRule type="cellIs" dxfId="5794" priority="850" stopIfTrue="1" operator="equal">
      <formula>0</formula>
    </cfRule>
    <cfRule type="cellIs" dxfId="5793" priority="851" stopIfTrue="1" operator="greaterThanOrEqual">
      <formula>#REF!</formula>
    </cfRule>
    <cfRule type="cellIs" dxfId="5792" priority="852" stopIfTrue="1" operator="between">
      <formula>0</formula>
      <formula>#REF!</formula>
    </cfRule>
  </conditionalFormatting>
  <conditionalFormatting sqref="N394">
    <cfRule type="containsText" dxfId="5791" priority="846" operator="containsText" text="NO CUMPLE">
      <formula>NOT(ISERROR(SEARCH("NO CUMPLE",N394)))</formula>
    </cfRule>
  </conditionalFormatting>
  <conditionalFormatting sqref="L394">
    <cfRule type="cellIs" dxfId="5790" priority="847" stopIfTrue="1" operator="equal">
      <formula>0</formula>
    </cfRule>
    <cfRule type="cellIs" dxfId="5789" priority="848" stopIfTrue="1" operator="greaterThanOrEqual">
      <formula>#REF!</formula>
    </cfRule>
    <cfRule type="cellIs" dxfId="5788" priority="849" stopIfTrue="1" operator="between">
      <formula>0</formula>
      <formula>#REF!</formula>
    </cfRule>
  </conditionalFormatting>
  <conditionalFormatting sqref="C390 C392:C393">
    <cfRule type="cellIs" dxfId="5787" priority="845" stopIfTrue="1" operator="greaterThan">
      <formula>0</formula>
    </cfRule>
  </conditionalFormatting>
  <conditionalFormatting sqref="C391">
    <cfRule type="cellIs" dxfId="5786" priority="844" stopIfTrue="1" operator="greaterThan">
      <formula>0</formula>
    </cfRule>
  </conditionalFormatting>
  <conditionalFormatting sqref="D399:G399 I399:K399 N399 N401:N402 D401:K402">
    <cfRule type="cellIs" dxfId="5785" priority="843" stopIfTrue="1" operator="greaterThan">
      <formula>0</formula>
    </cfRule>
  </conditionalFormatting>
  <conditionalFormatting sqref="I399 N399 N401:N402 I401:I402">
    <cfRule type="cellIs" dxfId="5784" priority="842" operator="equal">
      <formula>"NO"</formula>
    </cfRule>
  </conditionalFormatting>
  <conditionalFormatting sqref="H401:H402 J399 J401:J402">
    <cfRule type="cellIs" dxfId="5783" priority="841" stopIfTrue="1" operator="lessThan">
      <formula>0</formula>
    </cfRule>
  </conditionalFormatting>
  <conditionalFormatting sqref="H399">
    <cfRule type="cellIs" dxfId="5782" priority="840" stopIfTrue="1" operator="lessThan">
      <formula>0</formula>
    </cfRule>
  </conditionalFormatting>
  <conditionalFormatting sqref="H399">
    <cfRule type="cellIs" dxfId="5781" priority="839" stopIfTrue="1" operator="greaterThan">
      <formula>0</formula>
    </cfRule>
  </conditionalFormatting>
  <conditionalFormatting sqref="N400 D400:K400">
    <cfRule type="cellIs" dxfId="5780" priority="838" stopIfTrue="1" operator="greaterThan">
      <formula>0</formula>
    </cfRule>
  </conditionalFormatting>
  <conditionalFormatting sqref="N400 I400">
    <cfRule type="cellIs" dxfId="5779" priority="837" operator="equal">
      <formula>"NO"</formula>
    </cfRule>
  </conditionalFormatting>
  <conditionalFormatting sqref="H400 J400">
    <cfRule type="cellIs" dxfId="5778" priority="836" stopIfTrue="1" operator="lessThan">
      <formula>0</formula>
    </cfRule>
  </conditionalFormatting>
  <conditionalFormatting sqref="M399:M402">
    <cfRule type="cellIs" dxfId="5777" priority="833" stopIfTrue="1" operator="equal">
      <formula>0</formula>
    </cfRule>
    <cfRule type="cellIs" dxfId="5776" priority="834" stopIfTrue="1" operator="greaterThanOrEqual">
      <formula>#REF!</formula>
    </cfRule>
    <cfRule type="cellIs" dxfId="5775" priority="835" stopIfTrue="1" operator="between">
      <formula>0</formula>
      <formula>#REF!</formula>
    </cfRule>
  </conditionalFormatting>
  <conditionalFormatting sqref="N403">
    <cfRule type="containsText" dxfId="5774" priority="829" operator="containsText" text="NO CUMPLE">
      <formula>NOT(ISERROR(SEARCH("NO CUMPLE",N403)))</formula>
    </cfRule>
  </conditionalFormatting>
  <conditionalFormatting sqref="L403">
    <cfRule type="cellIs" dxfId="5773" priority="830" stopIfTrue="1" operator="equal">
      <formula>0</formula>
    </cfRule>
    <cfRule type="cellIs" dxfId="5772" priority="831" stopIfTrue="1" operator="greaterThanOrEqual">
      <formula>#REF!</formula>
    </cfRule>
    <cfRule type="cellIs" dxfId="5771" priority="832" stopIfTrue="1" operator="between">
      <formula>0</formula>
      <formula>#REF!</formula>
    </cfRule>
  </conditionalFormatting>
  <conditionalFormatting sqref="C399 C401:C402">
    <cfRule type="cellIs" dxfId="5770" priority="828" stopIfTrue="1" operator="greaterThan">
      <formula>0</formula>
    </cfRule>
  </conditionalFormatting>
  <conditionalFormatting sqref="C400">
    <cfRule type="cellIs" dxfId="5769" priority="827" stopIfTrue="1" operator="greaterThan">
      <formula>0</formula>
    </cfRule>
  </conditionalFormatting>
  <conditionalFormatting sqref="D408:G408 I408:K408 N408 N410:N411 D410:K411">
    <cfRule type="cellIs" dxfId="5768" priority="826" stopIfTrue="1" operator="greaterThan">
      <formula>0</formula>
    </cfRule>
  </conditionalFormatting>
  <conditionalFormatting sqref="I408 N408 N410:N411 I410:I411">
    <cfRule type="cellIs" dxfId="5767" priority="825" operator="equal">
      <formula>"NO"</formula>
    </cfRule>
  </conditionalFormatting>
  <conditionalFormatting sqref="H410:H411 J408 J410:J411">
    <cfRule type="cellIs" dxfId="5766" priority="824" stopIfTrue="1" operator="lessThan">
      <formula>0</formula>
    </cfRule>
  </conditionalFormatting>
  <conditionalFormatting sqref="H408">
    <cfRule type="cellIs" dxfId="5765" priority="823" stopIfTrue="1" operator="lessThan">
      <formula>0</formula>
    </cfRule>
  </conditionalFormatting>
  <conditionalFormatting sqref="H408">
    <cfRule type="cellIs" dxfId="5764" priority="822" stopIfTrue="1" operator="greaterThan">
      <formula>0</formula>
    </cfRule>
  </conditionalFormatting>
  <conditionalFormatting sqref="N409 D409:K409">
    <cfRule type="cellIs" dxfId="5763" priority="821" stopIfTrue="1" operator="greaterThan">
      <formula>0</formula>
    </cfRule>
  </conditionalFormatting>
  <conditionalFormatting sqref="N409 I409">
    <cfRule type="cellIs" dxfId="5762" priority="820" operator="equal">
      <formula>"NO"</formula>
    </cfRule>
  </conditionalFormatting>
  <conditionalFormatting sqref="H409 J409">
    <cfRule type="cellIs" dxfId="5761" priority="819" stopIfTrue="1" operator="lessThan">
      <formula>0</formula>
    </cfRule>
  </conditionalFormatting>
  <conditionalFormatting sqref="M408:M411">
    <cfRule type="cellIs" dxfId="5760" priority="816" stopIfTrue="1" operator="equal">
      <formula>0</formula>
    </cfRule>
    <cfRule type="cellIs" dxfId="5759" priority="817" stopIfTrue="1" operator="greaterThanOrEqual">
      <formula>#REF!</formula>
    </cfRule>
    <cfRule type="cellIs" dxfId="5758" priority="818" stopIfTrue="1" operator="between">
      <formula>0</formula>
      <formula>#REF!</formula>
    </cfRule>
  </conditionalFormatting>
  <conditionalFormatting sqref="N412">
    <cfRule type="containsText" dxfId="5757" priority="812" operator="containsText" text="NO CUMPLE">
      <formula>NOT(ISERROR(SEARCH("NO CUMPLE",N412)))</formula>
    </cfRule>
  </conditionalFormatting>
  <conditionalFormatting sqref="I412">
    <cfRule type="cellIs" dxfId="5756" priority="809" operator="equal">
      <formula>"NA"</formula>
    </cfRule>
    <cfRule type="cellIs" dxfId="5755" priority="810" operator="equal">
      <formula>"SI"</formula>
    </cfRule>
    <cfRule type="cellIs" dxfId="5754" priority="811" operator="equal">
      <formula>"NO"</formula>
    </cfRule>
  </conditionalFormatting>
  <conditionalFormatting sqref="L412">
    <cfRule type="cellIs" dxfId="5753" priority="813" stopIfTrue="1" operator="equal">
      <formula>0</formula>
    </cfRule>
    <cfRule type="cellIs" dxfId="5752" priority="814" stopIfTrue="1" operator="greaterThanOrEqual">
      <formula>#REF!</formula>
    </cfRule>
    <cfRule type="cellIs" dxfId="5751" priority="815" stopIfTrue="1" operator="between">
      <formula>0</formula>
      <formula>#REF!</formula>
    </cfRule>
  </conditionalFormatting>
  <conditionalFormatting sqref="C408 C410:C411">
    <cfRule type="cellIs" dxfId="5750" priority="808" stopIfTrue="1" operator="greaterThan">
      <formula>0</formula>
    </cfRule>
  </conditionalFormatting>
  <conditionalFormatting sqref="C409">
    <cfRule type="cellIs" dxfId="5749" priority="807" stopIfTrue="1" operator="greaterThan">
      <formula>0</formula>
    </cfRule>
  </conditionalFormatting>
  <conditionalFormatting sqref="D417:G417 I417:K417 N417 N419:N420 D419:K420">
    <cfRule type="cellIs" dxfId="5748" priority="806" stopIfTrue="1" operator="greaterThan">
      <formula>0</formula>
    </cfRule>
  </conditionalFormatting>
  <conditionalFormatting sqref="I417 N417 N419:N420 I419:I420">
    <cfRule type="cellIs" dxfId="5747" priority="805" operator="equal">
      <formula>"NO"</formula>
    </cfRule>
  </conditionalFormatting>
  <conditionalFormatting sqref="H419:H420 J417 J419:J420">
    <cfRule type="cellIs" dxfId="5746" priority="804" stopIfTrue="1" operator="lessThan">
      <formula>0</formula>
    </cfRule>
  </conditionalFormatting>
  <conditionalFormatting sqref="H417">
    <cfRule type="cellIs" dxfId="5745" priority="803" stopIfTrue="1" operator="lessThan">
      <formula>0</formula>
    </cfRule>
  </conditionalFormatting>
  <conditionalFormatting sqref="H417">
    <cfRule type="cellIs" dxfId="5744" priority="802" stopIfTrue="1" operator="greaterThan">
      <formula>0</formula>
    </cfRule>
  </conditionalFormatting>
  <conditionalFormatting sqref="N418 D418:K418">
    <cfRule type="cellIs" dxfId="5743" priority="801" stopIfTrue="1" operator="greaterThan">
      <formula>0</formula>
    </cfRule>
  </conditionalFormatting>
  <conditionalFormatting sqref="N418 I418">
    <cfRule type="cellIs" dxfId="5742" priority="800" operator="equal">
      <formula>"NO"</formula>
    </cfRule>
  </conditionalFormatting>
  <conditionalFormatting sqref="H418 J418">
    <cfRule type="cellIs" dxfId="5741" priority="799" stopIfTrue="1" operator="lessThan">
      <formula>0</formula>
    </cfRule>
  </conditionalFormatting>
  <conditionalFormatting sqref="M418:M420">
    <cfRule type="cellIs" dxfId="5740" priority="796" stopIfTrue="1" operator="equal">
      <formula>0</formula>
    </cfRule>
    <cfRule type="cellIs" dxfId="5739" priority="797" stopIfTrue="1" operator="greaterThanOrEqual">
      <formula>#REF!</formula>
    </cfRule>
    <cfRule type="cellIs" dxfId="5738" priority="798" stopIfTrue="1" operator="between">
      <formula>0</formula>
      <formula>#REF!</formula>
    </cfRule>
  </conditionalFormatting>
  <conditionalFormatting sqref="N421">
    <cfRule type="containsText" dxfId="5737" priority="792" operator="containsText" text="NO CUMPLE">
      <formula>NOT(ISERROR(SEARCH("NO CUMPLE",N421)))</formula>
    </cfRule>
  </conditionalFormatting>
  <conditionalFormatting sqref="L421">
    <cfRule type="cellIs" dxfId="5736" priority="793" stopIfTrue="1" operator="equal">
      <formula>0</formula>
    </cfRule>
    <cfRule type="cellIs" dxfId="5735" priority="794" stopIfTrue="1" operator="greaterThanOrEqual">
      <formula>#REF!</formula>
    </cfRule>
    <cfRule type="cellIs" dxfId="5734" priority="795" stopIfTrue="1" operator="between">
      <formula>0</formula>
      <formula>#REF!</formula>
    </cfRule>
  </conditionalFormatting>
  <conditionalFormatting sqref="C417 C419:C420">
    <cfRule type="cellIs" dxfId="5733" priority="791" stopIfTrue="1" operator="greaterThan">
      <formula>0</formula>
    </cfRule>
  </conditionalFormatting>
  <conditionalFormatting sqref="C418">
    <cfRule type="cellIs" dxfId="5732" priority="790" stopIfTrue="1" operator="greaterThan">
      <formula>0</formula>
    </cfRule>
  </conditionalFormatting>
  <conditionalFormatting sqref="D426:G426 I426:K426 N426 N428:N429 D428:K429">
    <cfRule type="cellIs" dxfId="5731" priority="789" stopIfTrue="1" operator="greaterThan">
      <formula>0</formula>
    </cfRule>
  </conditionalFormatting>
  <conditionalFormatting sqref="I426 N426 N428:N429 I428:I429">
    <cfRule type="cellIs" dxfId="5730" priority="788" operator="equal">
      <formula>"NO"</formula>
    </cfRule>
  </conditionalFormatting>
  <conditionalFormatting sqref="H428:H429 J426 J428:J429">
    <cfRule type="cellIs" dxfId="5729" priority="787" stopIfTrue="1" operator="lessThan">
      <formula>0</formula>
    </cfRule>
  </conditionalFormatting>
  <conditionalFormatting sqref="H426">
    <cfRule type="cellIs" dxfId="5728" priority="786" stopIfTrue="1" operator="lessThan">
      <formula>0</formula>
    </cfRule>
  </conditionalFormatting>
  <conditionalFormatting sqref="H426">
    <cfRule type="cellIs" dxfId="5727" priority="785" stopIfTrue="1" operator="greaterThan">
      <formula>0</formula>
    </cfRule>
  </conditionalFormatting>
  <conditionalFormatting sqref="N427 D427:K427">
    <cfRule type="cellIs" dxfId="5726" priority="784" stopIfTrue="1" operator="greaterThan">
      <formula>0</formula>
    </cfRule>
  </conditionalFormatting>
  <conditionalFormatting sqref="N427 I427">
    <cfRule type="cellIs" dxfId="5725" priority="783" operator="equal">
      <formula>"NO"</formula>
    </cfRule>
  </conditionalFormatting>
  <conditionalFormatting sqref="H427 J427">
    <cfRule type="cellIs" dxfId="5724" priority="782" stopIfTrue="1" operator="lessThan">
      <formula>0</formula>
    </cfRule>
  </conditionalFormatting>
  <conditionalFormatting sqref="M426:M429">
    <cfRule type="cellIs" dxfId="5723" priority="779" stopIfTrue="1" operator="equal">
      <formula>0</formula>
    </cfRule>
    <cfRule type="cellIs" dxfId="5722" priority="780" stopIfTrue="1" operator="greaterThanOrEqual">
      <formula>#REF!</formula>
    </cfRule>
    <cfRule type="cellIs" dxfId="5721" priority="781" stopIfTrue="1" operator="between">
      <formula>0</formula>
      <formula>#REF!</formula>
    </cfRule>
  </conditionalFormatting>
  <conditionalFormatting sqref="N430">
    <cfRule type="containsText" dxfId="5720" priority="775" operator="containsText" text="NO CUMPLE">
      <formula>NOT(ISERROR(SEARCH("NO CUMPLE",N430)))</formula>
    </cfRule>
  </conditionalFormatting>
  <conditionalFormatting sqref="L430">
    <cfRule type="cellIs" dxfId="5719" priority="776" stopIfTrue="1" operator="equal">
      <formula>0</formula>
    </cfRule>
    <cfRule type="cellIs" dxfId="5718" priority="777" stopIfTrue="1" operator="greaterThanOrEqual">
      <formula>#REF!</formula>
    </cfRule>
    <cfRule type="cellIs" dxfId="5717" priority="778" stopIfTrue="1" operator="between">
      <formula>0</formula>
      <formula>#REF!</formula>
    </cfRule>
  </conditionalFormatting>
  <conditionalFormatting sqref="C426 C428:C429">
    <cfRule type="cellIs" dxfId="5716" priority="774" stopIfTrue="1" operator="greaterThan">
      <formula>0</formula>
    </cfRule>
  </conditionalFormatting>
  <conditionalFormatting sqref="C427">
    <cfRule type="cellIs" dxfId="5715" priority="773" stopIfTrue="1" operator="greaterThan">
      <formula>0</formula>
    </cfRule>
  </conditionalFormatting>
  <conditionalFormatting sqref="D435:G435 I435:K435 N435 N437:N438 D437:K438">
    <cfRule type="cellIs" dxfId="5714" priority="772" stopIfTrue="1" operator="greaterThan">
      <formula>0</formula>
    </cfRule>
  </conditionalFormatting>
  <conditionalFormatting sqref="I435 N435 N437:N438 I437:I438">
    <cfRule type="cellIs" dxfId="5713" priority="771" operator="equal">
      <formula>"NO"</formula>
    </cfRule>
  </conditionalFormatting>
  <conditionalFormatting sqref="H437:H438 J435 J437:J438">
    <cfRule type="cellIs" dxfId="5712" priority="770" stopIfTrue="1" operator="lessThan">
      <formula>0</formula>
    </cfRule>
  </conditionalFormatting>
  <conditionalFormatting sqref="H435">
    <cfRule type="cellIs" dxfId="5711" priority="769" stopIfTrue="1" operator="lessThan">
      <formula>0</formula>
    </cfRule>
  </conditionalFormatting>
  <conditionalFormatting sqref="H435">
    <cfRule type="cellIs" dxfId="5710" priority="768" stopIfTrue="1" operator="greaterThan">
      <formula>0</formula>
    </cfRule>
  </conditionalFormatting>
  <conditionalFormatting sqref="N436 D436:K436">
    <cfRule type="cellIs" dxfId="5709" priority="767" stopIfTrue="1" operator="greaterThan">
      <formula>0</formula>
    </cfRule>
  </conditionalFormatting>
  <conditionalFormatting sqref="N436 I436">
    <cfRule type="cellIs" dxfId="5708" priority="766" operator="equal">
      <formula>"NO"</formula>
    </cfRule>
  </conditionalFormatting>
  <conditionalFormatting sqref="H436 J436">
    <cfRule type="cellIs" dxfId="5707" priority="765" stopIfTrue="1" operator="lessThan">
      <formula>0</formula>
    </cfRule>
  </conditionalFormatting>
  <conditionalFormatting sqref="M435:M438">
    <cfRule type="cellIs" dxfId="5706" priority="762" stopIfTrue="1" operator="equal">
      <formula>0</formula>
    </cfRule>
    <cfRule type="cellIs" dxfId="5705" priority="763" stopIfTrue="1" operator="greaterThanOrEqual">
      <formula>#REF!</formula>
    </cfRule>
    <cfRule type="cellIs" dxfId="5704" priority="764" stopIfTrue="1" operator="between">
      <formula>0</formula>
      <formula>#REF!</formula>
    </cfRule>
  </conditionalFormatting>
  <conditionalFormatting sqref="N439">
    <cfRule type="containsText" dxfId="5703" priority="758" operator="containsText" text="NO CUMPLE">
      <formula>NOT(ISERROR(SEARCH("NO CUMPLE",N439)))</formula>
    </cfRule>
  </conditionalFormatting>
  <conditionalFormatting sqref="L439">
    <cfRule type="cellIs" dxfId="5702" priority="759" stopIfTrue="1" operator="equal">
      <formula>0</formula>
    </cfRule>
    <cfRule type="cellIs" dxfId="5701" priority="760" stopIfTrue="1" operator="greaterThanOrEqual">
      <formula>#REF!</formula>
    </cfRule>
    <cfRule type="cellIs" dxfId="5700" priority="761" stopIfTrue="1" operator="between">
      <formula>0</formula>
      <formula>#REF!</formula>
    </cfRule>
  </conditionalFormatting>
  <conditionalFormatting sqref="C435 C437:C438">
    <cfRule type="cellIs" dxfId="5699" priority="757" stopIfTrue="1" operator="greaterThan">
      <formula>0</formula>
    </cfRule>
  </conditionalFormatting>
  <conditionalFormatting sqref="C436">
    <cfRule type="cellIs" dxfId="5698" priority="756" stopIfTrue="1" operator="greaterThan">
      <formula>0</formula>
    </cfRule>
  </conditionalFormatting>
  <conditionalFormatting sqref="D444:G444 I444:K444 N444 N446:N447 D446:K447">
    <cfRule type="cellIs" dxfId="5697" priority="755" stopIfTrue="1" operator="greaterThan">
      <formula>0</formula>
    </cfRule>
  </conditionalFormatting>
  <conditionalFormatting sqref="I444 N444 N446:N447 I446:I447">
    <cfRule type="cellIs" dxfId="5696" priority="754" operator="equal">
      <formula>"NO"</formula>
    </cfRule>
  </conditionalFormatting>
  <conditionalFormatting sqref="H446:H447 J444 J446:J447">
    <cfRule type="cellIs" dxfId="5695" priority="753" stopIfTrue="1" operator="lessThan">
      <formula>0</formula>
    </cfRule>
  </conditionalFormatting>
  <conditionalFormatting sqref="H444">
    <cfRule type="cellIs" dxfId="5694" priority="752" stopIfTrue="1" operator="lessThan">
      <formula>0</formula>
    </cfRule>
  </conditionalFormatting>
  <conditionalFormatting sqref="H444">
    <cfRule type="cellIs" dxfId="5693" priority="751" stopIfTrue="1" operator="greaterThan">
      <formula>0</formula>
    </cfRule>
  </conditionalFormatting>
  <conditionalFormatting sqref="N445 D445:K445">
    <cfRule type="cellIs" dxfId="5692" priority="750" stopIfTrue="1" operator="greaterThan">
      <formula>0</formula>
    </cfRule>
  </conditionalFormatting>
  <conditionalFormatting sqref="N445 I445">
    <cfRule type="cellIs" dxfId="5691" priority="749" operator="equal">
      <formula>"NO"</formula>
    </cfRule>
  </conditionalFormatting>
  <conditionalFormatting sqref="H445 J445">
    <cfRule type="cellIs" dxfId="5690" priority="748" stopIfTrue="1" operator="lessThan">
      <formula>0</formula>
    </cfRule>
  </conditionalFormatting>
  <conditionalFormatting sqref="M444:M447">
    <cfRule type="cellIs" dxfId="5689" priority="745" stopIfTrue="1" operator="equal">
      <formula>0</formula>
    </cfRule>
    <cfRule type="cellIs" dxfId="5688" priority="746" stopIfTrue="1" operator="greaterThanOrEqual">
      <formula>#REF!</formula>
    </cfRule>
    <cfRule type="cellIs" dxfId="5687" priority="747" stopIfTrue="1" operator="between">
      <formula>0</formula>
      <formula>#REF!</formula>
    </cfRule>
  </conditionalFormatting>
  <conditionalFormatting sqref="N448">
    <cfRule type="containsText" dxfId="5686" priority="741" operator="containsText" text="NO CUMPLE">
      <formula>NOT(ISERROR(SEARCH("NO CUMPLE",N448)))</formula>
    </cfRule>
  </conditionalFormatting>
  <conditionalFormatting sqref="L448">
    <cfRule type="cellIs" dxfId="5685" priority="742" stopIfTrue="1" operator="equal">
      <formula>0</formula>
    </cfRule>
    <cfRule type="cellIs" dxfId="5684" priority="743" stopIfTrue="1" operator="greaterThanOrEqual">
      <formula>#REF!</formula>
    </cfRule>
    <cfRule type="cellIs" dxfId="5683" priority="744" stopIfTrue="1" operator="between">
      <formula>0</formula>
      <formula>#REF!</formula>
    </cfRule>
  </conditionalFormatting>
  <conditionalFormatting sqref="C444 C446:C447">
    <cfRule type="cellIs" dxfId="5682" priority="740" stopIfTrue="1" operator="greaterThan">
      <formula>0</formula>
    </cfRule>
  </conditionalFormatting>
  <conditionalFormatting sqref="C445">
    <cfRule type="cellIs" dxfId="5681" priority="739" stopIfTrue="1" operator="greaterThan">
      <formula>0</formula>
    </cfRule>
  </conditionalFormatting>
  <conditionalFormatting sqref="D453:G453 I453:K453 N453 N455:N456 D455:K456">
    <cfRule type="cellIs" dxfId="5680" priority="738" stopIfTrue="1" operator="greaterThan">
      <formula>0</formula>
    </cfRule>
  </conditionalFormatting>
  <conditionalFormatting sqref="I453 N453 N455:N456 I455:I456">
    <cfRule type="cellIs" dxfId="5679" priority="737" operator="equal">
      <formula>"NO"</formula>
    </cfRule>
  </conditionalFormatting>
  <conditionalFormatting sqref="H455:H456 J453 J455:J456">
    <cfRule type="cellIs" dxfId="5678" priority="736" stopIfTrue="1" operator="lessThan">
      <formula>0</formula>
    </cfRule>
  </conditionalFormatting>
  <conditionalFormatting sqref="H453">
    <cfRule type="cellIs" dxfId="5677" priority="735" stopIfTrue="1" operator="lessThan">
      <formula>0</formula>
    </cfRule>
  </conditionalFormatting>
  <conditionalFormatting sqref="H453">
    <cfRule type="cellIs" dxfId="5676" priority="734" stopIfTrue="1" operator="greaterThan">
      <formula>0</formula>
    </cfRule>
  </conditionalFormatting>
  <conditionalFormatting sqref="N454 D454:K454">
    <cfRule type="cellIs" dxfId="5675" priority="733" stopIfTrue="1" operator="greaterThan">
      <formula>0</formula>
    </cfRule>
  </conditionalFormatting>
  <conditionalFormatting sqref="N454 I454">
    <cfRule type="cellIs" dxfId="5674" priority="732" operator="equal">
      <formula>"NO"</formula>
    </cfRule>
  </conditionalFormatting>
  <conditionalFormatting sqref="H454 J454">
    <cfRule type="cellIs" dxfId="5673" priority="731" stopIfTrue="1" operator="lessThan">
      <formula>0</formula>
    </cfRule>
  </conditionalFormatting>
  <conditionalFormatting sqref="M453:M456">
    <cfRule type="cellIs" dxfId="5672" priority="728" stopIfTrue="1" operator="equal">
      <formula>0</formula>
    </cfRule>
    <cfRule type="cellIs" dxfId="5671" priority="729" stopIfTrue="1" operator="greaterThanOrEqual">
      <formula>#REF!</formula>
    </cfRule>
    <cfRule type="cellIs" dxfId="5670" priority="730" stopIfTrue="1" operator="between">
      <formula>0</formula>
      <formula>#REF!</formula>
    </cfRule>
  </conditionalFormatting>
  <conditionalFormatting sqref="N457">
    <cfRule type="containsText" dxfId="5669" priority="724" operator="containsText" text="NO CUMPLE">
      <formula>NOT(ISERROR(SEARCH("NO CUMPLE",N457)))</formula>
    </cfRule>
  </conditionalFormatting>
  <conditionalFormatting sqref="L457">
    <cfRule type="cellIs" dxfId="5668" priority="725" stopIfTrue="1" operator="equal">
      <formula>0</formula>
    </cfRule>
    <cfRule type="cellIs" dxfId="5667" priority="726" stopIfTrue="1" operator="greaterThanOrEqual">
      <formula>#REF!</formula>
    </cfRule>
    <cfRule type="cellIs" dxfId="5666" priority="727" stopIfTrue="1" operator="between">
      <formula>0</formula>
      <formula>#REF!</formula>
    </cfRule>
  </conditionalFormatting>
  <conditionalFormatting sqref="C453 C455:C456">
    <cfRule type="cellIs" dxfId="5665" priority="723" stopIfTrue="1" operator="greaterThan">
      <formula>0</formula>
    </cfRule>
  </conditionalFormatting>
  <conditionalFormatting sqref="C454">
    <cfRule type="cellIs" dxfId="5664" priority="722" stopIfTrue="1" operator="greaterThan">
      <formula>0</formula>
    </cfRule>
  </conditionalFormatting>
  <conditionalFormatting sqref="D462:G462 I462:K462 N462 N464:N465 D464:K465">
    <cfRule type="cellIs" dxfId="5663" priority="721" stopIfTrue="1" operator="greaterThan">
      <formula>0</formula>
    </cfRule>
  </conditionalFormatting>
  <conditionalFormatting sqref="I462 N462 N464:N465 I464:I465">
    <cfRule type="cellIs" dxfId="5662" priority="720" operator="equal">
      <formula>"NO"</formula>
    </cfRule>
  </conditionalFormatting>
  <conditionalFormatting sqref="H464:H465 J462 J464:J465">
    <cfRule type="cellIs" dxfId="5661" priority="719" stopIfTrue="1" operator="lessThan">
      <formula>0</formula>
    </cfRule>
  </conditionalFormatting>
  <conditionalFormatting sqref="H462">
    <cfRule type="cellIs" dxfId="5660" priority="718" stopIfTrue="1" operator="lessThan">
      <formula>0</formula>
    </cfRule>
  </conditionalFormatting>
  <conditionalFormatting sqref="H462">
    <cfRule type="cellIs" dxfId="5659" priority="717" stopIfTrue="1" operator="greaterThan">
      <formula>0</formula>
    </cfRule>
  </conditionalFormatting>
  <conditionalFormatting sqref="N463 D463:K463">
    <cfRule type="cellIs" dxfId="5658" priority="716" stopIfTrue="1" operator="greaterThan">
      <formula>0</formula>
    </cfRule>
  </conditionalFormatting>
  <conditionalFormatting sqref="N463 I463">
    <cfRule type="cellIs" dxfId="5657" priority="715" operator="equal">
      <formula>"NO"</formula>
    </cfRule>
  </conditionalFormatting>
  <conditionalFormatting sqref="H463 J463">
    <cfRule type="cellIs" dxfId="5656" priority="714" stopIfTrue="1" operator="lessThan">
      <formula>0</formula>
    </cfRule>
  </conditionalFormatting>
  <conditionalFormatting sqref="M462:M465">
    <cfRule type="cellIs" dxfId="5655" priority="711" stopIfTrue="1" operator="equal">
      <formula>0</formula>
    </cfRule>
    <cfRule type="cellIs" dxfId="5654" priority="712" stopIfTrue="1" operator="greaterThanOrEqual">
      <formula>#REF!</formula>
    </cfRule>
    <cfRule type="cellIs" dxfId="5653" priority="713" stopIfTrue="1" operator="between">
      <formula>0</formula>
      <formula>#REF!</formula>
    </cfRule>
  </conditionalFormatting>
  <conditionalFormatting sqref="N466">
    <cfRule type="containsText" dxfId="5652" priority="707" operator="containsText" text="NO CUMPLE">
      <formula>NOT(ISERROR(SEARCH("NO CUMPLE",N466)))</formula>
    </cfRule>
  </conditionalFormatting>
  <conditionalFormatting sqref="L466">
    <cfRule type="cellIs" dxfId="5651" priority="708" stopIfTrue="1" operator="equal">
      <formula>0</formula>
    </cfRule>
    <cfRule type="cellIs" dxfId="5650" priority="709" stopIfTrue="1" operator="greaterThanOrEqual">
      <formula>#REF!</formula>
    </cfRule>
    <cfRule type="cellIs" dxfId="5649" priority="710" stopIfTrue="1" operator="between">
      <formula>0</formula>
      <formula>#REF!</formula>
    </cfRule>
  </conditionalFormatting>
  <conditionalFormatting sqref="C462 C464:C465">
    <cfRule type="cellIs" dxfId="5648" priority="706" stopIfTrue="1" operator="greaterThan">
      <formula>0</formula>
    </cfRule>
  </conditionalFormatting>
  <conditionalFormatting sqref="C463">
    <cfRule type="cellIs" dxfId="5647" priority="705" stopIfTrue="1" operator="greaterThan">
      <formula>0</formula>
    </cfRule>
  </conditionalFormatting>
  <conditionalFormatting sqref="D471:G471 I471:K471 N471 N473:N474 D473:K474">
    <cfRule type="cellIs" dxfId="5646" priority="704" stopIfTrue="1" operator="greaterThan">
      <formula>0</formula>
    </cfRule>
  </conditionalFormatting>
  <conditionalFormatting sqref="I471 N471 N473:N474 I473:I474">
    <cfRule type="cellIs" dxfId="5645" priority="703" operator="equal">
      <formula>"NO"</formula>
    </cfRule>
  </conditionalFormatting>
  <conditionalFormatting sqref="H473:H474 J471 J473:J474">
    <cfRule type="cellIs" dxfId="5644" priority="702" stopIfTrue="1" operator="lessThan">
      <formula>0</formula>
    </cfRule>
  </conditionalFormatting>
  <conditionalFormatting sqref="H471">
    <cfRule type="cellIs" dxfId="5643" priority="701" stopIfTrue="1" operator="lessThan">
      <formula>0</formula>
    </cfRule>
  </conditionalFormatting>
  <conditionalFormatting sqref="H471">
    <cfRule type="cellIs" dxfId="5642" priority="700" stopIfTrue="1" operator="greaterThan">
      <formula>0</formula>
    </cfRule>
  </conditionalFormatting>
  <conditionalFormatting sqref="N472 D472:K472">
    <cfRule type="cellIs" dxfId="5641" priority="699" stopIfTrue="1" operator="greaterThan">
      <formula>0</formula>
    </cfRule>
  </conditionalFormatting>
  <conditionalFormatting sqref="N472 I472">
    <cfRule type="cellIs" dxfId="5640" priority="698" operator="equal">
      <formula>"NO"</formula>
    </cfRule>
  </conditionalFormatting>
  <conditionalFormatting sqref="H472 J472">
    <cfRule type="cellIs" dxfId="5639" priority="697" stopIfTrue="1" operator="lessThan">
      <formula>0</formula>
    </cfRule>
  </conditionalFormatting>
  <conditionalFormatting sqref="M471:M474">
    <cfRule type="cellIs" dxfId="5638" priority="694" stopIfTrue="1" operator="equal">
      <formula>0</formula>
    </cfRule>
    <cfRule type="cellIs" dxfId="5637" priority="695" stopIfTrue="1" operator="greaterThanOrEqual">
      <formula>#REF!</formula>
    </cfRule>
    <cfRule type="cellIs" dxfId="5636" priority="696" stopIfTrue="1" operator="between">
      <formula>0</formula>
      <formula>#REF!</formula>
    </cfRule>
  </conditionalFormatting>
  <conditionalFormatting sqref="S32:S33 S41:S42 S50:S51 S59:S60 S68:S69 S77:S78 S86:S87 S95:S96 S104:S105 S113:S114 S122:S123 S131:S132 S140:S141 S149:S150 S158:S159 S167:S168 S176:S177 S185:S186 S194:S195 S203:S204 S212:S213 S221:S222 S230:S231 S239:S240 S248:S249 S257:S258 S266:S267 S275:S276 S284:S285 S293:S294 S302:S303 S311:S312 S320:S321 S329:S330 S338:S339 S347:S348 S356:S357 S365:S366 S374:S375 S383:S384 S392:S393 S401:S402 S410:S411 S419:S420 S428:S429 S437:S438 S446:S447 S455:S456 S464:S465 S473:S474 S482:S483 S491:S492 S500:S501">
    <cfRule type="cellIs" dxfId="5635" priority="611" operator="equal">
      <formula>"NO"</formula>
    </cfRule>
    <cfRule type="cellIs" dxfId="5634" priority="612" operator="greaterThan">
      <formula>0</formula>
    </cfRule>
  </conditionalFormatting>
  <conditionalFormatting sqref="N475">
    <cfRule type="containsText" dxfId="5633" priority="690" operator="containsText" text="NO CUMPLE">
      <formula>NOT(ISERROR(SEARCH("NO CUMPLE",N475)))</formula>
    </cfRule>
  </conditionalFormatting>
  <conditionalFormatting sqref="L475">
    <cfRule type="cellIs" dxfId="5632" priority="691" stopIfTrue="1" operator="equal">
      <formula>0</formula>
    </cfRule>
    <cfRule type="cellIs" dxfId="5631" priority="692" stopIfTrue="1" operator="greaterThanOrEqual">
      <formula>#REF!</formula>
    </cfRule>
    <cfRule type="cellIs" dxfId="5630" priority="693" stopIfTrue="1" operator="between">
      <formula>0</formula>
      <formula>#REF!</formula>
    </cfRule>
  </conditionalFormatting>
  <conditionalFormatting sqref="C471 C473:C474">
    <cfRule type="cellIs" dxfId="5629" priority="689" stopIfTrue="1" operator="greaterThan">
      <formula>0</formula>
    </cfRule>
  </conditionalFormatting>
  <conditionalFormatting sqref="C472">
    <cfRule type="cellIs" dxfId="5628" priority="688" stopIfTrue="1" operator="greaterThan">
      <formula>0</formula>
    </cfRule>
  </conditionalFormatting>
  <conditionalFormatting sqref="D480:G480 I480:K480 N480 N482:N483 D482:K483">
    <cfRule type="cellIs" dxfId="5627" priority="687" stopIfTrue="1" operator="greaterThan">
      <formula>0</formula>
    </cfRule>
  </conditionalFormatting>
  <conditionalFormatting sqref="I480 N480 N482:N483 I482:I483">
    <cfRule type="cellIs" dxfId="5626" priority="686" operator="equal">
      <formula>"NO"</formula>
    </cfRule>
  </conditionalFormatting>
  <conditionalFormatting sqref="H482:H483 J480 J482:J483">
    <cfRule type="cellIs" dxfId="5625" priority="685" stopIfTrue="1" operator="lessThan">
      <formula>0</formula>
    </cfRule>
  </conditionalFormatting>
  <conditionalFormatting sqref="H480">
    <cfRule type="cellIs" dxfId="5624" priority="684" stopIfTrue="1" operator="lessThan">
      <formula>0</formula>
    </cfRule>
  </conditionalFormatting>
  <conditionalFormatting sqref="H480">
    <cfRule type="cellIs" dxfId="5623" priority="683" stopIfTrue="1" operator="greaterThan">
      <formula>0</formula>
    </cfRule>
  </conditionalFormatting>
  <conditionalFormatting sqref="N481 D481:K481">
    <cfRule type="cellIs" dxfId="5622" priority="682" stopIfTrue="1" operator="greaterThan">
      <formula>0</formula>
    </cfRule>
  </conditionalFormatting>
  <conditionalFormatting sqref="N481 I481">
    <cfRule type="cellIs" dxfId="5621" priority="681" operator="equal">
      <formula>"NO"</formula>
    </cfRule>
  </conditionalFormatting>
  <conditionalFormatting sqref="H481 J481">
    <cfRule type="cellIs" dxfId="5620" priority="680" stopIfTrue="1" operator="lessThan">
      <formula>0</formula>
    </cfRule>
  </conditionalFormatting>
  <conditionalFormatting sqref="M480:M483">
    <cfRule type="cellIs" dxfId="5619" priority="677" stopIfTrue="1" operator="equal">
      <formula>0</formula>
    </cfRule>
    <cfRule type="cellIs" dxfId="5618" priority="678" stopIfTrue="1" operator="greaterThanOrEqual">
      <formula>#REF!</formula>
    </cfRule>
    <cfRule type="cellIs" dxfId="5617" priority="679" stopIfTrue="1" operator="between">
      <formula>0</formula>
      <formula>#REF!</formula>
    </cfRule>
  </conditionalFormatting>
  <conditionalFormatting sqref="N484">
    <cfRule type="containsText" dxfId="5616" priority="673" operator="containsText" text="NO CUMPLE">
      <formula>NOT(ISERROR(SEARCH("NO CUMPLE",N484)))</formula>
    </cfRule>
  </conditionalFormatting>
  <conditionalFormatting sqref="L484">
    <cfRule type="cellIs" dxfId="5615" priority="674" stopIfTrue="1" operator="equal">
      <formula>0</formula>
    </cfRule>
    <cfRule type="cellIs" dxfId="5614" priority="675" stopIfTrue="1" operator="greaterThanOrEqual">
      <formula>#REF!</formula>
    </cfRule>
    <cfRule type="cellIs" dxfId="5613" priority="676" stopIfTrue="1" operator="between">
      <formula>0</formula>
      <formula>#REF!</formula>
    </cfRule>
  </conditionalFormatting>
  <conditionalFormatting sqref="C480 C482:C483">
    <cfRule type="cellIs" dxfId="5612" priority="672" stopIfTrue="1" operator="greaterThan">
      <formula>0</formula>
    </cfRule>
  </conditionalFormatting>
  <conditionalFormatting sqref="C481">
    <cfRule type="cellIs" dxfId="5611" priority="671" stopIfTrue="1" operator="greaterThan">
      <formula>0</formula>
    </cfRule>
  </conditionalFormatting>
  <conditionalFormatting sqref="D489:G489 I489:K489 N489 N491:N492 D491:K492">
    <cfRule type="cellIs" dxfId="5610" priority="670" stopIfTrue="1" operator="greaterThan">
      <formula>0</formula>
    </cfRule>
  </conditionalFormatting>
  <conditionalFormatting sqref="I489 N489 N491:N492 I491:I492">
    <cfRule type="cellIs" dxfId="5609" priority="669" operator="equal">
      <formula>"NO"</formula>
    </cfRule>
  </conditionalFormatting>
  <conditionalFormatting sqref="H491:H492 J489 J491:J492">
    <cfRule type="cellIs" dxfId="5608" priority="668" stopIfTrue="1" operator="lessThan">
      <formula>0</formula>
    </cfRule>
  </conditionalFormatting>
  <conditionalFormatting sqref="H489">
    <cfRule type="cellIs" dxfId="5607" priority="667" stopIfTrue="1" operator="lessThan">
      <formula>0</formula>
    </cfRule>
  </conditionalFormatting>
  <conditionalFormatting sqref="H489">
    <cfRule type="cellIs" dxfId="5606" priority="666" stopIfTrue="1" operator="greaterThan">
      <formula>0</formula>
    </cfRule>
  </conditionalFormatting>
  <conditionalFormatting sqref="N490 D490:K490">
    <cfRule type="cellIs" dxfId="5605" priority="665" stopIfTrue="1" operator="greaterThan">
      <formula>0</formula>
    </cfRule>
  </conditionalFormatting>
  <conditionalFormatting sqref="N490 I490">
    <cfRule type="cellIs" dxfId="5604" priority="664" operator="equal">
      <formula>"NO"</formula>
    </cfRule>
  </conditionalFormatting>
  <conditionalFormatting sqref="H490 J490">
    <cfRule type="cellIs" dxfId="5603" priority="663" stopIfTrue="1" operator="lessThan">
      <formula>0</formula>
    </cfRule>
  </conditionalFormatting>
  <conditionalFormatting sqref="M489:M492">
    <cfRule type="cellIs" dxfId="5602" priority="660" stopIfTrue="1" operator="equal">
      <formula>0</formula>
    </cfRule>
    <cfRule type="cellIs" dxfId="5601" priority="661" stopIfTrue="1" operator="greaterThanOrEqual">
      <formula>#REF!</formula>
    </cfRule>
    <cfRule type="cellIs" dxfId="5600" priority="662" stopIfTrue="1" operator="between">
      <formula>0</formula>
      <formula>#REF!</formula>
    </cfRule>
  </conditionalFormatting>
  <conditionalFormatting sqref="N493">
    <cfRule type="containsText" dxfId="5599" priority="656" operator="containsText" text="NO CUMPLE">
      <formula>NOT(ISERROR(SEARCH("NO CUMPLE",N493)))</formula>
    </cfRule>
  </conditionalFormatting>
  <conditionalFormatting sqref="L493">
    <cfRule type="cellIs" dxfId="5598" priority="657" stopIfTrue="1" operator="equal">
      <formula>0</formula>
    </cfRule>
    <cfRule type="cellIs" dxfId="5597" priority="658" stopIfTrue="1" operator="greaterThanOrEqual">
      <formula>#REF!</formula>
    </cfRule>
    <cfRule type="cellIs" dxfId="5596" priority="659" stopIfTrue="1" operator="between">
      <formula>0</formula>
      <formula>#REF!</formula>
    </cfRule>
  </conditionalFormatting>
  <conditionalFormatting sqref="C489 C491:C492">
    <cfRule type="cellIs" dxfId="5595" priority="655" stopIfTrue="1" operator="greaterThan">
      <formula>0</formula>
    </cfRule>
  </conditionalFormatting>
  <conditionalFormatting sqref="C490">
    <cfRule type="cellIs" dxfId="5594" priority="654" stopIfTrue="1" operator="greaterThan">
      <formula>0</formula>
    </cfRule>
  </conditionalFormatting>
  <conditionalFormatting sqref="D498:G498 I498:K498 N498 N500:N501 D500:K501">
    <cfRule type="cellIs" dxfId="5593" priority="653" stopIfTrue="1" operator="greaterThan">
      <formula>0</formula>
    </cfRule>
  </conditionalFormatting>
  <conditionalFormatting sqref="I498 N498 N500:N501 I500:I501">
    <cfRule type="cellIs" dxfId="5592" priority="652" operator="equal">
      <formula>"NO"</formula>
    </cfRule>
  </conditionalFormatting>
  <conditionalFormatting sqref="H500:H501 J498 J500:J501">
    <cfRule type="cellIs" dxfId="5591" priority="651" stopIfTrue="1" operator="lessThan">
      <formula>0</formula>
    </cfRule>
  </conditionalFormatting>
  <conditionalFormatting sqref="H498">
    <cfRule type="cellIs" dxfId="5590" priority="650" stopIfTrue="1" operator="lessThan">
      <formula>0</formula>
    </cfRule>
  </conditionalFormatting>
  <conditionalFormatting sqref="H498">
    <cfRule type="cellIs" dxfId="5589" priority="649" stopIfTrue="1" operator="greaterThan">
      <formula>0</formula>
    </cfRule>
  </conditionalFormatting>
  <conditionalFormatting sqref="N499 D499:K499">
    <cfRule type="cellIs" dxfId="5588" priority="648" stopIfTrue="1" operator="greaterThan">
      <formula>0</formula>
    </cfRule>
  </conditionalFormatting>
  <conditionalFormatting sqref="N499 I499">
    <cfRule type="cellIs" dxfId="5587" priority="647" operator="equal">
      <formula>"NO"</formula>
    </cfRule>
  </conditionalFormatting>
  <conditionalFormatting sqref="H499 J499">
    <cfRule type="cellIs" dxfId="5586" priority="646" stopIfTrue="1" operator="lessThan">
      <formula>0</formula>
    </cfRule>
  </conditionalFormatting>
  <conditionalFormatting sqref="M498:M501">
    <cfRule type="cellIs" dxfId="5585" priority="643" stopIfTrue="1" operator="equal">
      <formula>0</formula>
    </cfRule>
    <cfRule type="cellIs" dxfId="5584" priority="644" stopIfTrue="1" operator="greaterThanOrEqual">
      <formula>#REF!</formula>
    </cfRule>
    <cfRule type="cellIs" dxfId="5583" priority="645" stopIfTrue="1" operator="between">
      <formula>0</formula>
      <formula>#REF!</formula>
    </cfRule>
  </conditionalFormatting>
  <conditionalFormatting sqref="N502">
    <cfRule type="containsText" dxfId="5582" priority="639" operator="containsText" text="NO CUMPLE">
      <formula>NOT(ISERROR(SEARCH("NO CUMPLE",N502)))</formula>
    </cfRule>
  </conditionalFormatting>
  <conditionalFormatting sqref="L502">
    <cfRule type="cellIs" dxfId="5581" priority="640" stopIfTrue="1" operator="equal">
      <formula>0</formula>
    </cfRule>
    <cfRule type="cellIs" dxfId="5580" priority="641" stopIfTrue="1" operator="greaterThanOrEqual">
      <formula>#REF!</formula>
    </cfRule>
    <cfRule type="cellIs" dxfId="5579" priority="642" stopIfTrue="1" operator="between">
      <formula>0</formula>
      <formula>#REF!</formula>
    </cfRule>
  </conditionalFormatting>
  <conditionalFormatting sqref="C498 C500:C501">
    <cfRule type="cellIs" dxfId="5578" priority="638" stopIfTrue="1" operator="greaterThan">
      <formula>0</formula>
    </cfRule>
  </conditionalFormatting>
  <conditionalFormatting sqref="C499">
    <cfRule type="cellIs" dxfId="5577" priority="637" stopIfTrue="1" operator="greaterThan">
      <formula>0</formula>
    </cfRule>
  </conditionalFormatting>
  <conditionalFormatting sqref="C21">
    <cfRule type="cellIs" dxfId="5576" priority="636" stopIfTrue="1" operator="greaterThan">
      <formula>0</formula>
    </cfRule>
  </conditionalFormatting>
  <conditionalFormatting sqref="I358">
    <cfRule type="cellIs" dxfId="5575" priority="489" operator="equal">
      <formula>"NA"</formula>
    </cfRule>
    <cfRule type="cellIs" dxfId="5574" priority="490" operator="equal">
      <formula>"SI"</formula>
    </cfRule>
    <cfRule type="cellIs" dxfId="5573" priority="491" operator="equal">
      <formula>"NO"</formula>
    </cfRule>
  </conditionalFormatting>
  <conditionalFormatting sqref="I394">
    <cfRule type="cellIs" dxfId="5572" priority="477" operator="equal">
      <formula>"NA"</formula>
    </cfRule>
    <cfRule type="cellIs" dxfId="5571" priority="478" operator="equal">
      <formula>"SI"</formula>
    </cfRule>
    <cfRule type="cellIs" dxfId="5570" priority="479" operator="equal">
      <formula>"NO"</formula>
    </cfRule>
  </conditionalFormatting>
  <conditionalFormatting sqref="I52">
    <cfRule type="cellIs" dxfId="5569" priority="633" operator="equal">
      <formula>"NA"</formula>
    </cfRule>
    <cfRule type="cellIs" dxfId="5568" priority="634" operator="equal">
      <formula>"SI"</formula>
    </cfRule>
    <cfRule type="cellIs" dxfId="5567" priority="635" operator="equal">
      <formula>"NO"</formula>
    </cfRule>
  </conditionalFormatting>
  <conditionalFormatting sqref="I502">
    <cfRule type="cellIs" dxfId="5566" priority="444" operator="equal">
      <formula>"NA"</formula>
    </cfRule>
    <cfRule type="cellIs" dxfId="5565" priority="445" operator="equal">
      <formula>"SI"</formula>
    </cfRule>
    <cfRule type="cellIs" dxfId="5564" priority="446" operator="equal">
      <formula>"NO"</formula>
    </cfRule>
  </conditionalFormatting>
  <conditionalFormatting sqref="S14:S15">
    <cfRule type="cellIs" dxfId="5563" priority="631" operator="equal">
      <formula>"NO"</formula>
    </cfRule>
    <cfRule type="cellIs" dxfId="5562" priority="632" operator="greaterThan">
      <formula>0</formula>
    </cfRule>
  </conditionalFormatting>
  <conditionalFormatting sqref="Q12:Q15">
    <cfRule type="cellIs" dxfId="5561" priority="629" stopIfTrue="1" operator="equal">
      <formula>"NO"</formula>
    </cfRule>
    <cfRule type="cellIs" dxfId="5560" priority="630" stopIfTrue="1" operator="equal">
      <formula>"SI"</formula>
    </cfRule>
  </conditionalFormatting>
  <conditionalFormatting sqref="S13">
    <cfRule type="cellIs" dxfId="5559" priority="627" operator="equal">
      <formula>"NO"</formula>
    </cfRule>
    <cfRule type="cellIs" dxfId="5558" priority="628" operator="greaterThan">
      <formula>0</formula>
    </cfRule>
  </conditionalFormatting>
  <conditionalFormatting sqref="S12:S15">
    <cfRule type="cellIs" dxfId="5557" priority="625" stopIfTrue="1" operator="equal">
      <formula>"NO"</formula>
    </cfRule>
    <cfRule type="cellIs" dxfId="5556" priority="626" stopIfTrue="1" operator="equal">
      <formula>"SI"</formula>
    </cfRule>
  </conditionalFormatting>
  <conditionalFormatting sqref="S12:S15">
    <cfRule type="cellIs" dxfId="5555" priority="623" operator="equal">
      <formula>"NO"</formula>
    </cfRule>
    <cfRule type="cellIs" dxfId="5554" priority="624" operator="greaterThan">
      <formula>0</formula>
    </cfRule>
  </conditionalFormatting>
  <conditionalFormatting sqref="S23:S24">
    <cfRule type="cellIs" dxfId="5553" priority="621" operator="equal">
      <formula>"NO"</formula>
    </cfRule>
    <cfRule type="cellIs" dxfId="5552" priority="622" operator="greaterThan">
      <formula>0</formula>
    </cfRule>
  </conditionalFormatting>
  <conditionalFormatting sqref="Q21:Q24">
    <cfRule type="cellIs" dxfId="5551" priority="619" stopIfTrue="1" operator="equal">
      <formula>"NO"</formula>
    </cfRule>
    <cfRule type="cellIs" dxfId="5550" priority="620" stopIfTrue="1" operator="equal">
      <formula>"SI"</formula>
    </cfRule>
  </conditionalFormatting>
  <conditionalFormatting sqref="S22">
    <cfRule type="cellIs" dxfId="5549" priority="617" operator="equal">
      <formula>"NO"</formula>
    </cfRule>
    <cfRule type="cellIs" dxfId="5548" priority="618" operator="greaterThan">
      <formula>0</formula>
    </cfRule>
  </conditionalFormatting>
  <conditionalFormatting sqref="S21:S24">
    <cfRule type="cellIs" dxfId="5547" priority="615" stopIfTrue="1" operator="equal">
      <formula>"NO"</formula>
    </cfRule>
    <cfRule type="cellIs" dxfId="5546" priority="616" stopIfTrue="1" operator="equal">
      <formula>"SI"</formula>
    </cfRule>
  </conditionalFormatting>
  <conditionalFormatting sqref="S21:S24">
    <cfRule type="cellIs" dxfId="5545" priority="613" operator="equal">
      <formula>"NO"</formula>
    </cfRule>
    <cfRule type="cellIs" dxfId="5544" priority="614" operator="greaterThan">
      <formula>0</formula>
    </cfRule>
  </conditionalFormatting>
  <conditionalFormatting sqref="Q30:Q33 Q39:Q42 Q48:Q51 Q57:Q60 Q66:Q69 Q75:Q78 Q84:Q87 Q93:Q96 Q102:Q105 Q111:Q114 Q120:Q123 Q129:Q132 Q138:Q141 Q147:Q150 Q156:Q159 Q165:Q168 Q174:Q177 Q183:Q186 Q192:Q195 Q201:Q204 Q210:Q213 Q219:Q222 Q228:Q231 Q237:Q240 Q246:Q249 Q255:Q258 Q264:Q267 Q273:Q276 Q282:Q285 Q291:Q294 Q300:Q303 Q309:Q312 Q318:Q321 Q327:Q330 Q336:Q339 Q345:Q348 Q354:Q357 Q363:Q366 Q372:Q375 Q381:Q384 Q390:Q393 Q399:Q402 Q408:Q411 Q417:Q420 Q426:Q429 Q435:Q438 Q444:Q447 Q453:Q456 Q462:Q465 Q471:Q474 Q480:Q483 Q489:Q492 Q498:Q501">
    <cfRule type="cellIs" dxfId="5543" priority="609" stopIfTrue="1" operator="equal">
      <formula>"NO"</formula>
    </cfRule>
    <cfRule type="cellIs" dxfId="5542" priority="610" stopIfTrue="1" operator="equal">
      <formula>"SI"</formula>
    </cfRule>
  </conditionalFormatting>
  <conditionalFormatting sqref="S31 S40 S49 S58 S67 S76 S85 S94 S103 S112 S121 S130 S139 S148 S157 S166 S175 S184 S193 S202 S211 S220 S229 S238 S247 S256 S265 S274 S283 S292 S301 S310 S319 S328 S337 S346 S355 S364 S373 S382 S391 S400 S409 S418 S427 S436 S445 S454 S463 S472 S481 S490 S499">
    <cfRule type="cellIs" dxfId="5541" priority="607" operator="equal">
      <formula>"NO"</formula>
    </cfRule>
    <cfRule type="cellIs" dxfId="5540" priority="608" operator="greaterThan">
      <formula>0</formula>
    </cfRule>
  </conditionalFormatting>
  <conditionalFormatting sqref="S30:S33 S39:S42 S48:S51 S57:S60 S66:S69 S75:S78 S84:S87 S93:S96 S102:S105 S111:S114 S120:S123 S129:S132 S138:S141 S147:S150 S156:S159 S165:S168 S174:S177 S183:S186 S192:S195 S201:S204 S210:S213 S219:S222 S228:S231 S237:S240 S246:S249 S255:S258 S264:S267 S273:S276 S282:S285 S291:S294 S300:S303 S309:S312 S318:S321 S327:S330 S336:S339 S345:S348 S354:S357 S363:S366 S372:S375 S381:S384 S390:S393 S399:S402 S408:S411 S417:S420 S426:S429 S435:S438 S444:S447 S453:S456 S462:S465 S471:S474 S480:S483 S489:S492 S498:S501">
    <cfRule type="cellIs" dxfId="5539" priority="605" stopIfTrue="1" operator="equal">
      <formula>"NO"</formula>
    </cfRule>
    <cfRule type="cellIs" dxfId="5538" priority="606" stopIfTrue="1" operator="equal">
      <formula>"SI"</formula>
    </cfRule>
  </conditionalFormatting>
  <conditionalFormatting sqref="S30:S33 S39:S42 S48:S51 S57:S60 S66:S69 S75:S78 S84:S87 S93:S96 S102:S105 S111:S114 S120:S123 S129:S132 S138:S141 S147:S150 S156:S159 S165:S168 S174:S177 S183:S186 S192:S195 S201:S204 S210:S213 S219:S222 S228:S231 S237:S240 S246:S249 S255:S258 S264:S267 S273:S276 S282:S285 S291:S294 S300:S303 S309:S312 S318:S321 S327:S330 S336:S339 S345:S348 S354:S357 S363:S366 S372:S375 S381:S384 S390:S393 S399:S402 S408:S411 S417:S420 S426:S429 S435:S438 S444:S447 S453:S456 S462:S465 S471:S474 S480:S483 S489:S492 S498:S501">
    <cfRule type="cellIs" dxfId="5537" priority="603" operator="equal">
      <formula>"NO"</formula>
    </cfRule>
    <cfRule type="cellIs" dxfId="5536" priority="604" operator="greaterThan">
      <formula>0</formula>
    </cfRule>
  </conditionalFormatting>
  <conditionalFormatting sqref="I43">
    <cfRule type="cellIs" dxfId="5535" priority="600" operator="equal">
      <formula>"NA"</formula>
    </cfRule>
    <cfRule type="cellIs" dxfId="5534" priority="601" operator="equal">
      <formula>"SI"</formula>
    </cfRule>
    <cfRule type="cellIs" dxfId="5533" priority="602" operator="equal">
      <formula>"NO"</formula>
    </cfRule>
  </conditionalFormatting>
  <conditionalFormatting sqref="I16">
    <cfRule type="cellIs" dxfId="5532" priority="597" operator="equal">
      <formula>"NA"</formula>
    </cfRule>
    <cfRule type="cellIs" dxfId="5531" priority="598" operator="equal">
      <formula>"SI"</formula>
    </cfRule>
    <cfRule type="cellIs" dxfId="5530" priority="599" operator="equal">
      <formula>"NO"</formula>
    </cfRule>
  </conditionalFormatting>
  <conditionalFormatting sqref="I25">
    <cfRule type="cellIs" dxfId="5529" priority="594" operator="equal">
      <formula>"NA"</formula>
    </cfRule>
    <cfRule type="cellIs" dxfId="5528" priority="595" operator="equal">
      <formula>"SI"</formula>
    </cfRule>
    <cfRule type="cellIs" dxfId="5527" priority="596" operator="equal">
      <formula>"NO"</formula>
    </cfRule>
  </conditionalFormatting>
  <conditionalFormatting sqref="I34">
    <cfRule type="cellIs" dxfId="5526" priority="591" operator="equal">
      <formula>"NA"</formula>
    </cfRule>
    <cfRule type="cellIs" dxfId="5525" priority="592" operator="equal">
      <formula>"SI"</formula>
    </cfRule>
    <cfRule type="cellIs" dxfId="5524" priority="593" operator="equal">
      <formula>"NO"</formula>
    </cfRule>
  </conditionalFormatting>
  <conditionalFormatting sqref="I61">
    <cfRule type="cellIs" dxfId="5523" priority="588" operator="equal">
      <formula>"NA"</formula>
    </cfRule>
    <cfRule type="cellIs" dxfId="5522" priority="589" operator="equal">
      <formula>"SI"</formula>
    </cfRule>
    <cfRule type="cellIs" dxfId="5521" priority="590" operator="equal">
      <formula>"NO"</formula>
    </cfRule>
  </conditionalFormatting>
  <conditionalFormatting sqref="I70">
    <cfRule type="cellIs" dxfId="5520" priority="585" operator="equal">
      <formula>"NA"</formula>
    </cfRule>
    <cfRule type="cellIs" dxfId="5519" priority="586" operator="equal">
      <formula>"SI"</formula>
    </cfRule>
    <cfRule type="cellIs" dxfId="5518" priority="587" operator="equal">
      <formula>"NO"</formula>
    </cfRule>
  </conditionalFormatting>
  <conditionalFormatting sqref="I79">
    <cfRule type="cellIs" dxfId="5517" priority="582" operator="equal">
      <formula>"NA"</formula>
    </cfRule>
    <cfRule type="cellIs" dxfId="5516" priority="583" operator="equal">
      <formula>"SI"</formula>
    </cfRule>
    <cfRule type="cellIs" dxfId="5515" priority="584" operator="equal">
      <formula>"NO"</formula>
    </cfRule>
  </conditionalFormatting>
  <conditionalFormatting sqref="I88">
    <cfRule type="cellIs" dxfId="5514" priority="579" operator="equal">
      <formula>"NA"</formula>
    </cfRule>
    <cfRule type="cellIs" dxfId="5513" priority="580" operator="equal">
      <formula>"SI"</formula>
    </cfRule>
    <cfRule type="cellIs" dxfId="5512" priority="581" operator="equal">
      <formula>"NO"</formula>
    </cfRule>
  </conditionalFormatting>
  <conditionalFormatting sqref="I97">
    <cfRule type="cellIs" dxfId="5511" priority="576" operator="equal">
      <formula>"NA"</formula>
    </cfRule>
    <cfRule type="cellIs" dxfId="5510" priority="577" operator="equal">
      <formula>"SI"</formula>
    </cfRule>
    <cfRule type="cellIs" dxfId="5509" priority="578" operator="equal">
      <formula>"NO"</formula>
    </cfRule>
  </conditionalFormatting>
  <conditionalFormatting sqref="I106">
    <cfRule type="cellIs" dxfId="5508" priority="573" operator="equal">
      <formula>"NA"</formula>
    </cfRule>
    <cfRule type="cellIs" dxfId="5507" priority="574" operator="equal">
      <formula>"SI"</formula>
    </cfRule>
    <cfRule type="cellIs" dxfId="5506" priority="575" operator="equal">
      <formula>"NO"</formula>
    </cfRule>
  </conditionalFormatting>
  <conditionalFormatting sqref="I115">
    <cfRule type="cellIs" dxfId="5505" priority="570" operator="equal">
      <formula>"NA"</formula>
    </cfRule>
    <cfRule type="cellIs" dxfId="5504" priority="571" operator="equal">
      <formula>"SI"</formula>
    </cfRule>
    <cfRule type="cellIs" dxfId="5503" priority="572" operator="equal">
      <formula>"NO"</formula>
    </cfRule>
  </conditionalFormatting>
  <conditionalFormatting sqref="I124">
    <cfRule type="cellIs" dxfId="5502" priority="567" operator="equal">
      <formula>"NA"</formula>
    </cfRule>
    <cfRule type="cellIs" dxfId="5501" priority="568" operator="equal">
      <formula>"SI"</formula>
    </cfRule>
    <cfRule type="cellIs" dxfId="5500" priority="569" operator="equal">
      <formula>"NO"</formula>
    </cfRule>
  </conditionalFormatting>
  <conditionalFormatting sqref="I133">
    <cfRule type="cellIs" dxfId="5499" priority="564" operator="equal">
      <formula>"NA"</formula>
    </cfRule>
    <cfRule type="cellIs" dxfId="5498" priority="565" operator="equal">
      <formula>"SI"</formula>
    </cfRule>
    <cfRule type="cellIs" dxfId="5497" priority="566" operator="equal">
      <formula>"NO"</formula>
    </cfRule>
  </conditionalFormatting>
  <conditionalFormatting sqref="I142">
    <cfRule type="cellIs" dxfId="5496" priority="561" operator="equal">
      <formula>"NA"</formula>
    </cfRule>
    <cfRule type="cellIs" dxfId="5495" priority="562" operator="equal">
      <formula>"SI"</formula>
    </cfRule>
    <cfRule type="cellIs" dxfId="5494" priority="563" operator="equal">
      <formula>"NO"</formula>
    </cfRule>
  </conditionalFormatting>
  <conditionalFormatting sqref="I151">
    <cfRule type="cellIs" dxfId="5493" priority="558" operator="equal">
      <formula>"NA"</formula>
    </cfRule>
    <cfRule type="cellIs" dxfId="5492" priority="559" operator="equal">
      <formula>"SI"</formula>
    </cfRule>
    <cfRule type="cellIs" dxfId="5491" priority="560" operator="equal">
      <formula>"NO"</formula>
    </cfRule>
  </conditionalFormatting>
  <conditionalFormatting sqref="I160">
    <cfRule type="cellIs" dxfId="5490" priority="555" operator="equal">
      <formula>"NA"</formula>
    </cfRule>
    <cfRule type="cellIs" dxfId="5489" priority="556" operator="equal">
      <formula>"SI"</formula>
    </cfRule>
    <cfRule type="cellIs" dxfId="5488" priority="557" operator="equal">
      <formula>"NO"</formula>
    </cfRule>
  </conditionalFormatting>
  <conditionalFormatting sqref="I169">
    <cfRule type="cellIs" dxfId="5487" priority="552" operator="equal">
      <formula>"NA"</formula>
    </cfRule>
    <cfRule type="cellIs" dxfId="5486" priority="553" operator="equal">
      <formula>"SI"</formula>
    </cfRule>
    <cfRule type="cellIs" dxfId="5485" priority="554" operator="equal">
      <formula>"NO"</formula>
    </cfRule>
  </conditionalFormatting>
  <conditionalFormatting sqref="I178">
    <cfRule type="cellIs" dxfId="5484" priority="549" operator="equal">
      <formula>"NA"</formula>
    </cfRule>
    <cfRule type="cellIs" dxfId="5483" priority="550" operator="equal">
      <formula>"SI"</formula>
    </cfRule>
    <cfRule type="cellIs" dxfId="5482" priority="551" operator="equal">
      <formula>"NO"</formula>
    </cfRule>
  </conditionalFormatting>
  <conditionalFormatting sqref="I187">
    <cfRule type="cellIs" dxfId="5481" priority="546" operator="equal">
      <formula>"NA"</formula>
    </cfRule>
    <cfRule type="cellIs" dxfId="5480" priority="547" operator="equal">
      <formula>"SI"</formula>
    </cfRule>
    <cfRule type="cellIs" dxfId="5479" priority="548" operator="equal">
      <formula>"NO"</formula>
    </cfRule>
  </conditionalFormatting>
  <conditionalFormatting sqref="I196">
    <cfRule type="cellIs" dxfId="5478" priority="543" operator="equal">
      <formula>"NA"</formula>
    </cfRule>
    <cfRule type="cellIs" dxfId="5477" priority="544" operator="equal">
      <formula>"SI"</formula>
    </cfRule>
    <cfRule type="cellIs" dxfId="5476" priority="545" operator="equal">
      <formula>"NO"</formula>
    </cfRule>
  </conditionalFormatting>
  <conditionalFormatting sqref="I205">
    <cfRule type="cellIs" dxfId="5475" priority="540" operator="equal">
      <formula>"NA"</formula>
    </cfRule>
    <cfRule type="cellIs" dxfId="5474" priority="541" operator="equal">
      <formula>"SI"</formula>
    </cfRule>
    <cfRule type="cellIs" dxfId="5473" priority="542" operator="equal">
      <formula>"NO"</formula>
    </cfRule>
  </conditionalFormatting>
  <conditionalFormatting sqref="I214">
    <cfRule type="cellIs" dxfId="5472" priority="537" operator="equal">
      <formula>"NA"</formula>
    </cfRule>
    <cfRule type="cellIs" dxfId="5471" priority="538" operator="equal">
      <formula>"SI"</formula>
    </cfRule>
    <cfRule type="cellIs" dxfId="5470" priority="539" operator="equal">
      <formula>"NO"</formula>
    </cfRule>
  </conditionalFormatting>
  <conditionalFormatting sqref="I223">
    <cfRule type="cellIs" dxfId="5469" priority="534" operator="equal">
      <formula>"NA"</formula>
    </cfRule>
    <cfRule type="cellIs" dxfId="5468" priority="535" operator="equal">
      <formula>"SI"</formula>
    </cfRule>
    <cfRule type="cellIs" dxfId="5467" priority="536" operator="equal">
      <formula>"NO"</formula>
    </cfRule>
  </conditionalFormatting>
  <conditionalFormatting sqref="I232">
    <cfRule type="cellIs" dxfId="5466" priority="531" operator="equal">
      <formula>"NA"</formula>
    </cfRule>
    <cfRule type="cellIs" dxfId="5465" priority="532" operator="equal">
      <formula>"SI"</formula>
    </cfRule>
    <cfRule type="cellIs" dxfId="5464" priority="533" operator="equal">
      <formula>"NO"</formula>
    </cfRule>
  </conditionalFormatting>
  <conditionalFormatting sqref="I241">
    <cfRule type="cellIs" dxfId="5463" priority="528" operator="equal">
      <formula>"NA"</formula>
    </cfRule>
    <cfRule type="cellIs" dxfId="5462" priority="529" operator="equal">
      <formula>"SI"</formula>
    </cfRule>
    <cfRule type="cellIs" dxfId="5461" priority="530" operator="equal">
      <formula>"NO"</formula>
    </cfRule>
  </conditionalFormatting>
  <conditionalFormatting sqref="I250">
    <cfRule type="cellIs" dxfId="5460" priority="525" operator="equal">
      <formula>"NA"</formula>
    </cfRule>
    <cfRule type="cellIs" dxfId="5459" priority="526" operator="equal">
      <formula>"SI"</formula>
    </cfRule>
    <cfRule type="cellIs" dxfId="5458" priority="527" operator="equal">
      <formula>"NO"</formula>
    </cfRule>
  </conditionalFormatting>
  <conditionalFormatting sqref="I259">
    <cfRule type="cellIs" dxfId="5457" priority="522" operator="equal">
      <formula>"NA"</formula>
    </cfRule>
    <cfRule type="cellIs" dxfId="5456" priority="523" operator="equal">
      <formula>"SI"</formula>
    </cfRule>
    <cfRule type="cellIs" dxfId="5455" priority="524" operator="equal">
      <formula>"NO"</formula>
    </cfRule>
  </conditionalFormatting>
  <conditionalFormatting sqref="I268">
    <cfRule type="cellIs" dxfId="5454" priority="519" operator="equal">
      <formula>"NA"</formula>
    </cfRule>
    <cfRule type="cellIs" dxfId="5453" priority="520" operator="equal">
      <formula>"SI"</formula>
    </cfRule>
    <cfRule type="cellIs" dxfId="5452" priority="521" operator="equal">
      <formula>"NO"</formula>
    </cfRule>
  </conditionalFormatting>
  <conditionalFormatting sqref="I277">
    <cfRule type="cellIs" dxfId="5451" priority="516" operator="equal">
      <formula>"NA"</formula>
    </cfRule>
    <cfRule type="cellIs" dxfId="5450" priority="517" operator="equal">
      <formula>"SI"</formula>
    </cfRule>
    <cfRule type="cellIs" dxfId="5449" priority="518" operator="equal">
      <formula>"NO"</formula>
    </cfRule>
  </conditionalFormatting>
  <conditionalFormatting sqref="I286">
    <cfRule type="cellIs" dxfId="5448" priority="513" operator="equal">
      <formula>"NA"</formula>
    </cfRule>
    <cfRule type="cellIs" dxfId="5447" priority="514" operator="equal">
      <formula>"SI"</formula>
    </cfRule>
    <cfRule type="cellIs" dxfId="5446" priority="515" operator="equal">
      <formula>"NO"</formula>
    </cfRule>
  </conditionalFormatting>
  <conditionalFormatting sqref="I295">
    <cfRule type="cellIs" dxfId="5445" priority="510" operator="equal">
      <formula>"NA"</formula>
    </cfRule>
    <cfRule type="cellIs" dxfId="5444" priority="511" operator="equal">
      <formula>"SI"</formula>
    </cfRule>
    <cfRule type="cellIs" dxfId="5443" priority="512" operator="equal">
      <formula>"NO"</formula>
    </cfRule>
  </conditionalFormatting>
  <conditionalFormatting sqref="I304">
    <cfRule type="cellIs" dxfId="5442" priority="507" operator="equal">
      <formula>"NA"</formula>
    </cfRule>
    <cfRule type="cellIs" dxfId="5441" priority="508" operator="equal">
      <formula>"SI"</formula>
    </cfRule>
    <cfRule type="cellIs" dxfId="5440" priority="509" operator="equal">
      <formula>"NO"</formula>
    </cfRule>
  </conditionalFormatting>
  <conditionalFormatting sqref="I313">
    <cfRule type="cellIs" dxfId="5439" priority="504" operator="equal">
      <formula>"NA"</formula>
    </cfRule>
    <cfRule type="cellIs" dxfId="5438" priority="505" operator="equal">
      <formula>"SI"</formula>
    </cfRule>
    <cfRule type="cellIs" dxfId="5437" priority="506" operator="equal">
      <formula>"NO"</formula>
    </cfRule>
  </conditionalFormatting>
  <conditionalFormatting sqref="I322">
    <cfRule type="cellIs" dxfId="5436" priority="501" operator="equal">
      <formula>"NA"</formula>
    </cfRule>
    <cfRule type="cellIs" dxfId="5435" priority="502" operator="equal">
      <formula>"SI"</formula>
    </cfRule>
    <cfRule type="cellIs" dxfId="5434" priority="503" operator="equal">
      <formula>"NO"</formula>
    </cfRule>
  </conditionalFormatting>
  <conditionalFormatting sqref="I331">
    <cfRule type="cellIs" dxfId="5433" priority="498" operator="equal">
      <formula>"NA"</formula>
    </cfRule>
    <cfRule type="cellIs" dxfId="5432" priority="499" operator="equal">
      <formula>"SI"</formula>
    </cfRule>
    <cfRule type="cellIs" dxfId="5431" priority="500" operator="equal">
      <formula>"NO"</formula>
    </cfRule>
  </conditionalFormatting>
  <conditionalFormatting sqref="I340">
    <cfRule type="cellIs" dxfId="5430" priority="495" operator="equal">
      <formula>"NA"</formula>
    </cfRule>
    <cfRule type="cellIs" dxfId="5429" priority="496" operator="equal">
      <formula>"SI"</formula>
    </cfRule>
    <cfRule type="cellIs" dxfId="5428" priority="497" operator="equal">
      <formula>"NO"</formula>
    </cfRule>
  </conditionalFormatting>
  <conditionalFormatting sqref="I349">
    <cfRule type="cellIs" dxfId="5427" priority="492" operator="equal">
      <formula>"NA"</formula>
    </cfRule>
    <cfRule type="cellIs" dxfId="5426" priority="493" operator="equal">
      <formula>"SI"</formula>
    </cfRule>
    <cfRule type="cellIs" dxfId="5425" priority="494" operator="equal">
      <formula>"NO"</formula>
    </cfRule>
  </conditionalFormatting>
  <conditionalFormatting sqref="I367">
    <cfRule type="cellIs" dxfId="5424" priority="486" operator="equal">
      <formula>"NA"</formula>
    </cfRule>
    <cfRule type="cellIs" dxfId="5423" priority="487" operator="equal">
      <formula>"SI"</formula>
    </cfRule>
    <cfRule type="cellIs" dxfId="5422" priority="488" operator="equal">
      <formula>"NO"</formula>
    </cfRule>
  </conditionalFormatting>
  <conditionalFormatting sqref="I376">
    <cfRule type="cellIs" dxfId="5421" priority="483" operator="equal">
      <formula>"NA"</formula>
    </cfRule>
    <cfRule type="cellIs" dxfId="5420" priority="484" operator="equal">
      <formula>"SI"</formula>
    </cfRule>
    <cfRule type="cellIs" dxfId="5419" priority="485" operator="equal">
      <formula>"NO"</formula>
    </cfRule>
  </conditionalFormatting>
  <conditionalFormatting sqref="I385">
    <cfRule type="cellIs" dxfId="5418" priority="480" operator="equal">
      <formula>"NA"</formula>
    </cfRule>
    <cfRule type="cellIs" dxfId="5417" priority="481" operator="equal">
      <formula>"SI"</formula>
    </cfRule>
    <cfRule type="cellIs" dxfId="5416" priority="482" operator="equal">
      <formula>"NO"</formula>
    </cfRule>
  </conditionalFormatting>
  <conditionalFormatting sqref="I403">
    <cfRule type="cellIs" dxfId="5415" priority="474" operator="equal">
      <formula>"NA"</formula>
    </cfRule>
    <cfRule type="cellIs" dxfId="5414" priority="475" operator="equal">
      <formula>"SI"</formula>
    </cfRule>
    <cfRule type="cellIs" dxfId="5413" priority="476" operator="equal">
      <formula>"NO"</formula>
    </cfRule>
  </conditionalFormatting>
  <conditionalFormatting sqref="I421">
    <cfRule type="cellIs" dxfId="5412" priority="471" operator="equal">
      <formula>"NA"</formula>
    </cfRule>
    <cfRule type="cellIs" dxfId="5411" priority="472" operator="equal">
      <formula>"SI"</formula>
    </cfRule>
    <cfRule type="cellIs" dxfId="5410" priority="473" operator="equal">
      <formula>"NO"</formula>
    </cfRule>
  </conditionalFormatting>
  <conditionalFormatting sqref="I430">
    <cfRule type="cellIs" dxfId="5409" priority="468" operator="equal">
      <formula>"NA"</formula>
    </cfRule>
    <cfRule type="cellIs" dxfId="5408" priority="469" operator="equal">
      <formula>"SI"</formula>
    </cfRule>
    <cfRule type="cellIs" dxfId="5407" priority="470" operator="equal">
      <formula>"NO"</formula>
    </cfRule>
  </conditionalFormatting>
  <conditionalFormatting sqref="I439">
    <cfRule type="cellIs" dxfId="5406" priority="465" operator="equal">
      <formula>"NA"</formula>
    </cfRule>
    <cfRule type="cellIs" dxfId="5405" priority="466" operator="equal">
      <formula>"SI"</formula>
    </cfRule>
    <cfRule type="cellIs" dxfId="5404" priority="467" operator="equal">
      <formula>"NO"</formula>
    </cfRule>
  </conditionalFormatting>
  <conditionalFormatting sqref="I448">
    <cfRule type="cellIs" dxfId="5403" priority="462" operator="equal">
      <formula>"NA"</formula>
    </cfRule>
    <cfRule type="cellIs" dxfId="5402" priority="463" operator="equal">
      <formula>"SI"</formula>
    </cfRule>
    <cfRule type="cellIs" dxfId="5401" priority="464" operator="equal">
      <formula>"NO"</formula>
    </cfRule>
  </conditionalFormatting>
  <conditionalFormatting sqref="I457">
    <cfRule type="cellIs" dxfId="5400" priority="459" operator="equal">
      <formula>"NA"</formula>
    </cfRule>
    <cfRule type="cellIs" dxfId="5399" priority="460" operator="equal">
      <formula>"SI"</formula>
    </cfRule>
    <cfRule type="cellIs" dxfId="5398" priority="461" operator="equal">
      <formula>"NO"</formula>
    </cfRule>
  </conditionalFormatting>
  <conditionalFormatting sqref="I466">
    <cfRule type="cellIs" dxfId="5397" priority="456" operator="equal">
      <formula>"NA"</formula>
    </cfRule>
    <cfRule type="cellIs" dxfId="5396" priority="457" operator="equal">
      <formula>"SI"</formula>
    </cfRule>
    <cfRule type="cellIs" dxfId="5395" priority="458" operator="equal">
      <formula>"NO"</formula>
    </cfRule>
  </conditionalFormatting>
  <conditionalFormatting sqref="I475">
    <cfRule type="cellIs" dxfId="5394" priority="453" operator="equal">
      <formula>"NA"</formula>
    </cfRule>
    <cfRule type="cellIs" dxfId="5393" priority="454" operator="equal">
      <formula>"SI"</formula>
    </cfRule>
    <cfRule type="cellIs" dxfId="5392" priority="455" operator="equal">
      <formula>"NO"</formula>
    </cfRule>
  </conditionalFormatting>
  <conditionalFormatting sqref="I484">
    <cfRule type="cellIs" dxfId="5391" priority="450" operator="equal">
      <formula>"NA"</formula>
    </cfRule>
    <cfRule type="cellIs" dxfId="5390" priority="451" operator="equal">
      <formula>"SI"</formula>
    </cfRule>
    <cfRule type="cellIs" dxfId="5389" priority="452" operator="equal">
      <formula>"NO"</formula>
    </cfRule>
  </conditionalFormatting>
  <conditionalFormatting sqref="I493">
    <cfRule type="cellIs" dxfId="5388" priority="447" operator="equal">
      <formula>"NA"</formula>
    </cfRule>
    <cfRule type="cellIs" dxfId="5387" priority="448" operator="equal">
      <formula>"SI"</formula>
    </cfRule>
    <cfRule type="cellIs" dxfId="5386" priority="449" operator="equal">
      <formula>"NO"</formula>
    </cfRule>
  </conditionalFormatting>
  <conditionalFormatting sqref="N46:N47">
    <cfRule type="containsText" dxfId="5385" priority="440" operator="containsText" text="NO CUMPLE">
      <formula>NOT(ISERROR(SEARCH("NO CUMPLE",N46)))</formula>
    </cfRule>
  </conditionalFormatting>
  <conditionalFormatting sqref="L46:L47">
    <cfRule type="cellIs" dxfId="5384" priority="441" stopIfTrue="1" operator="equal">
      <formula>0</formula>
    </cfRule>
    <cfRule type="cellIs" dxfId="5383" priority="442" stopIfTrue="1" operator="greaterThanOrEqual">
      <formula>#REF!</formula>
    </cfRule>
    <cfRule type="cellIs" dxfId="5382" priority="443" stopIfTrue="1" operator="between">
      <formula>0</formula>
      <formula>#REF!</formula>
    </cfRule>
  </conditionalFormatting>
  <conditionalFormatting sqref="N37:N38">
    <cfRule type="containsText" dxfId="5381" priority="436" operator="containsText" text="NO CUMPLE">
      <formula>NOT(ISERROR(SEARCH("NO CUMPLE",N37)))</formula>
    </cfRule>
  </conditionalFormatting>
  <conditionalFormatting sqref="L37:L38">
    <cfRule type="cellIs" dxfId="5380" priority="437" stopIfTrue="1" operator="equal">
      <formula>0</formula>
    </cfRule>
    <cfRule type="cellIs" dxfId="5379" priority="438" stopIfTrue="1" operator="greaterThanOrEqual">
      <formula>#REF!</formula>
    </cfRule>
    <cfRule type="cellIs" dxfId="5378" priority="439" stopIfTrue="1" operator="between">
      <formula>0</formula>
      <formula>#REF!</formula>
    </cfRule>
  </conditionalFormatting>
  <conditionalFormatting sqref="N28:N29">
    <cfRule type="containsText" dxfId="5377" priority="432" operator="containsText" text="NO CUMPLE">
      <formula>NOT(ISERROR(SEARCH("NO CUMPLE",N28)))</formula>
    </cfRule>
  </conditionalFormatting>
  <conditionalFormatting sqref="L28:L29">
    <cfRule type="cellIs" dxfId="5376" priority="433" stopIfTrue="1" operator="equal">
      <formula>0</formula>
    </cfRule>
    <cfRule type="cellIs" dxfId="5375" priority="434" stopIfTrue="1" operator="greaterThanOrEqual">
      <formula>#REF!</formula>
    </cfRule>
    <cfRule type="cellIs" dxfId="5374" priority="435" stopIfTrue="1" operator="between">
      <formula>0</formula>
      <formula>#REF!</formula>
    </cfRule>
  </conditionalFormatting>
  <conditionalFormatting sqref="N19:N20">
    <cfRule type="containsText" dxfId="5373" priority="428" operator="containsText" text="NO CUMPLE">
      <formula>NOT(ISERROR(SEARCH("NO CUMPLE",N19)))</formula>
    </cfRule>
  </conditionalFormatting>
  <conditionalFormatting sqref="L19:L20">
    <cfRule type="cellIs" dxfId="5372" priority="429" stopIfTrue="1" operator="equal">
      <formula>0</formula>
    </cfRule>
    <cfRule type="cellIs" dxfId="5371" priority="430" stopIfTrue="1" operator="greaterThanOrEqual">
      <formula>#REF!</formula>
    </cfRule>
    <cfRule type="cellIs" dxfId="5370" priority="431" stopIfTrue="1" operator="between">
      <formula>0</formula>
      <formula>#REF!</formula>
    </cfRule>
  </conditionalFormatting>
  <conditionalFormatting sqref="N10:N11">
    <cfRule type="containsText" dxfId="5369" priority="424" operator="containsText" text="NO CUMPLE">
      <formula>NOT(ISERROR(SEARCH("NO CUMPLE",N10)))</formula>
    </cfRule>
  </conditionalFormatting>
  <conditionalFormatting sqref="L10:L11">
    <cfRule type="cellIs" dxfId="5368" priority="425" stopIfTrue="1" operator="equal">
      <formula>0</formula>
    </cfRule>
    <cfRule type="cellIs" dxfId="5367" priority="426" stopIfTrue="1" operator="greaterThanOrEqual">
      <formula>#REF!</formula>
    </cfRule>
    <cfRule type="cellIs" dxfId="5366" priority="427" stopIfTrue="1" operator="between">
      <formula>0</formula>
      <formula>#REF!</formula>
    </cfRule>
  </conditionalFormatting>
  <conditionalFormatting sqref="G4">
    <cfRule type="cellIs" dxfId="5365" priority="423" stopIfTrue="1" operator="greaterThan">
      <formula>0</formula>
    </cfRule>
  </conditionalFormatting>
  <conditionalFormatting sqref="G4">
    <cfRule type="cellIs" dxfId="5364" priority="422" stopIfTrue="1" operator="lessThan">
      <formula>0</formula>
    </cfRule>
  </conditionalFormatting>
  <conditionalFormatting sqref="D7:F7">
    <cfRule type="containsBlanks" dxfId="5363" priority="418">
      <formula>LEN(TRIM(D7))=0</formula>
    </cfRule>
    <cfRule type="containsBlanks" dxfId="5362" priority="419">
      <formula>LEN(TRIM(D7))=0</formula>
    </cfRule>
    <cfRule type="containsBlanks" dxfId="5361" priority="420">
      <formula>LEN(TRIM(D7))=0</formula>
    </cfRule>
    <cfRule type="containsBlanks" dxfId="5360" priority="421">
      <formula>LEN(TRIM(D7))=0</formula>
    </cfRule>
  </conditionalFormatting>
  <conditionalFormatting sqref="G7">
    <cfRule type="cellIs" dxfId="5359" priority="417" stopIfTrue="1" operator="greaterThan">
      <formula>0</formula>
    </cfRule>
  </conditionalFormatting>
  <conditionalFormatting sqref="G7">
    <cfRule type="cellIs" dxfId="5358" priority="416" stopIfTrue="1" operator="lessThan">
      <formula>0</formula>
    </cfRule>
  </conditionalFormatting>
  <conditionalFormatting sqref="B6">
    <cfRule type="containsBlanks" dxfId="5357" priority="415">
      <formula>LEN(TRIM(B6))=0</formula>
    </cfRule>
  </conditionalFormatting>
  <conditionalFormatting sqref="G5">
    <cfRule type="cellIs" dxfId="5356" priority="414" stopIfTrue="1" operator="greaterThan">
      <formula>0</formula>
    </cfRule>
  </conditionalFormatting>
  <conditionalFormatting sqref="G5">
    <cfRule type="cellIs" dxfId="5355" priority="413" stopIfTrue="1" operator="lessThan">
      <formula>0</formula>
    </cfRule>
  </conditionalFormatting>
  <conditionalFormatting sqref="H7">
    <cfRule type="cellIs" dxfId="5354" priority="412" stopIfTrue="1" operator="greaterThan">
      <formula>0</formula>
    </cfRule>
  </conditionalFormatting>
  <conditionalFormatting sqref="H7">
    <cfRule type="cellIs" dxfId="5353" priority="411" stopIfTrue="1" operator="lessThan">
      <formula>0</formula>
    </cfRule>
  </conditionalFormatting>
  <conditionalFormatting sqref="N64:N65">
    <cfRule type="containsText" dxfId="5352" priority="407" operator="containsText" text="NO CUMPLE">
      <formula>NOT(ISERROR(SEARCH("NO CUMPLE",N64)))</formula>
    </cfRule>
  </conditionalFormatting>
  <conditionalFormatting sqref="L64:L65">
    <cfRule type="cellIs" dxfId="5351" priority="408" stopIfTrue="1" operator="equal">
      <formula>0</formula>
    </cfRule>
    <cfRule type="cellIs" dxfId="5350" priority="409" stopIfTrue="1" operator="greaterThanOrEqual">
      <formula>#REF!</formula>
    </cfRule>
    <cfRule type="cellIs" dxfId="5349" priority="410" stopIfTrue="1" operator="between">
      <formula>0</formula>
      <formula>#REF!</formula>
    </cfRule>
  </conditionalFormatting>
  <conditionalFormatting sqref="N73:N74">
    <cfRule type="containsText" dxfId="5348" priority="403" operator="containsText" text="NO CUMPLE">
      <formula>NOT(ISERROR(SEARCH("NO CUMPLE",N73)))</formula>
    </cfRule>
  </conditionalFormatting>
  <conditionalFormatting sqref="L73:L74">
    <cfRule type="cellIs" dxfId="5347" priority="404" stopIfTrue="1" operator="equal">
      <formula>0</formula>
    </cfRule>
    <cfRule type="cellIs" dxfId="5346" priority="405" stopIfTrue="1" operator="greaterThanOrEqual">
      <formula>#REF!</formula>
    </cfRule>
    <cfRule type="cellIs" dxfId="5345" priority="406" stopIfTrue="1" operator="between">
      <formula>0</formula>
      <formula>#REF!</formula>
    </cfRule>
  </conditionalFormatting>
  <conditionalFormatting sqref="N82:N83">
    <cfRule type="containsText" dxfId="5344" priority="399" operator="containsText" text="NO CUMPLE">
      <formula>NOT(ISERROR(SEARCH("NO CUMPLE",N82)))</formula>
    </cfRule>
  </conditionalFormatting>
  <conditionalFormatting sqref="L82:L83">
    <cfRule type="cellIs" dxfId="5343" priority="400" stopIfTrue="1" operator="equal">
      <formula>0</formula>
    </cfRule>
    <cfRule type="cellIs" dxfId="5342" priority="401" stopIfTrue="1" operator="greaterThanOrEqual">
      <formula>#REF!</formula>
    </cfRule>
    <cfRule type="cellIs" dxfId="5341" priority="402" stopIfTrue="1" operator="between">
      <formula>0</formula>
      <formula>#REF!</formula>
    </cfRule>
  </conditionalFormatting>
  <conditionalFormatting sqref="N91:N92">
    <cfRule type="containsText" dxfId="5340" priority="395" operator="containsText" text="NO CUMPLE">
      <formula>NOT(ISERROR(SEARCH("NO CUMPLE",N91)))</formula>
    </cfRule>
  </conditionalFormatting>
  <conditionalFormatting sqref="L91:L92">
    <cfRule type="cellIs" dxfId="5339" priority="396" stopIfTrue="1" operator="equal">
      <formula>0</formula>
    </cfRule>
    <cfRule type="cellIs" dxfId="5338" priority="397" stopIfTrue="1" operator="greaterThanOrEqual">
      <formula>#REF!</formula>
    </cfRule>
    <cfRule type="cellIs" dxfId="5337" priority="398" stopIfTrue="1" operator="between">
      <formula>0</formula>
      <formula>#REF!</formula>
    </cfRule>
  </conditionalFormatting>
  <conditionalFormatting sqref="N100:N101">
    <cfRule type="containsText" dxfId="5336" priority="391" operator="containsText" text="NO CUMPLE">
      <formula>NOT(ISERROR(SEARCH("NO CUMPLE",N100)))</formula>
    </cfRule>
  </conditionalFormatting>
  <conditionalFormatting sqref="L100:L101">
    <cfRule type="cellIs" dxfId="5335" priority="392" stopIfTrue="1" operator="equal">
      <formula>0</formula>
    </cfRule>
    <cfRule type="cellIs" dxfId="5334" priority="393" stopIfTrue="1" operator="greaterThanOrEqual">
      <formula>#REF!</formula>
    </cfRule>
    <cfRule type="cellIs" dxfId="5333" priority="394" stopIfTrue="1" operator="between">
      <formula>0</formula>
      <formula>#REF!</formula>
    </cfRule>
  </conditionalFormatting>
  <conditionalFormatting sqref="N109:N110">
    <cfRule type="containsText" dxfId="5332" priority="387" operator="containsText" text="NO CUMPLE">
      <formula>NOT(ISERROR(SEARCH("NO CUMPLE",N109)))</formula>
    </cfRule>
  </conditionalFormatting>
  <conditionalFormatting sqref="L109:L110">
    <cfRule type="cellIs" dxfId="5331" priority="388" stopIfTrue="1" operator="equal">
      <formula>0</formula>
    </cfRule>
    <cfRule type="cellIs" dxfId="5330" priority="389" stopIfTrue="1" operator="greaterThanOrEqual">
      <formula>#REF!</formula>
    </cfRule>
    <cfRule type="cellIs" dxfId="5329" priority="390" stopIfTrue="1" operator="between">
      <formula>0</formula>
      <formula>#REF!</formula>
    </cfRule>
  </conditionalFormatting>
  <conditionalFormatting sqref="N118:N119">
    <cfRule type="containsText" dxfId="5328" priority="383" operator="containsText" text="NO CUMPLE">
      <formula>NOT(ISERROR(SEARCH("NO CUMPLE",N118)))</formula>
    </cfRule>
  </conditionalFormatting>
  <conditionalFormatting sqref="L118:L119">
    <cfRule type="cellIs" dxfId="5327" priority="384" stopIfTrue="1" operator="equal">
      <formula>0</formula>
    </cfRule>
    <cfRule type="cellIs" dxfId="5326" priority="385" stopIfTrue="1" operator="greaterThanOrEqual">
      <formula>#REF!</formula>
    </cfRule>
    <cfRule type="cellIs" dxfId="5325" priority="386" stopIfTrue="1" operator="between">
      <formula>0</formula>
      <formula>#REF!</formula>
    </cfRule>
  </conditionalFormatting>
  <conditionalFormatting sqref="N127:N128">
    <cfRule type="containsText" dxfId="5324" priority="379" operator="containsText" text="NO CUMPLE">
      <formula>NOT(ISERROR(SEARCH("NO CUMPLE",N127)))</formula>
    </cfRule>
  </conditionalFormatting>
  <conditionalFormatting sqref="L127:L128">
    <cfRule type="cellIs" dxfId="5323" priority="380" stopIfTrue="1" operator="equal">
      <formula>0</formula>
    </cfRule>
    <cfRule type="cellIs" dxfId="5322" priority="381" stopIfTrue="1" operator="greaterThanOrEqual">
      <formula>#REF!</formula>
    </cfRule>
    <cfRule type="cellIs" dxfId="5321" priority="382" stopIfTrue="1" operator="between">
      <formula>0</formula>
      <formula>#REF!</formula>
    </cfRule>
  </conditionalFormatting>
  <conditionalFormatting sqref="N136:N137">
    <cfRule type="containsText" dxfId="5320" priority="375" operator="containsText" text="NO CUMPLE">
      <formula>NOT(ISERROR(SEARCH("NO CUMPLE",N136)))</formula>
    </cfRule>
  </conditionalFormatting>
  <conditionalFormatting sqref="L136:L137">
    <cfRule type="cellIs" dxfId="5319" priority="376" stopIfTrue="1" operator="equal">
      <formula>0</formula>
    </cfRule>
    <cfRule type="cellIs" dxfId="5318" priority="377" stopIfTrue="1" operator="greaterThanOrEqual">
      <formula>#REF!</formula>
    </cfRule>
    <cfRule type="cellIs" dxfId="5317" priority="378" stopIfTrue="1" operator="between">
      <formula>0</formula>
      <formula>#REF!</formula>
    </cfRule>
  </conditionalFormatting>
  <conditionalFormatting sqref="N145:N146">
    <cfRule type="containsText" dxfId="5316" priority="371" operator="containsText" text="NO CUMPLE">
      <formula>NOT(ISERROR(SEARCH("NO CUMPLE",N145)))</formula>
    </cfRule>
  </conditionalFormatting>
  <conditionalFormatting sqref="L145:L146">
    <cfRule type="cellIs" dxfId="5315" priority="372" stopIfTrue="1" operator="equal">
      <formula>0</formula>
    </cfRule>
    <cfRule type="cellIs" dxfId="5314" priority="373" stopIfTrue="1" operator="greaterThanOrEqual">
      <formula>#REF!</formula>
    </cfRule>
    <cfRule type="cellIs" dxfId="5313" priority="374" stopIfTrue="1" operator="between">
      <formula>0</formula>
      <formula>#REF!</formula>
    </cfRule>
  </conditionalFormatting>
  <conditionalFormatting sqref="N154:N155">
    <cfRule type="containsText" dxfId="5312" priority="367" operator="containsText" text="NO CUMPLE">
      <formula>NOT(ISERROR(SEARCH("NO CUMPLE",N154)))</formula>
    </cfRule>
  </conditionalFormatting>
  <conditionalFormatting sqref="L154:L155">
    <cfRule type="cellIs" dxfId="5311" priority="368" stopIfTrue="1" operator="equal">
      <formula>0</formula>
    </cfRule>
    <cfRule type="cellIs" dxfId="5310" priority="369" stopIfTrue="1" operator="greaterThanOrEqual">
      <formula>#REF!</formula>
    </cfRule>
    <cfRule type="cellIs" dxfId="5309" priority="370" stopIfTrue="1" operator="between">
      <formula>0</formula>
      <formula>#REF!</formula>
    </cfRule>
  </conditionalFormatting>
  <conditionalFormatting sqref="N163:N164">
    <cfRule type="containsText" dxfId="5308" priority="363" operator="containsText" text="NO CUMPLE">
      <formula>NOT(ISERROR(SEARCH("NO CUMPLE",N163)))</formula>
    </cfRule>
  </conditionalFormatting>
  <conditionalFormatting sqref="L163:L164">
    <cfRule type="cellIs" dxfId="5307" priority="364" stopIfTrue="1" operator="equal">
      <formula>0</formula>
    </cfRule>
    <cfRule type="cellIs" dxfId="5306" priority="365" stopIfTrue="1" operator="greaterThanOrEqual">
      <formula>#REF!</formula>
    </cfRule>
    <cfRule type="cellIs" dxfId="5305" priority="366" stopIfTrue="1" operator="between">
      <formula>0</formula>
      <formula>#REF!</formula>
    </cfRule>
  </conditionalFormatting>
  <conditionalFormatting sqref="N172:N173">
    <cfRule type="containsText" dxfId="5304" priority="359" operator="containsText" text="NO CUMPLE">
      <formula>NOT(ISERROR(SEARCH("NO CUMPLE",N172)))</formula>
    </cfRule>
  </conditionalFormatting>
  <conditionalFormatting sqref="L172:L173">
    <cfRule type="cellIs" dxfId="5303" priority="360" stopIfTrue="1" operator="equal">
      <formula>0</formula>
    </cfRule>
    <cfRule type="cellIs" dxfId="5302" priority="361" stopIfTrue="1" operator="greaterThanOrEqual">
      <formula>#REF!</formula>
    </cfRule>
    <cfRule type="cellIs" dxfId="5301" priority="362" stopIfTrue="1" operator="between">
      <formula>0</formula>
      <formula>#REF!</formula>
    </cfRule>
  </conditionalFormatting>
  <conditionalFormatting sqref="N181:N182">
    <cfRule type="containsText" dxfId="5300" priority="355" operator="containsText" text="NO CUMPLE">
      <formula>NOT(ISERROR(SEARCH("NO CUMPLE",N181)))</formula>
    </cfRule>
  </conditionalFormatting>
  <conditionalFormatting sqref="L181:L182">
    <cfRule type="cellIs" dxfId="5299" priority="356" stopIfTrue="1" operator="equal">
      <formula>0</formula>
    </cfRule>
    <cfRule type="cellIs" dxfId="5298" priority="357" stopIfTrue="1" operator="greaterThanOrEqual">
      <formula>#REF!</formula>
    </cfRule>
    <cfRule type="cellIs" dxfId="5297" priority="358" stopIfTrue="1" operator="between">
      <formula>0</formula>
      <formula>#REF!</formula>
    </cfRule>
  </conditionalFormatting>
  <conditionalFormatting sqref="N190:N191">
    <cfRule type="containsText" dxfId="5296" priority="351" operator="containsText" text="NO CUMPLE">
      <formula>NOT(ISERROR(SEARCH("NO CUMPLE",N190)))</formula>
    </cfRule>
  </conditionalFormatting>
  <conditionalFormatting sqref="L190:L191">
    <cfRule type="cellIs" dxfId="5295" priority="352" stopIfTrue="1" operator="equal">
      <formula>0</formula>
    </cfRule>
    <cfRule type="cellIs" dxfId="5294" priority="353" stopIfTrue="1" operator="greaterThanOrEqual">
      <formula>#REF!</formula>
    </cfRule>
    <cfRule type="cellIs" dxfId="5293" priority="354" stopIfTrue="1" operator="between">
      <formula>0</formula>
      <formula>#REF!</formula>
    </cfRule>
  </conditionalFormatting>
  <conditionalFormatting sqref="N199:N200">
    <cfRule type="containsText" dxfId="5292" priority="347" operator="containsText" text="NO CUMPLE">
      <formula>NOT(ISERROR(SEARCH("NO CUMPLE",N199)))</formula>
    </cfRule>
  </conditionalFormatting>
  <conditionalFormatting sqref="L199:L200">
    <cfRule type="cellIs" dxfId="5291" priority="348" stopIfTrue="1" operator="equal">
      <formula>0</formula>
    </cfRule>
    <cfRule type="cellIs" dxfId="5290" priority="349" stopIfTrue="1" operator="greaterThanOrEqual">
      <formula>#REF!</formula>
    </cfRule>
    <cfRule type="cellIs" dxfId="5289" priority="350" stopIfTrue="1" operator="between">
      <formula>0</formula>
      <formula>#REF!</formula>
    </cfRule>
  </conditionalFormatting>
  <conditionalFormatting sqref="N208:N209">
    <cfRule type="containsText" dxfId="5288" priority="343" operator="containsText" text="NO CUMPLE">
      <formula>NOT(ISERROR(SEARCH("NO CUMPLE",N208)))</formula>
    </cfRule>
  </conditionalFormatting>
  <conditionalFormatting sqref="L208:L209">
    <cfRule type="cellIs" dxfId="5287" priority="344" stopIfTrue="1" operator="equal">
      <formula>0</formula>
    </cfRule>
    <cfRule type="cellIs" dxfId="5286" priority="345" stopIfTrue="1" operator="greaterThanOrEqual">
      <formula>#REF!</formula>
    </cfRule>
    <cfRule type="cellIs" dxfId="5285" priority="346" stopIfTrue="1" operator="between">
      <formula>0</formula>
      <formula>#REF!</formula>
    </cfRule>
  </conditionalFormatting>
  <conditionalFormatting sqref="N217:N218">
    <cfRule type="containsText" dxfId="5284" priority="339" operator="containsText" text="NO CUMPLE">
      <formula>NOT(ISERROR(SEARCH("NO CUMPLE",N217)))</formula>
    </cfRule>
  </conditionalFormatting>
  <conditionalFormatting sqref="L217:L218">
    <cfRule type="cellIs" dxfId="5283" priority="340" stopIfTrue="1" operator="equal">
      <formula>0</formula>
    </cfRule>
    <cfRule type="cellIs" dxfId="5282" priority="341" stopIfTrue="1" operator="greaterThanOrEqual">
      <formula>#REF!</formula>
    </cfRule>
    <cfRule type="cellIs" dxfId="5281" priority="342" stopIfTrue="1" operator="between">
      <formula>0</formula>
      <formula>#REF!</formula>
    </cfRule>
  </conditionalFormatting>
  <conditionalFormatting sqref="N226:N227">
    <cfRule type="containsText" dxfId="5280" priority="335" operator="containsText" text="NO CUMPLE">
      <formula>NOT(ISERROR(SEARCH("NO CUMPLE",N226)))</formula>
    </cfRule>
  </conditionalFormatting>
  <conditionalFormatting sqref="L226:L227">
    <cfRule type="cellIs" dxfId="5279" priority="336" stopIfTrue="1" operator="equal">
      <formula>0</formula>
    </cfRule>
    <cfRule type="cellIs" dxfId="5278" priority="337" stopIfTrue="1" operator="greaterThanOrEqual">
      <formula>#REF!</formula>
    </cfRule>
    <cfRule type="cellIs" dxfId="5277" priority="338" stopIfTrue="1" operator="between">
      <formula>0</formula>
      <formula>#REF!</formula>
    </cfRule>
  </conditionalFormatting>
  <conditionalFormatting sqref="N235:N236">
    <cfRule type="containsText" dxfId="5276" priority="331" operator="containsText" text="NO CUMPLE">
      <formula>NOT(ISERROR(SEARCH("NO CUMPLE",N235)))</formula>
    </cfRule>
  </conditionalFormatting>
  <conditionalFormatting sqref="L235:L236">
    <cfRule type="cellIs" dxfId="5275" priority="332" stopIfTrue="1" operator="equal">
      <formula>0</formula>
    </cfRule>
    <cfRule type="cellIs" dxfId="5274" priority="333" stopIfTrue="1" operator="greaterThanOrEqual">
      <formula>#REF!</formula>
    </cfRule>
    <cfRule type="cellIs" dxfId="5273" priority="334" stopIfTrue="1" operator="between">
      <formula>0</formula>
      <formula>#REF!</formula>
    </cfRule>
  </conditionalFormatting>
  <conditionalFormatting sqref="N244:N245">
    <cfRule type="containsText" dxfId="5272" priority="327" operator="containsText" text="NO CUMPLE">
      <formula>NOT(ISERROR(SEARCH("NO CUMPLE",N244)))</formula>
    </cfRule>
  </conditionalFormatting>
  <conditionalFormatting sqref="L244:L245">
    <cfRule type="cellIs" dxfId="5271" priority="328" stopIfTrue="1" operator="equal">
      <formula>0</formula>
    </cfRule>
    <cfRule type="cellIs" dxfId="5270" priority="329" stopIfTrue="1" operator="greaterThanOrEqual">
      <formula>#REF!</formula>
    </cfRule>
    <cfRule type="cellIs" dxfId="5269" priority="330" stopIfTrue="1" operator="between">
      <formula>0</formula>
      <formula>#REF!</formula>
    </cfRule>
  </conditionalFormatting>
  <conditionalFormatting sqref="N253:N254">
    <cfRule type="containsText" dxfId="5268" priority="323" operator="containsText" text="NO CUMPLE">
      <formula>NOT(ISERROR(SEARCH("NO CUMPLE",N253)))</formula>
    </cfRule>
  </conditionalFormatting>
  <conditionalFormatting sqref="L253:L254">
    <cfRule type="cellIs" dxfId="5267" priority="324" stopIfTrue="1" operator="equal">
      <formula>0</formula>
    </cfRule>
    <cfRule type="cellIs" dxfId="5266" priority="325" stopIfTrue="1" operator="greaterThanOrEqual">
      <formula>#REF!</formula>
    </cfRule>
    <cfRule type="cellIs" dxfId="5265" priority="326" stopIfTrue="1" operator="between">
      <formula>0</formula>
      <formula>#REF!</formula>
    </cfRule>
  </conditionalFormatting>
  <conditionalFormatting sqref="N262:N263">
    <cfRule type="containsText" dxfId="5264" priority="319" operator="containsText" text="NO CUMPLE">
      <formula>NOT(ISERROR(SEARCH("NO CUMPLE",N262)))</formula>
    </cfRule>
  </conditionalFormatting>
  <conditionalFormatting sqref="L262:L263">
    <cfRule type="cellIs" dxfId="5263" priority="320" stopIfTrue="1" operator="equal">
      <formula>0</formula>
    </cfRule>
    <cfRule type="cellIs" dxfId="5262" priority="321" stopIfTrue="1" operator="greaterThanOrEqual">
      <formula>#REF!</formula>
    </cfRule>
    <cfRule type="cellIs" dxfId="5261" priority="322" stopIfTrue="1" operator="between">
      <formula>0</formula>
      <formula>#REF!</formula>
    </cfRule>
  </conditionalFormatting>
  <conditionalFormatting sqref="N271:N272">
    <cfRule type="containsText" dxfId="5260" priority="315" operator="containsText" text="NO CUMPLE">
      <formula>NOT(ISERROR(SEARCH("NO CUMPLE",N271)))</formula>
    </cfRule>
  </conditionalFormatting>
  <conditionalFormatting sqref="L271:L272">
    <cfRule type="cellIs" dxfId="5259" priority="316" stopIfTrue="1" operator="equal">
      <formula>0</formula>
    </cfRule>
    <cfRule type="cellIs" dxfId="5258" priority="317" stopIfTrue="1" operator="greaterThanOrEqual">
      <formula>#REF!</formula>
    </cfRule>
    <cfRule type="cellIs" dxfId="5257" priority="318" stopIfTrue="1" operator="between">
      <formula>0</formula>
      <formula>#REF!</formula>
    </cfRule>
  </conditionalFormatting>
  <conditionalFormatting sqref="N280:N281">
    <cfRule type="containsText" dxfId="5256" priority="311" operator="containsText" text="NO CUMPLE">
      <formula>NOT(ISERROR(SEARCH("NO CUMPLE",N280)))</formula>
    </cfRule>
  </conditionalFormatting>
  <conditionalFormatting sqref="L280:L281">
    <cfRule type="cellIs" dxfId="5255" priority="312" stopIfTrue="1" operator="equal">
      <formula>0</formula>
    </cfRule>
    <cfRule type="cellIs" dxfId="5254" priority="313" stopIfTrue="1" operator="greaterThanOrEqual">
      <formula>#REF!</formula>
    </cfRule>
    <cfRule type="cellIs" dxfId="5253" priority="314" stopIfTrue="1" operator="between">
      <formula>0</formula>
      <formula>#REF!</formula>
    </cfRule>
  </conditionalFormatting>
  <conditionalFormatting sqref="N289:N290">
    <cfRule type="containsText" dxfId="5252" priority="307" operator="containsText" text="NO CUMPLE">
      <formula>NOT(ISERROR(SEARCH("NO CUMPLE",N289)))</formula>
    </cfRule>
  </conditionalFormatting>
  <conditionalFormatting sqref="L289:L290">
    <cfRule type="cellIs" dxfId="5251" priority="308" stopIfTrue="1" operator="equal">
      <formula>0</formula>
    </cfRule>
    <cfRule type="cellIs" dxfId="5250" priority="309" stopIfTrue="1" operator="greaterThanOrEqual">
      <formula>#REF!</formula>
    </cfRule>
    <cfRule type="cellIs" dxfId="5249" priority="310" stopIfTrue="1" operator="between">
      <formula>0</formula>
      <formula>#REF!</formula>
    </cfRule>
  </conditionalFormatting>
  <conditionalFormatting sqref="N298:N299">
    <cfRule type="containsText" dxfId="5248" priority="303" operator="containsText" text="NO CUMPLE">
      <formula>NOT(ISERROR(SEARCH("NO CUMPLE",N298)))</formula>
    </cfRule>
  </conditionalFormatting>
  <conditionalFormatting sqref="L298:L299">
    <cfRule type="cellIs" dxfId="5247" priority="304" stopIfTrue="1" operator="equal">
      <formula>0</formula>
    </cfRule>
    <cfRule type="cellIs" dxfId="5246" priority="305" stopIfTrue="1" operator="greaterThanOrEqual">
      <formula>#REF!</formula>
    </cfRule>
    <cfRule type="cellIs" dxfId="5245" priority="306" stopIfTrue="1" operator="between">
      <formula>0</formula>
      <formula>#REF!</formula>
    </cfRule>
  </conditionalFormatting>
  <conditionalFormatting sqref="N307:N308">
    <cfRule type="containsText" dxfId="5244" priority="299" operator="containsText" text="NO CUMPLE">
      <formula>NOT(ISERROR(SEARCH("NO CUMPLE",N307)))</formula>
    </cfRule>
  </conditionalFormatting>
  <conditionalFormatting sqref="L307:L308">
    <cfRule type="cellIs" dxfId="5243" priority="300" stopIfTrue="1" operator="equal">
      <formula>0</formula>
    </cfRule>
    <cfRule type="cellIs" dxfId="5242" priority="301" stopIfTrue="1" operator="greaterThanOrEqual">
      <formula>#REF!</formula>
    </cfRule>
    <cfRule type="cellIs" dxfId="5241" priority="302" stopIfTrue="1" operator="between">
      <formula>0</formula>
      <formula>#REF!</formula>
    </cfRule>
  </conditionalFormatting>
  <conditionalFormatting sqref="N316:N317">
    <cfRule type="containsText" dxfId="5240" priority="295" operator="containsText" text="NO CUMPLE">
      <formula>NOT(ISERROR(SEARCH("NO CUMPLE",N316)))</formula>
    </cfRule>
  </conditionalFormatting>
  <conditionalFormatting sqref="L316:L317">
    <cfRule type="cellIs" dxfId="5239" priority="296" stopIfTrue="1" operator="equal">
      <formula>0</formula>
    </cfRule>
    <cfRule type="cellIs" dxfId="5238" priority="297" stopIfTrue="1" operator="greaterThanOrEqual">
      <formula>#REF!</formula>
    </cfRule>
    <cfRule type="cellIs" dxfId="5237" priority="298" stopIfTrue="1" operator="between">
      <formula>0</formula>
      <formula>#REF!</formula>
    </cfRule>
  </conditionalFormatting>
  <conditionalFormatting sqref="N325:N326">
    <cfRule type="containsText" dxfId="5236" priority="291" operator="containsText" text="NO CUMPLE">
      <formula>NOT(ISERROR(SEARCH("NO CUMPLE",N325)))</formula>
    </cfRule>
  </conditionalFormatting>
  <conditionalFormatting sqref="L325:L326">
    <cfRule type="cellIs" dxfId="5235" priority="292" stopIfTrue="1" operator="equal">
      <formula>0</formula>
    </cfRule>
    <cfRule type="cellIs" dxfId="5234" priority="293" stopIfTrue="1" operator="greaterThanOrEqual">
      <formula>#REF!</formula>
    </cfRule>
    <cfRule type="cellIs" dxfId="5233" priority="294" stopIfTrue="1" operator="between">
      <formula>0</formula>
      <formula>#REF!</formula>
    </cfRule>
  </conditionalFormatting>
  <conditionalFormatting sqref="N334:N335">
    <cfRule type="containsText" dxfId="5232" priority="287" operator="containsText" text="NO CUMPLE">
      <formula>NOT(ISERROR(SEARCH("NO CUMPLE",N334)))</formula>
    </cfRule>
  </conditionalFormatting>
  <conditionalFormatting sqref="L334:L335">
    <cfRule type="cellIs" dxfId="5231" priority="288" stopIfTrue="1" operator="equal">
      <formula>0</formula>
    </cfRule>
    <cfRule type="cellIs" dxfId="5230" priority="289" stopIfTrue="1" operator="greaterThanOrEqual">
      <formula>#REF!</formula>
    </cfRule>
    <cfRule type="cellIs" dxfId="5229" priority="290" stopIfTrue="1" operator="between">
      <formula>0</formula>
      <formula>#REF!</formula>
    </cfRule>
  </conditionalFormatting>
  <conditionalFormatting sqref="N343:N344">
    <cfRule type="containsText" dxfId="5228" priority="283" operator="containsText" text="NO CUMPLE">
      <formula>NOT(ISERROR(SEARCH("NO CUMPLE",N343)))</formula>
    </cfRule>
  </conditionalFormatting>
  <conditionalFormatting sqref="L343:L344">
    <cfRule type="cellIs" dxfId="5227" priority="284" stopIfTrue="1" operator="equal">
      <formula>0</formula>
    </cfRule>
    <cfRule type="cellIs" dxfId="5226" priority="285" stopIfTrue="1" operator="greaterThanOrEqual">
      <formula>#REF!</formula>
    </cfRule>
    <cfRule type="cellIs" dxfId="5225" priority="286" stopIfTrue="1" operator="between">
      <formula>0</formula>
      <formula>#REF!</formula>
    </cfRule>
  </conditionalFormatting>
  <conditionalFormatting sqref="N352:N353">
    <cfRule type="containsText" dxfId="5224" priority="279" operator="containsText" text="NO CUMPLE">
      <formula>NOT(ISERROR(SEARCH("NO CUMPLE",N352)))</formula>
    </cfRule>
  </conditionalFormatting>
  <conditionalFormatting sqref="L352:L353">
    <cfRule type="cellIs" dxfId="5223" priority="280" stopIfTrue="1" operator="equal">
      <formula>0</formula>
    </cfRule>
    <cfRule type="cellIs" dxfId="5222" priority="281" stopIfTrue="1" operator="greaterThanOrEqual">
      <formula>#REF!</formula>
    </cfRule>
    <cfRule type="cellIs" dxfId="5221" priority="282" stopIfTrue="1" operator="between">
      <formula>0</formula>
      <formula>#REF!</formula>
    </cfRule>
  </conditionalFormatting>
  <conditionalFormatting sqref="N361:N362">
    <cfRule type="containsText" dxfId="5220" priority="275" operator="containsText" text="NO CUMPLE">
      <formula>NOT(ISERROR(SEARCH("NO CUMPLE",N361)))</formula>
    </cfRule>
  </conditionalFormatting>
  <conditionalFormatting sqref="L361:L362">
    <cfRule type="cellIs" dxfId="5219" priority="276" stopIfTrue="1" operator="equal">
      <formula>0</formula>
    </cfRule>
    <cfRule type="cellIs" dxfId="5218" priority="277" stopIfTrue="1" operator="greaterThanOrEqual">
      <formula>#REF!</formula>
    </cfRule>
    <cfRule type="cellIs" dxfId="5217" priority="278" stopIfTrue="1" operator="between">
      <formula>0</formula>
      <formula>#REF!</formula>
    </cfRule>
  </conditionalFormatting>
  <conditionalFormatting sqref="N370:N371">
    <cfRule type="containsText" dxfId="5216" priority="271" operator="containsText" text="NO CUMPLE">
      <formula>NOT(ISERROR(SEARCH("NO CUMPLE",N370)))</formula>
    </cfRule>
  </conditionalFormatting>
  <conditionalFormatting sqref="L370:L371">
    <cfRule type="cellIs" dxfId="5215" priority="272" stopIfTrue="1" operator="equal">
      <formula>0</formula>
    </cfRule>
    <cfRule type="cellIs" dxfId="5214" priority="273" stopIfTrue="1" operator="greaterThanOrEqual">
      <formula>#REF!</formula>
    </cfRule>
    <cfRule type="cellIs" dxfId="5213" priority="274" stopIfTrue="1" operator="between">
      <formula>0</formula>
      <formula>#REF!</formula>
    </cfRule>
  </conditionalFormatting>
  <conditionalFormatting sqref="N379:N380">
    <cfRule type="containsText" dxfId="5212" priority="267" operator="containsText" text="NO CUMPLE">
      <formula>NOT(ISERROR(SEARCH("NO CUMPLE",N379)))</formula>
    </cfRule>
  </conditionalFormatting>
  <conditionalFormatting sqref="L379:L380">
    <cfRule type="cellIs" dxfId="5211" priority="268" stopIfTrue="1" operator="equal">
      <formula>0</formula>
    </cfRule>
    <cfRule type="cellIs" dxfId="5210" priority="269" stopIfTrue="1" operator="greaterThanOrEqual">
      <formula>#REF!</formula>
    </cfRule>
    <cfRule type="cellIs" dxfId="5209" priority="270" stopIfTrue="1" operator="between">
      <formula>0</formula>
      <formula>#REF!</formula>
    </cfRule>
  </conditionalFormatting>
  <conditionalFormatting sqref="N388:N389">
    <cfRule type="containsText" dxfId="5208" priority="263" operator="containsText" text="NO CUMPLE">
      <formula>NOT(ISERROR(SEARCH("NO CUMPLE",N388)))</formula>
    </cfRule>
  </conditionalFormatting>
  <conditionalFormatting sqref="L388:L389">
    <cfRule type="cellIs" dxfId="5207" priority="264" stopIfTrue="1" operator="equal">
      <formula>0</formula>
    </cfRule>
    <cfRule type="cellIs" dxfId="5206" priority="265" stopIfTrue="1" operator="greaterThanOrEqual">
      <formula>#REF!</formula>
    </cfRule>
    <cfRule type="cellIs" dxfId="5205" priority="266" stopIfTrue="1" operator="between">
      <formula>0</formula>
      <formula>#REF!</formula>
    </cfRule>
  </conditionalFormatting>
  <conditionalFormatting sqref="N397:N398">
    <cfRule type="containsText" dxfId="5204" priority="259" operator="containsText" text="NO CUMPLE">
      <formula>NOT(ISERROR(SEARCH("NO CUMPLE",N397)))</formula>
    </cfRule>
  </conditionalFormatting>
  <conditionalFormatting sqref="L397:L398">
    <cfRule type="cellIs" dxfId="5203" priority="260" stopIfTrue="1" operator="equal">
      <formula>0</formula>
    </cfRule>
    <cfRule type="cellIs" dxfId="5202" priority="261" stopIfTrue="1" operator="greaterThanOrEqual">
      <formula>#REF!</formula>
    </cfRule>
    <cfRule type="cellIs" dxfId="5201" priority="262" stopIfTrue="1" operator="between">
      <formula>0</formula>
      <formula>#REF!</formula>
    </cfRule>
  </conditionalFormatting>
  <conditionalFormatting sqref="N406:N407">
    <cfRule type="containsText" dxfId="5200" priority="255" operator="containsText" text="NO CUMPLE">
      <formula>NOT(ISERROR(SEARCH("NO CUMPLE",N406)))</formula>
    </cfRule>
  </conditionalFormatting>
  <conditionalFormatting sqref="L406:L407">
    <cfRule type="cellIs" dxfId="5199" priority="256" stopIfTrue="1" operator="equal">
      <formula>0</formula>
    </cfRule>
    <cfRule type="cellIs" dxfId="5198" priority="257" stopIfTrue="1" operator="greaterThanOrEqual">
      <formula>#REF!</formula>
    </cfRule>
    <cfRule type="cellIs" dxfId="5197" priority="258" stopIfTrue="1" operator="between">
      <formula>0</formula>
      <formula>#REF!</formula>
    </cfRule>
  </conditionalFormatting>
  <conditionalFormatting sqref="N415:N416">
    <cfRule type="containsText" dxfId="5196" priority="251" operator="containsText" text="NO CUMPLE">
      <formula>NOT(ISERROR(SEARCH("NO CUMPLE",N415)))</formula>
    </cfRule>
  </conditionalFormatting>
  <conditionalFormatting sqref="L415:L416">
    <cfRule type="cellIs" dxfId="5195" priority="252" stopIfTrue="1" operator="equal">
      <formula>0</formula>
    </cfRule>
    <cfRule type="cellIs" dxfId="5194" priority="253" stopIfTrue="1" operator="greaterThanOrEqual">
      <formula>#REF!</formula>
    </cfRule>
    <cfRule type="cellIs" dxfId="5193" priority="254" stopIfTrue="1" operator="between">
      <formula>0</formula>
      <formula>#REF!</formula>
    </cfRule>
  </conditionalFormatting>
  <conditionalFormatting sqref="N424:N425">
    <cfRule type="containsText" dxfId="5192" priority="247" operator="containsText" text="NO CUMPLE">
      <formula>NOT(ISERROR(SEARCH("NO CUMPLE",N424)))</formula>
    </cfRule>
  </conditionalFormatting>
  <conditionalFormatting sqref="L424:L425">
    <cfRule type="cellIs" dxfId="5191" priority="248" stopIfTrue="1" operator="equal">
      <formula>0</formula>
    </cfRule>
    <cfRule type="cellIs" dxfId="5190" priority="249" stopIfTrue="1" operator="greaterThanOrEqual">
      <formula>#REF!</formula>
    </cfRule>
    <cfRule type="cellIs" dxfId="5189" priority="250" stopIfTrue="1" operator="between">
      <formula>0</formula>
      <formula>#REF!</formula>
    </cfRule>
  </conditionalFormatting>
  <conditionalFormatting sqref="N433:N434">
    <cfRule type="containsText" dxfId="5188" priority="243" operator="containsText" text="NO CUMPLE">
      <formula>NOT(ISERROR(SEARCH("NO CUMPLE",N433)))</formula>
    </cfRule>
  </conditionalFormatting>
  <conditionalFormatting sqref="L433:L434">
    <cfRule type="cellIs" dxfId="5187" priority="244" stopIfTrue="1" operator="equal">
      <formula>0</formula>
    </cfRule>
    <cfRule type="cellIs" dxfId="5186" priority="245" stopIfTrue="1" operator="greaterThanOrEqual">
      <formula>#REF!</formula>
    </cfRule>
    <cfRule type="cellIs" dxfId="5185" priority="246" stopIfTrue="1" operator="between">
      <formula>0</formula>
      <formula>#REF!</formula>
    </cfRule>
  </conditionalFormatting>
  <conditionalFormatting sqref="N442:N443">
    <cfRule type="containsText" dxfId="5184" priority="239" operator="containsText" text="NO CUMPLE">
      <formula>NOT(ISERROR(SEARCH("NO CUMPLE",N442)))</formula>
    </cfRule>
  </conditionalFormatting>
  <conditionalFormatting sqref="L442:L443">
    <cfRule type="cellIs" dxfId="5183" priority="240" stopIfTrue="1" operator="equal">
      <formula>0</formula>
    </cfRule>
    <cfRule type="cellIs" dxfId="5182" priority="241" stopIfTrue="1" operator="greaterThanOrEqual">
      <formula>#REF!</formula>
    </cfRule>
    <cfRule type="cellIs" dxfId="5181" priority="242" stopIfTrue="1" operator="between">
      <formula>0</formula>
      <formula>#REF!</formula>
    </cfRule>
  </conditionalFormatting>
  <conditionalFormatting sqref="N451:N452">
    <cfRule type="containsText" dxfId="5180" priority="235" operator="containsText" text="NO CUMPLE">
      <formula>NOT(ISERROR(SEARCH("NO CUMPLE",N451)))</formula>
    </cfRule>
  </conditionalFormatting>
  <conditionalFormatting sqref="L451:L452">
    <cfRule type="cellIs" dxfId="5179" priority="236" stopIfTrue="1" operator="equal">
      <formula>0</formula>
    </cfRule>
    <cfRule type="cellIs" dxfId="5178" priority="237" stopIfTrue="1" operator="greaterThanOrEqual">
      <formula>#REF!</formula>
    </cfRule>
    <cfRule type="cellIs" dxfId="5177" priority="238" stopIfTrue="1" operator="between">
      <formula>0</formula>
      <formula>#REF!</formula>
    </cfRule>
  </conditionalFormatting>
  <conditionalFormatting sqref="N460:N461">
    <cfRule type="containsText" dxfId="5176" priority="231" operator="containsText" text="NO CUMPLE">
      <formula>NOT(ISERROR(SEARCH("NO CUMPLE",N460)))</formula>
    </cfRule>
  </conditionalFormatting>
  <conditionalFormatting sqref="L460:L461">
    <cfRule type="cellIs" dxfId="5175" priority="232" stopIfTrue="1" operator="equal">
      <formula>0</formula>
    </cfRule>
    <cfRule type="cellIs" dxfId="5174" priority="233" stopIfTrue="1" operator="greaterThanOrEqual">
      <formula>#REF!</formula>
    </cfRule>
    <cfRule type="cellIs" dxfId="5173" priority="234" stopIfTrue="1" operator="between">
      <formula>0</formula>
      <formula>#REF!</formula>
    </cfRule>
  </conditionalFormatting>
  <conditionalFormatting sqref="N469:N470">
    <cfRule type="containsText" dxfId="5172" priority="227" operator="containsText" text="NO CUMPLE">
      <formula>NOT(ISERROR(SEARCH("NO CUMPLE",N469)))</formula>
    </cfRule>
  </conditionalFormatting>
  <conditionalFormatting sqref="L469:L470">
    <cfRule type="cellIs" dxfId="5171" priority="228" stopIfTrue="1" operator="equal">
      <formula>0</formula>
    </cfRule>
    <cfRule type="cellIs" dxfId="5170" priority="229" stopIfTrue="1" operator="greaterThanOrEqual">
      <formula>#REF!</formula>
    </cfRule>
    <cfRule type="cellIs" dxfId="5169" priority="230" stopIfTrue="1" operator="between">
      <formula>0</formula>
      <formula>#REF!</formula>
    </cfRule>
  </conditionalFormatting>
  <conditionalFormatting sqref="N478:N479">
    <cfRule type="containsText" dxfId="5168" priority="223" operator="containsText" text="NO CUMPLE">
      <formula>NOT(ISERROR(SEARCH("NO CUMPLE",N478)))</formula>
    </cfRule>
  </conditionalFormatting>
  <conditionalFormatting sqref="L478:L479">
    <cfRule type="cellIs" dxfId="5167" priority="224" stopIfTrue="1" operator="equal">
      <formula>0</formula>
    </cfRule>
    <cfRule type="cellIs" dxfId="5166" priority="225" stopIfTrue="1" operator="greaterThanOrEqual">
      <formula>#REF!</formula>
    </cfRule>
    <cfRule type="cellIs" dxfId="5165" priority="226" stopIfTrue="1" operator="between">
      <formula>0</formula>
      <formula>#REF!</formula>
    </cfRule>
  </conditionalFormatting>
  <conditionalFormatting sqref="N487:N488">
    <cfRule type="containsText" dxfId="5164" priority="219" operator="containsText" text="NO CUMPLE">
      <formula>NOT(ISERROR(SEARCH("NO CUMPLE",N487)))</formula>
    </cfRule>
  </conditionalFormatting>
  <conditionalFormatting sqref="L487:L488">
    <cfRule type="cellIs" dxfId="5163" priority="220" stopIfTrue="1" operator="equal">
      <formula>0</formula>
    </cfRule>
    <cfRule type="cellIs" dxfId="5162" priority="221" stopIfTrue="1" operator="greaterThanOrEqual">
      <formula>#REF!</formula>
    </cfRule>
    <cfRule type="cellIs" dxfId="5161" priority="222" stopIfTrue="1" operator="between">
      <formula>0</formula>
      <formula>#REF!</formula>
    </cfRule>
  </conditionalFormatting>
  <conditionalFormatting sqref="N496:N497">
    <cfRule type="containsText" dxfId="5160" priority="215" operator="containsText" text="NO CUMPLE">
      <formula>NOT(ISERROR(SEARCH("NO CUMPLE",N496)))</formula>
    </cfRule>
  </conditionalFormatting>
  <conditionalFormatting sqref="L496:L497">
    <cfRule type="cellIs" dxfId="5159" priority="216" stopIfTrue="1" operator="equal">
      <formula>0</formula>
    </cfRule>
    <cfRule type="cellIs" dxfId="5158" priority="217" stopIfTrue="1" operator="greaterThanOrEqual">
      <formula>#REF!</formula>
    </cfRule>
    <cfRule type="cellIs" dxfId="5157" priority="218" stopIfTrue="1" operator="between">
      <formula>0</formula>
      <formula>#REF!</formula>
    </cfRule>
  </conditionalFormatting>
  <conditionalFormatting sqref="D48:G48 I48:K48">
    <cfRule type="cellIs" dxfId="5156" priority="214" stopIfTrue="1" operator="greaterThan">
      <formula>0</formula>
    </cfRule>
  </conditionalFormatting>
  <conditionalFormatting sqref="I48">
    <cfRule type="cellIs" dxfId="5155" priority="213" operator="equal">
      <formula>"NO"</formula>
    </cfRule>
  </conditionalFormatting>
  <conditionalFormatting sqref="J48">
    <cfRule type="cellIs" dxfId="5154" priority="212" stopIfTrue="1" operator="lessThan">
      <formula>0</formula>
    </cfRule>
  </conditionalFormatting>
  <conditionalFormatting sqref="H48">
    <cfRule type="cellIs" dxfId="5153" priority="211" stopIfTrue="1" operator="lessThan">
      <formula>0</formula>
    </cfRule>
  </conditionalFormatting>
  <conditionalFormatting sqref="H48">
    <cfRule type="cellIs" dxfId="5152" priority="210" stopIfTrue="1" operator="greaterThan">
      <formula>0</formula>
    </cfRule>
  </conditionalFormatting>
  <conditionalFormatting sqref="G57">
    <cfRule type="cellIs" dxfId="5151" priority="209" stopIfTrue="1" operator="greaterThan">
      <formula>0</formula>
    </cfRule>
  </conditionalFormatting>
  <conditionalFormatting sqref="M417">
    <cfRule type="cellIs" dxfId="5150" priority="206" stopIfTrue="1" operator="equal">
      <formula>0</formula>
    </cfRule>
    <cfRule type="cellIs" dxfId="5149" priority="207" stopIfTrue="1" operator="greaterThanOrEqual">
      <formula>#REF!</formula>
    </cfRule>
    <cfRule type="cellIs" dxfId="5148" priority="208" stopIfTrue="1" operator="between">
      <formula>0</formula>
      <formula>#REF!</formula>
    </cfRule>
  </conditionalFormatting>
  <conditionalFormatting sqref="D319:F319">
    <cfRule type="cellIs" dxfId="5147" priority="205" stopIfTrue="1" operator="greaterThan">
      <formula>0</formula>
    </cfRule>
  </conditionalFormatting>
  <conditionalFormatting sqref="G318">
    <cfRule type="cellIs" dxfId="5146" priority="204" stopIfTrue="1" operator="greaterThan">
      <formula>0</formula>
    </cfRule>
  </conditionalFormatting>
  <conditionalFormatting sqref="L12:L15">
    <cfRule type="cellIs" dxfId="5145" priority="201" stopIfTrue="1" operator="equal">
      <formula>0</formula>
    </cfRule>
    <cfRule type="cellIs" dxfId="5144" priority="202" stopIfTrue="1" operator="greaterThanOrEqual">
      <formula>#REF!</formula>
    </cfRule>
    <cfRule type="cellIs" dxfId="5143" priority="203" stopIfTrue="1" operator="between">
      <formula>0</formula>
      <formula>#REF!</formula>
    </cfRule>
  </conditionalFormatting>
  <conditionalFormatting sqref="L21:L24">
    <cfRule type="cellIs" dxfId="5142" priority="198" stopIfTrue="1" operator="equal">
      <formula>0</formula>
    </cfRule>
    <cfRule type="cellIs" dxfId="5141" priority="199" stopIfTrue="1" operator="greaterThanOrEqual">
      <formula>#REF!</formula>
    </cfRule>
    <cfRule type="cellIs" dxfId="5140" priority="200" stopIfTrue="1" operator="between">
      <formula>0</formula>
      <formula>#REF!</formula>
    </cfRule>
  </conditionalFormatting>
  <conditionalFormatting sqref="L30:L33">
    <cfRule type="cellIs" dxfId="5139" priority="195" stopIfTrue="1" operator="equal">
      <formula>0</formula>
    </cfRule>
    <cfRule type="cellIs" dxfId="5138" priority="196" stopIfTrue="1" operator="greaterThanOrEqual">
      <formula>#REF!</formula>
    </cfRule>
    <cfRule type="cellIs" dxfId="5137" priority="197" stopIfTrue="1" operator="between">
      <formula>0</formula>
      <formula>#REF!</formula>
    </cfRule>
  </conditionalFormatting>
  <conditionalFormatting sqref="L498:L501">
    <cfRule type="cellIs" dxfId="5136" priority="39" stopIfTrue="1" operator="equal">
      <formula>0</formula>
    </cfRule>
    <cfRule type="cellIs" dxfId="5135" priority="40" stopIfTrue="1" operator="greaterThanOrEqual">
      <formula>#REF!</formula>
    </cfRule>
    <cfRule type="cellIs" dxfId="5134" priority="41" stopIfTrue="1" operator="between">
      <formula>0</formula>
      <formula>#REF!</formula>
    </cfRule>
  </conditionalFormatting>
  <conditionalFormatting sqref="L39:L42">
    <cfRule type="cellIs" dxfId="5133" priority="192" stopIfTrue="1" operator="equal">
      <formula>0</formula>
    </cfRule>
    <cfRule type="cellIs" dxfId="5132" priority="193" stopIfTrue="1" operator="greaterThanOrEqual">
      <formula>#REF!</formula>
    </cfRule>
    <cfRule type="cellIs" dxfId="5131" priority="194" stopIfTrue="1" operator="between">
      <formula>0</formula>
      <formula>#REF!</formula>
    </cfRule>
  </conditionalFormatting>
  <conditionalFormatting sqref="L48:L51">
    <cfRule type="cellIs" dxfId="5130" priority="189" stopIfTrue="1" operator="equal">
      <formula>0</formula>
    </cfRule>
    <cfRule type="cellIs" dxfId="5129" priority="190" stopIfTrue="1" operator="greaterThanOrEqual">
      <formula>#REF!</formula>
    </cfRule>
    <cfRule type="cellIs" dxfId="5128" priority="191" stopIfTrue="1" operator="between">
      <formula>0</formula>
      <formula>#REF!</formula>
    </cfRule>
  </conditionalFormatting>
  <conditionalFormatting sqref="L57:L60">
    <cfRule type="cellIs" dxfId="5127" priority="186" stopIfTrue="1" operator="equal">
      <formula>0</formula>
    </cfRule>
    <cfRule type="cellIs" dxfId="5126" priority="187" stopIfTrue="1" operator="greaterThanOrEqual">
      <formula>#REF!</formula>
    </cfRule>
    <cfRule type="cellIs" dxfId="5125" priority="188" stopIfTrue="1" operator="between">
      <formula>0</formula>
      <formula>#REF!</formula>
    </cfRule>
  </conditionalFormatting>
  <conditionalFormatting sqref="L66:L69">
    <cfRule type="cellIs" dxfId="5124" priority="183" stopIfTrue="1" operator="equal">
      <formula>0</formula>
    </cfRule>
    <cfRule type="cellIs" dxfId="5123" priority="184" stopIfTrue="1" operator="greaterThanOrEqual">
      <formula>#REF!</formula>
    </cfRule>
    <cfRule type="cellIs" dxfId="5122" priority="185" stopIfTrue="1" operator="between">
      <formula>0</formula>
      <formula>#REF!</formula>
    </cfRule>
  </conditionalFormatting>
  <conditionalFormatting sqref="L75:L78">
    <cfRule type="cellIs" dxfId="5121" priority="180" stopIfTrue="1" operator="equal">
      <formula>0</formula>
    </cfRule>
    <cfRule type="cellIs" dxfId="5120" priority="181" stopIfTrue="1" operator="greaterThanOrEqual">
      <formula>#REF!</formula>
    </cfRule>
    <cfRule type="cellIs" dxfId="5119" priority="182" stopIfTrue="1" operator="between">
      <formula>0</formula>
      <formula>#REF!</formula>
    </cfRule>
  </conditionalFormatting>
  <conditionalFormatting sqref="L84:L87">
    <cfRule type="cellIs" dxfId="5118" priority="177" stopIfTrue="1" operator="equal">
      <formula>0</formula>
    </cfRule>
    <cfRule type="cellIs" dxfId="5117" priority="178" stopIfTrue="1" operator="greaterThanOrEqual">
      <formula>#REF!</formula>
    </cfRule>
    <cfRule type="cellIs" dxfId="5116" priority="179" stopIfTrue="1" operator="between">
      <formula>0</formula>
      <formula>#REF!</formula>
    </cfRule>
  </conditionalFormatting>
  <conditionalFormatting sqref="L93:L96">
    <cfRule type="cellIs" dxfId="5115" priority="174" stopIfTrue="1" operator="equal">
      <formula>0</formula>
    </cfRule>
    <cfRule type="cellIs" dxfId="5114" priority="175" stopIfTrue="1" operator="greaterThanOrEqual">
      <formula>#REF!</formula>
    </cfRule>
    <cfRule type="cellIs" dxfId="5113" priority="176" stopIfTrue="1" operator="between">
      <formula>0</formula>
      <formula>#REF!</formula>
    </cfRule>
  </conditionalFormatting>
  <conditionalFormatting sqref="L102:L105">
    <cfRule type="cellIs" dxfId="5112" priority="171" stopIfTrue="1" operator="equal">
      <formula>0</formula>
    </cfRule>
    <cfRule type="cellIs" dxfId="5111" priority="172" stopIfTrue="1" operator="greaterThanOrEqual">
      <formula>#REF!</formula>
    </cfRule>
    <cfRule type="cellIs" dxfId="5110" priority="173" stopIfTrue="1" operator="between">
      <formula>0</formula>
      <formula>#REF!</formula>
    </cfRule>
  </conditionalFormatting>
  <conditionalFormatting sqref="L111:L114">
    <cfRule type="cellIs" dxfId="5109" priority="168" stopIfTrue="1" operator="equal">
      <formula>0</formula>
    </cfRule>
    <cfRule type="cellIs" dxfId="5108" priority="169" stopIfTrue="1" operator="greaterThanOrEqual">
      <formula>#REF!</formula>
    </cfRule>
    <cfRule type="cellIs" dxfId="5107" priority="170" stopIfTrue="1" operator="between">
      <formula>0</formula>
      <formula>#REF!</formula>
    </cfRule>
  </conditionalFormatting>
  <conditionalFormatting sqref="L120:L123">
    <cfRule type="cellIs" dxfId="5106" priority="165" stopIfTrue="1" operator="equal">
      <formula>0</formula>
    </cfRule>
    <cfRule type="cellIs" dxfId="5105" priority="166" stopIfTrue="1" operator="greaterThanOrEqual">
      <formula>#REF!</formula>
    </cfRule>
    <cfRule type="cellIs" dxfId="5104" priority="167" stopIfTrue="1" operator="between">
      <formula>0</formula>
      <formula>#REF!</formula>
    </cfRule>
  </conditionalFormatting>
  <conditionalFormatting sqref="L129:L132">
    <cfRule type="cellIs" dxfId="5103" priority="162" stopIfTrue="1" operator="equal">
      <formula>0</formula>
    </cfRule>
    <cfRule type="cellIs" dxfId="5102" priority="163" stopIfTrue="1" operator="greaterThanOrEqual">
      <formula>#REF!</formula>
    </cfRule>
    <cfRule type="cellIs" dxfId="5101" priority="164" stopIfTrue="1" operator="between">
      <formula>0</formula>
      <formula>#REF!</formula>
    </cfRule>
  </conditionalFormatting>
  <conditionalFormatting sqref="L138:L141">
    <cfRule type="cellIs" dxfId="5100" priority="159" stopIfTrue="1" operator="equal">
      <formula>0</formula>
    </cfRule>
    <cfRule type="cellIs" dxfId="5099" priority="160" stopIfTrue="1" operator="greaterThanOrEqual">
      <formula>#REF!</formula>
    </cfRule>
    <cfRule type="cellIs" dxfId="5098" priority="161" stopIfTrue="1" operator="between">
      <formula>0</formula>
      <formula>#REF!</formula>
    </cfRule>
  </conditionalFormatting>
  <conditionalFormatting sqref="L147:L150">
    <cfRule type="cellIs" dxfId="5097" priority="156" stopIfTrue="1" operator="equal">
      <formula>0</formula>
    </cfRule>
    <cfRule type="cellIs" dxfId="5096" priority="157" stopIfTrue="1" operator="greaterThanOrEqual">
      <formula>#REF!</formula>
    </cfRule>
    <cfRule type="cellIs" dxfId="5095" priority="158" stopIfTrue="1" operator="between">
      <formula>0</formula>
      <formula>#REF!</formula>
    </cfRule>
  </conditionalFormatting>
  <conditionalFormatting sqref="L156:L159">
    <cfRule type="cellIs" dxfId="5094" priority="153" stopIfTrue="1" operator="equal">
      <formula>0</formula>
    </cfRule>
    <cfRule type="cellIs" dxfId="5093" priority="154" stopIfTrue="1" operator="greaterThanOrEqual">
      <formula>#REF!</formula>
    </cfRule>
    <cfRule type="cellIs" dxfId="5092" priority="155" stopIfTrue="1" operator="between">
      <formula>0</formula>
      <formula>#REF!</formula>
    </cfRule>
  </conditionalFormatting>
  <conditionalFormatting sqref="L165:L168">
    <cfRule type="cellIs" dxfId="5091" priority="150" stopIfTrue="1" operator="equal">
      <formula>0</formula>
    </cfRule>
    <cfRule type="cellIs" dxfId="5090" priority="151" stopIfTrue="1" operator="greaterThanOrEqual">
      <formula>#REF!</formula>
    </cfRule>
    <cfRule type="cellIs" dxfId="5089" priority="152" stopIfTrue="1" operator="between">
      <formula>0</formula>
      <formula>#REF!</formula>
    </cfRule>
  </conditionalFormatting>
  <conditionalFormatting sqref="L174:L177">
    <cfRule type="cellIs" dxfId="5088" priority="147" stopIfTrue="1" operator="equal">
      <formula>0</formula>
    </cfRule>
    <cfRule type="cellIs" dxfId="5087" priority="148" stopIfTrue="1" operator="greaterThanOrEqual">
      <formula>#REF!</formula>
    </cfRule>
    <cfRule type="cellIs" dxfId="5086" priority="149" stopIfTrue="1" operator="between">
      <formula>0</formula>
      <formula>#REF!</formula>
    </cfRule>
  </conditionalFormatting>
  <conditionalFormatting sqref="L183:L186">
    <cfRule type="cellIs" dxfId="5085" priority="144" stopIfTrue="1" operator="equal">
      <formula>0</formula>
    </cfRule>
    <cfRule type="cellIs" dxfId="5084" priority="145" stopIfTrue="1" operator="greaterThanOrEqual">
      <formula>#REF!</formula>
    </cfRule>
    <cfRule type="cellIs" dxfId="5083" priority="146" stopIfTrue="1" operator="between">
      <formula>0</formula>
      <formula>#REF!</formula>
    </cfRule>
  </conditionalFormatting>
  <conditionalFormatting sqref="L192:L195">
    <cfRule type="cellIs" dxfId="5082" priority="141" stopIfTrue="1" operator="equal">
      <formula>0</formula>
    </cfRule>
    <cfRule type="cellIs" dxfId="5081" priority="142" stopIfTrue="1" operator="greaterThanOrEqual">
      <formula>#REF!</formula>
    </cfRule>
    <cfRule type="cellIs" dxfId="5080" priority="143" stopIfTrue="1" operator="between">
      <formula>0</formula>
      <formula>#REF!</formula>
    </cfRule>
  </conditionalFormatting>
  <conditionalFormatting sqref="L201:L204">
    <cfRule type="cellIs" dxfId="5079" priority="138" stopIfTrue="1" operator="equal">
      <formula>0</formula>
    </cfRule>
    <cfRule type="cellIs" dxfId="5078" priority="139" stopIfTrue="1" operator="greaterThanOrEqual">
      <formula>#REF!</formula>
    </cfRule>
    <cfRule type="cellIs" dxfId="5077" priority="140" stopIfTrue="1" operator="between">
      <formula>0</formula>
      <formula>#REF!</formula>
    </cfRule>
  </conditionalFormatting>
  <conditionalFormatting sqref="L210:L213">
    <cfRule type="cellIs" dxfId="5076" priority="135" stopIfTrue="1" operator="equal">
      <formula>0</formula>
    </cfRule>
    <cfRule type="cellIs" dxfId="5075" priority="136" stopIfTrue="1" operator="greaterThanOrEqual">
      <formula>#REF!</formula>
    </cfRule>
    <cfRule type="cellIs" dxfId="5074" priority="137" stopIfTrue="1" operator="between">
      <formula>0</formula>
      <formula>#REF!</formula>
    </cfRule>
  </conditionalFormatting>
  <conditionalFormatting sqref="L219:L222">
    <cfRule type="cellIs" dxfId="5073" priority="132" stopIfTrue="1" operator="equal">
      <formula>0</formula>
    </cfRule>
    <cfRule type="cellIs" dxfId="5072" priority="133" stopIfTrue="1" operator="greaterThanOrEqual">
      <formula>#REF!</formula>
    </cfRule>
    <cfRule type="cellIs" dxfId="5071" priority="134" stopIfTrue="1" operator="between">
      <formula>0</formula>
      <formula>#REF!</formula>
    </cfRule>
  </conditionalFormatting>
  <conditionalFormatting sqref="L228:L231">
    <cfRule type="cellIs" dxfId="5070" priority="129" stopIfTrue="1" operator="equal">
      <formula>0</formula>
    </cfRule>
    <cfRule type="cellIs" dxfId="5069" priority="130" stopIfTrue="1" operator="greaterThanOrEqual">
      <formula>#REF!</formula>
    </cfRule>
    <cfRule type="cellIs" dxfId="5068" priority="131" stopIfTrue="1" operator="between">
      <formula>0</formula>
      <formula>#REF!</formula>
    </cfRule>
  </conditionalFormatting>
  <conditionalFormatting sqref="L237:L240">
    <cfRule type="cellIs" dxfId="5067" priority="126" stopIfTrue="1" operator="equal">
      <formula>0</formula>
    </cfRule>
    <cfRule type="cellIs" dxfId="5066" priority="127" stopIfTrue="1" operator="greaterThanOrEqual">
      <formula>#REF!</formula>
    </cfRule>
    <cfRule type="cellIs" dxfId="5065" priority="128" stopIfTrue="1" operator="between">
      <formula>0</formula>
      <formula>#REF!</formula>
    </cfRule>
  </conditionalFormatting>
  <conditionalFormatting sqref="L246:L249">
    <cfRule type="cellIs" dxfId="5064" priority="123" stopIfTrue="1" operator="equal">
      <formula>0</formula>
    </cfRule>
    <cfRule type="cellIs" dxfId="5063" priority="124" stopIfTrue="1" operator="greaterThanOrEqual">
      <formula>#REF!</formula>
    </cfRule>
    <cfRule type="cellIs" dxfId="5062" priority="125" stopIfTrue="1" operator="between">
      <formula>0</formula>
      <formula>#REF!</formula>
    </cfRule>
  </conditionalFormatting>
  <conditionalFormatting sqref="L255:L258">
    <cfRule type="cellIs" dxfId="5061" priority="120" stopIfTrue="1" operator="equal">
      <formula>0</formula>
    </cfRule>
    <cfRule type="cellIs" dxfId="5060" priority="121" stopIfTrue="1" operator="greaterThanOrEqual">
      <formula>#REF!</formula>
    </cfRule>
    <cfRule type="cellIs" dxfId="5059" priority="122" stopIfTrue="1" operator="between">
      <formula>0</formula>
      <formula>#REF!</formula>
    </cfRule>
  </conditionalFormatting>
  <conditionalFormatting sqref="L264:L267">
    <cfRule type="cellIs" dxfId="5058" priority="117" stopIfTrue="1" operator="equal">
      <formula>0</formula>
    </cfRule>
    <cfRule type="cellIs" dxfId="5057" priority="118" stopIfTrue="1" operator="greaterThanOrEqual">
      <formula>#REF!</formula>
    </cfRule>
    <cfRule type="cellIs" dxfId="5056" priority="119" stopIfTrue="1" operator="between">
      <formula>0</formula>
      <formula>#REF!</formula>
    </cfRule>
  </conditionalFormatting>
  <conditionalFormatting sqref="L273:L276">
    <cfRule type="cellIs" dxfId="5055" priority="114" stopIfTrue="1" operator="equal">
      <formula>0</formula>
    </cfRule>
    <cfRule type="cellIs" dxfId="5054" priority="115" stopIfTrue="1" operator="greaterThanOrEqual">
      <formula>#REF!</formula>
    </cfRule>
    <cfRule type="cellIs" dxfId="5053" priority="116" stopIfTrue="1" operator="between">
      <formula>0</formula>
      <formula>#REF!</formula>
    </cfRule>
  </conditionalFormatting>
  <conditionalFormatting sqref="L282:L285">
    <cfRule type="cellIs" dxfId="5052" priority="111" stopIfTrue="1" operator="equal">
      <formula>0</formula>
    </cfRule>
    <cfRule type="cellIs" dxfId="5051" priority="112" stopIfTrue="1" operator="greaterThanOrEqual">
      <formula>#REF!</formula>
    </cfRule>
    <cfRule type="cellIs" dxfId="5050" priority="113" stopIfTrue="1" operator="between">
      <formula>0</formula>
      <formula>#REF!</formula>
    </cfRule>
  </conditionalFormatting>
  <conditionalFormatting sqref="L291:L294">
    <cfRule type="cellIs" dxfId="5049" priority="108" stopIfTrue="1" operator="equal">
      <formula>0</formula>
    </cfRule>
    <cfRule type="cellIs" dxfId="5048" priority="109" stopIfTrue="1" operator="greaterThanOrEqual">
      <formula>#REF!</formula>
    </cfRule>
    <cfRule type="cellIs" dxfId="5047" priority="110" stopIfTrue="1" operator="between">
      <formula>0</formula>
      <formula>#REF!</formula>
    </cfRule>
  </conditionalFormatting>
  <conditionalFormatting sqref="L300:L303">
    <cfRule type="cellIs" dxfId="5046" priority="105" stopIfTrue="1" operator="equal">
      <formula>0</formula>
    </cfRule>
    <cfRule type="cellIs" dxfId="5045" priority="106" stopIfTrue="1" operator="greaterThanOrEqual">
      <formula>#REF!</formula>
    </cfRule>
    <cfRule type="cellIs" dxfId="5044" priority="107" stopIfTrue="1" operator="between">
      <formula>0</formula>
      <formula>#REF!</formula>
    </cfRule>
  </conditionalFormatting>
  <conditionalFormatting sqref="L309:L312">
    <cfRule type="cellIs" dxfId="5043" priority="102" stopIfTrue="1" operator="equal">
      <formula>0</formula>
    </cfRule>
    <cfRule type="cellIs" dxfId="5042" priority="103" stopIfTrue="1" operator="greaterThanOrEqual">
      <formula>#REF!</formula>
    </cfRule>
    <cfRule type="cellIs" dxfId="5041" priority="104" stopIfTrue="1" operator="between">
      <formula>0</formula>
      <formula>#REF!</formula>
    </cfRule>
  </conditionalFormatting>
  <conditionalFormatting sqref="L318:L321">
    <cfRule type="cellIs" dxfId="5040" priority="99" stopIfTrue="1" operator="equal">
      <formula>0</formula>
    </cfRule>
    <cfRule type="cellIs" dxfId="5039" priority="100" stopIfTrue="1" operator="greaterThanOrEqual">
      <formula>#REF!</formula>
    </cfRule>
    <cfRule type="cellIs" dxfId="5038" priority="101" stopIfTrue="1" operator="between">
      <formula>0</formula>
      <formula>#REF!</formula>
    </cfRule>
  </conditionalFormatting>
  <conditionalFormatting sqref="L327:L330">
    <cfRule type="cellIs" dxfId="5037" priority="96" stopIfTrue="1" operator="equal">
      <formula>0</formula>
    </cfRule>
    <cfRule type="cellIs" dxfId="5036" priority="97" stopIfTrue="1" operator="greaterThanOrEqual">
      <formula>#REF!</formula>
    </cfRule>
    <cfRule type="cellIs" dxfId="5035" priority="98" stopIfTrue="1" operator="between">
      <formula>0</formula>
      <formula>#REF!</formula>
    </cfRule>
  </conditionalFormatting>
  <conditionalFormatting sqref="L336:L339">
    <cfRule type="cellIs" dxfId="5034" priority="93" stopIfTrue="1" operator="equal">
      <formula>0</formula>
    </cfRule>
    <cfRule type="cellIs" dxfId="5033" priority="94" stopIfTrue="1" operator="greaterThanOrEqual">
      <formula>#REF!</formula>
    </cfRule>
    <cfRule type="cellIs" dxfId="5032" priority="95" stopIfTrue="1" operator="between">
      <formula>0</formula>
      <formula>#REF!</formula>
    </cfRule>
  </conditionalFormatting>
  <conditionalFormatting sqref="L345:L348">
    <cfRule type="cellIs" dxfId="5031" priority="90" stopIfTrue="1" operator="equal">
      <formula>0</formula>
    </cfRule>
    <cfRule type="cellIs" dxfId="5030" priority="91" stopIfTrue="1" operator="greaterThanOrEqual">
      <formula>#REF!</formula>
    </cfRule>
    <cfRule type="cellIs" dxfId="5029" priority="92" stopIfTrue="1" operator="between">
      <formula>0</formula>
      <formula>#REF!</formula>
    </cfRule>
  </conditionalFormatting>
  <conditionalFormatting sqref="L354:L357">
    <cfRule type="cellIs" dxfId="5028" priority="87" stopIfTrue="1" operator="equal">
      <formula>0</formula>
    </cfRule>
    <cfRule type="cellIs" dxfId="5027" priority="88" stopIfTrue="1" operator="greaterThanOrEqual">
      <formula>#REF!</formula>
    </cfRule>
    <cfRule type="cellIs" dxfId="5026" priority="89" stopIfTrue="1" operator="between">
      <formula>0</formula>
      <formula>#REF!</formula>
    </cfRule>
  </conditionalFormatting>
  <conditionalFormatting sqref="L363:L366">
    <cfRule type="cellIs" dxfId="5025" priority="84" stopIfTrue="1" operator="equal">
      <formula>0</formula>
    </cfRule>
    <cfRule type="cellIs" dxfId="5024" priority="85" stopIfTrue="1" operator="greaterThanOrEqual">
      <formula>#REF!</formula>
    </cfRule>
    <cfRule type="cellIs" dxfId="5023" priority="86" stopIfTrue="1" operator="between">
      <formula>0</formula>
      <formula>#REF!</formula>
    </cfRule>
  </conditionalFormatting>
  <conditionalFormatting sqref="L372:L375">
    <cfRule type="cellIs" dxfId="5022" priority="81" stopIfTrue="1" operator="equal">
      <formula>0</formula>
    </cfRule>
    <cfRule type="cellIs" dxfId="5021" priority="82" stopIfTrue="1" operator="greaterThanOrEqual">
      <formula>#REF!</formula>
    </cfRule>
    <cfRule type="cellIs" dxfId="5020" priority="83" stopIfTrue="1" operator="between">
      <formula>0</formula>
      <formula>#REF!</formula>
    </cfRule>
  </conditionalFormatting>
  <conditionalFormatting sqref="L381:L384">
    <cfRule type="cellIs" dxfId="5019" priority="78" stopIfTrue="1" operator="equal">
      <formula>0</formula>
    </cfRule>
    <cfRule type="cellIs" dxfId="5018" priority="79" stopIfTrue="1" operator="greaterThanOrEqual">
      <formula>#REF!</formula>
    </cfRule>
    <cfRule type="cellIs" dxfId="5017" priority="80" stopIfTrue="1" operator="between">
      <formula>0</formula>
      <formula>#REF!</formula>
    </cfRule>
  </conditionalFormatting>
  <conditionalFormatting sqref="L390:L393">
    <cfRule type="cellIs" dxfId="5016" priority="75" stopIfTrue="1" operator="equal">
      <formula>0</formula>
    </cfRule>
    <cfRule type="cellIs" dxfId="5015" priority="76" stopIfTrue="1" operator="greaterThanOrEqual">
      <formula>#REF!</formula>
    </cfRule>
    <cfRule type="cellIs" dxfId="5014" priority="77" stopIfTrue="1" operator="between">
      <formula>0</formula>
      <formula>#REF!</formula>
    </cfRule>
  </conditionalFormatting>
  <conditionalFormatting sqref="L399:L402">
    <cfRule type="cellIs" dxfId="5013" priority="72" stopIfTrue="1" operator="equal">
      <formula>0</formula>
    </cfRule>
    <cfRule type="cellIs" dxfId="5012" priority="73" stopIfTrue="1" operator="greaterThanOrEqual">
      <formula>#REF!</formula>
    </cfRule>
    <cfRule type="cellIs" dxfId="5011" priority="74" stopIfTrue="1" operator="between">
      <formula>0</formula>
      <formula>#REF!</formula>
    </cfRule>
  </conditionalFormatting>
  <conditionalFormatting sqref="L408:L411">
    <cfRule type="cellIs" dxfId="5010" priority="69" stopIfTrue="1" operator="equal">
      <formula>0</formula>
    </cfRule>
    <cfRule type="cellIs" dxfId="5009" priority="70" stopIfTrue="1" operator="greaterThanOrEqual">
      <formula>#REF!</formula>
    </cfRule>
    <cfRule type="cellIs" dxfId="5008" priority="71" stopIfTrue="1" operator="between">
      <formula>0</formula>
      <formula>#REF!</formula>
    </cfRule>
  </conditionalFormatting>
  <conditionalFormatting sqref="L417:L420">
    <cfRule type="cellIs" dxfId="5007" priority="66" stopIfTrue="1" operator="equal">
      <formula>0</formula>
    </cfRule>
    <cfRule type="cellIs" dxfId="5006" priority="67" stopIfTrue="1" operator="greaterThanOrEqual">
      <formula>#REF!</formula>
    </cfRule>
    <cfRule type="cellIs" dxfId="5005" priority="68" stopIfTrue="1" operator="between">
      <formula>0</formula>
      <formula>#REF!</formula>
    </cfRule>
  </conditionalFormatting>
  <conditionalFormatting sqref="L426:L429">
    <cfRule type="cellIs" dxfId="5004" priority="63" stopIfTrue="1" operator="equal">
      <formula>0</formula>
    </cfRule>
    <cfRule type="cellIs" dxfId="5003" priority="64" stopIfTrue="1" operator="greaterThanOrEqual">
      <formula>#REF!</formula>
    </cfRule>
    <cfRule type="cellIs" dxfId="5002" priority="65" stopIfTrue="1" operator="between">
      <formula>0</formula>
      <formula>#REF!</formula>
    </cfRule>
  </conditionalFormatting>
  <conditionalFormatting sqref="L435:L438">
    <cfRule type="cellIs" dxfId="5001" priority="60" stopIfTrue="1" operator="equal">
      <formula>0</formula>
    </cfRule>
    <cfRule type="cellIs" dxfId="5000" priority="61" stopIfTrue="1" operator="greaterThanOrEqual">
      <formula>#REF!</formula>
    </cfRule>
    <cfRule type="cellIs" dxfId="4999" priority="62" stopIfTrue="1" operator="between">
      <formula>0</formula>
      <formula>#REF!</formula>
    </cfRule>
  </conditionalFormatting>
  <conditionalFormatting sqref="L444:L447">
    <cfRule type="cellIs" dxfId="4998" priority="57" stopIfTrue="1" operator="equal">
      <formula>0</formula>
    </cfRule>
    <cfRule type="cellIs" dxfId="4997" priority="58" stopIfTrue="1" operator="greaterThanOrEqual">
      <formula>#REF!</formula>
    </cfRule>
    <cfRule type="cellIs" dxfId="4996" priority="59" stopIfTrue="1" operator="between">
      <formula>0</formula>
      <formula>#REF!</formula>
    </cfRule>
  </conditionalFormatting>
  <conditionalFormatting sqref="L453:L456">
    <cfRule type="cellIs" dxfId="4995" priority="54" stopIfTrue="1" operator="equal">
      <formula>0</formula>
    </cfRule>
    <cfRule type="cellIs" dxfId="4994" priority="55" stopIfTrue="1" operator="greaterThanOrEqual">
      <formula>#REF!</formula>
    </cfRule>
    <cfRule type="cellIs" dxfId="4993" priority="56" stopIfTrue="1" operator="between">
      <formula>0</formula>
      <formula>#REF!</formula>
    </cfRule>
  </conditionalFormatting>
  <conditionalFormatting sqref="L462:L465">
    <cfRule type="cellIs" dxfId="4992" priority="51" stopIfTrue="1" operator="equal">
      <formula>0</formula>
    </cfRule>
    <cfRule type="cellIs" dxfId="4991" priority="52" stopIfTrue="1" operator="greaterThanOrEqual">
      <formula>#REF!</formula>
    </cfRule>
    <cfRule type="cellIs" dxfId="4990" priority="53" stopIfTrue="1" operator="between">
      <formula>0</formula>
      <formula>#REF!</formula>
    </cfRule>
  </conditionalFormatting>
  <conditionalFormatting sqref="L471:L474">
    <cfRule type="cellIs" dxfId="4989" priority="48" stopIfTrue="1" operator="equal">
      <formula>0</formula>
    </cfRule>
    <cfRule type="cellIs" dxfId="4988" priority="49" stopIfTrue="1" operator="greaterThanOrEqual">
      <formula>#REF!</formula>
    </cfRule>
    <cfRule type="cellIs" dxfId="4987" priority="50" stopIfTrue="1" operator="between">
      <formula>0</formula>
      <formula>#REF!</formula>
    </cfRule>
  </conditionalFormatting>
  <conditionalFormatting sqref="L480:L483">
    <cfRule type="cellIs" dxfId="4986" priority="45" stopIfTrue="1" operator="equal">
      <formula>0</formula>
    </cfRule>
    <cfRule type="cellIs" dxfId="4985" priority="46" stopIfTrue="1" operator="greaterThanOrEqual">
      <formula>#REF!</formula>
    </cfRule>
    <cfRule type="cellIs" dxfId="4984" priority="47" stopIfTrue="1" operator="between">
      <formula>0</formula>
      <formula>#REF!</formula>
    </cfRule>
  </conditionalFormatting>
  <conditionalFormatting sqref="L489:L492">
    <cfRule type="cellIs" dxfId="4983" priority="42" stopIfTrue="1" operator="equal">
      <formula>0</formula>
    </cfRule>
    <cfRule type="cellIs" dxfId="4982" priority="43" stopIfTrue="1" operator="greaterThanOrEqual">
      <formula>#REF!</formula>
    </cfRule>
    <cfRule type="cellIs" dxfId="4981" priority="44" stopIfTrue="1" operator="between">
      <formula>0</formula>
      <formula>#REF!</formula>
    </cfRule>
  </conditionalFormatting>
  <conditionalFormatting sqref="N102">
    <cfRule type="cellIs" dxfId="4980" priority="38" stopIfTrue="1" operator="greaterThan">
      <formula>0</formula>
    </cfRule>
  </conditionalFormatting>
  <conditionalFormatting sqref="N102">
    <cfRule type="cellIs" dxfId="4979" priority="37" operator="equal">
      <formula>"NO"</formula>
    </cfRule>
  </conditionalFormatting>
  <conditionalFormatting sqref="N129">
    <cfRule type="cellIs" dxfId="4978" priority="36" stopIfTrue="1" operator="greaterThan">
      <formula>0</formula>
    </cfRule>
  </conditionalFormatting>
  <conditionalFormatting sqref="N129">
    <cfRule type="cellIs" dxfId="4977" priority="35" operator="equal">
      <formula>"NO"</formula>
    </cfRule>
  </conditionalFormatting>
  <conditionalFormatting sqref="N138">
    <cfRule type="cellIs" dxfId="4976" priority="34" stopIfTrue="1" operator="greaterThan">
      <formula>0</formula>
    </cfRule>
  </conditionalFormatting>
  <conditionalFormatting sqref="N138">
    <cfRule type="cellIs" dxfId="4975" priority="33" operator="equal">
      <formula>"NO"</formula>
    </cfRule>
  </conditionalFormatting>
  <conditionalFormatting sqref="N147">
    <cfRule type="cellIs" dxfId="4974" priority="32" stopIfTrue="1" operator="greaterThan">
      <formula>0</formula>
    </cfRule>
  </conditionalFormatting>
  <conditionalFormatting sqref="N147">
    <cfRule type="cellIs" dxfId="4973" priority="31" operator="equal">
      <formula>"NO"</formula>
    </cfRule>
  </conditionalFormatting>
  <conditionalFormatting sqref="N156">
    <cfRule type="cellIs" dxfId="4972" priority="30" stopIfTrue="1" operator="greaterThan">
      <formula>0</formula>
    </cfRule>
  </conditionalFormatting>
  <conditionalFormatting sqref="N156">
    <cfRule type="cellIs" dxfId="4971" priority="29" operator="equal">
      <formula>"NO"</formula>
    </cfRule>
  </conditionalFormatting>
  <conditionalFormatting sqref="N165">
    <cfRule type="cellIs" dxfId="4970" priority="28" stopIfTrue="1" operator="greaterThan">
      <formula>0</formula>
    </cfRule>
  </conditionalFormatting>
  <conditionalFormatting sqref="N165">
    <cfRule type="cellIs" dxfId="4969" priority="27" operator="equal">
      <formula>"NO"</formula>
    </cfRule>
  </conditionalFormatting>
  <conditionalFormatting sqref="N174">
    <cfRule type="cellIs" dxfId="4968" priority="26" stopIfTrue="1" operator="greaterThan">
      <formula>0</formula>
    </cfRule>
  </conditionalFormatting>
  <conditionalFormatting sqref="N174">
    <cfRule type="cellIs" dxfId="4967" priority="25" operator="equal">
      <formula>"NO"</formula>
    </cfRule>
  </conditionalFormatting>
  <conditionalFormatting sqref="N183">
    <cfRule type="cellIs" dxfId="4966" priority="24" stopIfTrue="1" operator="greaterThan">
      <formula>0</formula>
    </cfRule>
  </conditionalFormatting>
  <conditionalFormatting sqref="N183">
    <cfRule type="cellIs" dxfId="4965" priority="23" operator="equal">
      <formula>"NO"</formula>
    </cfRule>
  </conditionalFormatting>
  <conditionalFormatting sqref="N192">
    <cfRule type="cellIs" dxfId="4964" priority="22" stopIfTrue="1" operator="greaterThan">
      <formula>0</formula>
    </cfRule>
  </conditionalFormatting>
  <conditionalFormatting sqref="N192">
    <cfRule type="cellIs" dxfId="4963" priority="21" operator="equal">
      <formula>"NO"</formula>
    </cfRule>
  </conditionalFormatting>
  <conditionalFormatting sqref="N201">
    <cfRule type="cellIs" dxfId="4962" priority="20" stopIfTrue="1" operator="greaterThan">
      <formula>0</formula>
    </cfRule>
  </conditionalFormatting>
  <conditionalFormatting sqref="N201">
    <cfRule type="cellIs" dxfId="4961" priority="19" operator="equal">
      <formula>"NO"</formula>
    </cfRule>
  </conditionalFormatting>
  <conditionalFormatting sqref="N210">
    <cfRule type="cellIs" dxfId="4960" priority="18" stopIfTrue="1" operator="greaterThan">
      <formula>0</formula>
    </cfRule>
  </conditionalFormatting>
  <conditionalFormatting sqref="N210">
    <cfRule type="cellIs" dxfId="4959" priority="17" operator="equal">
      <formula>"NO"</formula>
    </cfRule>
  </conditionalFormatting>
  <conditionalFormatting sqref="N219">
    <cfRule type="cellIs" dxfId="4958" priority="16" stopIfTrue="1" operator="greaterThan">
      <formula>0</formula>
    </cfRule>
  </conditionalFormatting>
  <conditionalFormatting sqref="N219">
    <cfRule type="cellIs" dxfId="4957" priority="15" operator="equal">
      <formula>"NO"</formula>
    </cfRule>
  </conditionalFormatting>
  <conditionalFormatting sqref="N228">
    <cfRule type="cellIs" dxfId="4956" priority="14" stopIfTrue="1" operator="greaterThan">
      <formula>0</formula>
    </cfRule>
  </conditionalFormatting>
  <conditionalFormatting sqref="N228">
    <cfRule type="cellIs" dxfId="4955" priority="13" operator="equal">
      <formula>"NO"</formula>
    </cfRule>
  </conditionalFormatting>
  <conditionalFormatting sqref="N237">
    <cfRule type="cellIs" dxfId="4954" priority="12" stopIfTrue="1" operator="greaterThan">
      <formula>0</formula>
    </cfRule>
  </conditionalFormatting>
  <conditionalFormatting sqref="N237">
    <cfRule type="cellIs" dxfId="4953" priority="11" operator="equal">
      <formula>"NO"</formula>
    </cfRule>
  </conditionalFormatting>
  <conditionalFormatting sqref="N264">
    <cfRule type="cellIs" dxfId="4952" priority="10" stopIfTrue="1" operator="greaterThan">
      <formula>0</formula>
    </cfRule>
  </conditionalFormatting>
  <conditionalFormatting sqref="N264">
    <cfRule type="cellIs" dxfId="4951" priority="9" operator="equal">
      <formula>"NO"</formula>
    </cfRule>
  </conditionalFormatting>
  <conditionalFormatting sqref="N273">
    <cfRule type="cellIs" dxfId="4950" priority="8" stopIfTrue="1" operator="greaterThan">
      <formula>0</formula>
    </cfRule>
  </conditionalFormatting>
  <conditionalFormatting sqref="N273">
    <cfRule type="cellIs" dxfId="4949" priority="7" operator="equal">
      <formula>"NO"</formula>
    </cfRule>
  </conditionalFormatting>
  <conditionalFormatting sqref="N282">
    <cfRule type="cellIs" dxfId="4948" priority="6" stopIfTrue="1" operator="greaterThan">
      <formula>0</formula>
    </cfRule>
  </conditionalFormatting>
  <conditionalFormatting sqref="N282">
    <cfRule type="cellIs" dxfId="4947" priority="5" operator="equal">
      <formula>"NO"</formula>
    </cfRule>
  </conditionalFormatting>
  <conditionalFormatting sqref="N291">
    <cfRule type="cellIs" dxfId="4946" priority="4" stopIfTrue="1" operator="greaterThan">
      <formula>0</formula>
    </cfRule>
  </conditionalFormatting>
  <conditionalFormatting sqref="N291">
    <cfRule type="cellIs" dxfId="4945" priority="3" operator="equal">
      <formula>"NO"</formula>
    </cfRule>
  </conditionalFormatting>
  <conditionalFormatting sqref="N300">
    <cfRule type="cellIs" dxfId="4944" priority="2" stopIfTrue="1" operator="greaterThan">
      <formula>0</formula>
    </cfRule>
  </conditionalFormatting>
  <conditionalFormatting sqref="N300">
    <cfRule type="cellIs" dxfId="4943" priority="1" operator="equal">
      <formula>"NO"</formula>
    </cfRule>
  </conditionalFormatting>
  <hyperlinks>
    <hyperlink ref="B1:C2" location="Indice!A1" display="Volver al Indice" xr:uid="{A05F91DC-FE9B-4CA4-B502-DFBB4611DC50}"/>
  </hyperlinks>
  <printOptions horizontalCentered="1"/>
  <pageMargins left="0.31496062992125984" right="0.31496062992125984" top="0.78740157480314965" bottom="0.43307086614173229" header="0.27559055118110237" footer="0.27559055118110237"/>
  <pageSetup paperSize="3" scale="44" fitToHeight="60" orientation="landscape" horizontalDpi="300" verticalDpi="300" r:id="rId1"/>
  <headerFooter scaleWithDoc="0" alignWithMargins="0">
    <oddHeader>&amp;C&amp;"Arial,Negrita"&amp;16DEPARTAMENTO DE ANTIOQUIA
&amp;12SECRETARÍA DE INFRAESTRUCTURA FISICA</oddHeader>
    <oddFooter>&amp;C&amp;9Página &amp;P de &amp;N</oddFooter>
  </headerFooter>
  <rowBreaks count="14" manualBreakCount="14">
    <brk id="17" min="1" max="29" man="1"/>
    <brk id="26" min="1" max="29" man="1"/>
    <brk id="35" min="1" max="29" man="1"/>
    <brk id="44" min="1" max="29" man="1"/>
    <brk id="53" min="1" max="29" man="1"/>
    <brk id="62" min="1" max="29" man="1"/>
    <brk id="71" min="1" max="29" man="1"/>
    <brk id="80" min="1" max="29" man="1"/>
    <brk id="89" min="1" max="29" man="1"/>
    <brk id="98" min="1" max="29" man="1"/>
    <brk id="107" min="1" max="29" man="1"/>
    <brk id="116" min="1" max="29" man="1"/>
    <brk id="125" min="1" max="29" man="1"/>
    <brk id="134" min="1" max="2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1D5338-3AB5-4950-AE49-BE93DC43C732}">
  <sheetPr codeName="Hoja2">
    <tabColor rgb="FF92D050"/>
  </sheetPr>
  <dimension ref="A1:AI943"/>
  <sheetViews>
    <sheetView showGridLines="0" topLeftCell="B1" zoomScale="70" zoomScaleNormal="70" zoomScaleSheetLayoutView="85" workbookViewId="0">
      <selection activeCell="D2" sqref="D2:AC2"/>
    </sheetView>
  </sheetViews>
  <sheetFormatPr baseColWidth="10" defaultColWidth="11.42578125" defaultRowHeight="11.25" x14ac:dyDescent="0.2"/>
  <cols>
    <col min="1" max="1" width="15.28515625" style="1" hidden="1" customWidth="1"/>
    <col min="2" max="2" width="5.85546875" style="1" customWidth="1"/>
    <col min="3" max="3" width="24.28515625" style="1" customWidth="1"/>
    <col min="4" max="4" width="20.85546875" style="1" customWidth="1"/>
    <col min="5" max="5" width="15" style="1" customWidth="1"/>
    <col min="6" max="6" width="58.140625" style="1" customWidth="1"/>
    <col min="7" max="7" width="30.28515625" style="1" customWidth="1"/>
    <col min="8" max="8" width="13" style="1" customWidth="1"/>
    <col min="9" max="9" width="14.5703125" style="1" customWidth="1"/>
    <col min="10" max="10" width="17" style="1" customWidth="1"/>
    <col min="11" max="11" width="15.7109375" style="20" customWidth="1"/>
    <col min="12" max="12" width="14" style="20" customWidth="1"/>
    <col min="13" max="13" width="14.85546875" style="20" customWidth="1"/>
    <col min="14" max="14" width="15.28515625" style="20" customWidth="1"/>
    <col min="15" max="15" width="10.42578125" style="1" customWidth="1"/>
    <col min="16" max="16" width="13.42578125" style="1" customWidth="1"/>
    <col min="17" max="17" width="15" style="1" customWidth="1"/>
    <col min="18" max="18" width="10.28515625" style="1" customWidth="1"/>
    <col min="19" max="19" width="10" style="1" customWidth="1"/>
    <col min="20" max="20" width="12.140625" style="1" customWidth="1"/>
    <col min="21" max="21" width="13.5703125" style="1" customWidth="1"/>
    <col min="22" max="22" width="61.42578125" style="128" customWidth="1"/>
    <col min="23" max="23" width="2.85546875" style="1" customWidth="1"/>
    <col min="24" max="24" width="28" style="1" customWidth="1"/>
    <col min="25" max="25" width="1.42578125" style="1" customWidth="1"/>
    <col min="26" max="26" width="30.7109375" style="1" customWidth="1"/>
    <col min="27" max="27" width="1.5703125" style="1" customWidth="1"/>
    <col min="28" max="28" width="28.42578125" style="1" customWidth="1"/>
    <col min="29" max="29" width="1.5703125" style="1" customWidth="1"/>
    <col min="30" max="30" width="5.85546875" style="20" hidden="1" customWidth="1"/>
    <col min="31" max="32" width="0" style="1" hidden="1" customWidth="1"/>
    <col min="33" max="33" width="4.85546875" style="1" hidden="1" customWidth="1"/>
    <col min="34" max="34" width="29" style="1" hidden="1" customWidth="1"/>
    <col min="35" max="41" width="0" style="1" hidden="1" customWidth="1"/>
    <col min="42" max="240" width="11.42578125" style="1"/>
    <col min="241" max="241" width="5.140625" style="1" customWidth="1"/>
    <col min="242" max="242" width="23.42578125" style="1" customWidth="1"/>
    <col min="243" max="243" width="7.85546875" style="1" customWidth="1"/>
    <col min="244" max="244" width="10.140625" style="1" customWidth="1"/>
    <col min="245" max="245" width="16.28515625" style="1" customWidth="1"/>
    <col min="246" max="246" width="12.7109375" style="1" customWidth="1"/>
    <col min="247" max="247" width="18" style="1" customWidth="1"/>
    <col min="248" max="248" width="13.42578125" style="1" customWidth="1"/>
    <col min="249" max="249" width="11.7109375" style="1" customWidth="1"/>
    <col min="250" max="250" width="12.42578125" style="1" customWidth="1"/>
    <col min="251" max="251" width="4" style="1" customWidth="1"/>
    <col min="252" max="252" width="6.5703125" style="1" customWidth="1"/>
    <col min="253" max="253" width="10.85546875" style="1" customWidth="1"/>
    <col min="254" max="254" width="4.7109375" style="1" customWidth="1"/>
    <col min="255" max="255" width="5.140625" style="1" customWidth="1"/>
    <col min="256" max="257" width="11.85546875" style="1" customWidth="1"/>
    <col min="258" max="258" width="7" style="1" customWidth="1"/>
    <col min="259" max="259" width="12.7109375" style="1" bestFit="1" customWidth="1"/>
    <col min="260" max="260" width="9.5703125" style="1" customWidth="1"/>
    <col min="261" max="261" width="19.7109375" style="1" customWidth="1"/>
    <col min="262" max="262" width="13" style="1" bestFit="1" customWidth="1"/>
    <col min="263" max="496" width="11.42578125" style="1"/>
    <col min="497" max="497" width="5.140625" style="1" customWidth="1"/>
    <col min="498" max="498" width="23.42578125" style="1" customWidth="1"/>
    <col min="499" max="499" width="7.85546875" style="1" customWidth="1"/>
    <col min="500" max="500" width="10.140625" style="1" customWidth="1"/>
    <col min="501" max="501" width="16.28515625" style="1" customWidth="1"/>
    <col min="502" max="502" width="12.7109375" style="1" customWidth="1"/>
    <col min="503" max="503" width="18" style="1" customWidth="1"/>
    <col min="504" max="504" width="13.42578125" style="1" customWidth="1"/>
    <col min="505" max="505" width="11.7109375" style="1" customWidth="1"/>
    <col min="506" max="506" width="12.42578125" style="1" customWidth="1"/>
    <col min="507" max="507" width="4" style="1" customWidth="1"/>
    <col min="508" max="508" width="6.5703125" style="1" customWidth="1"/>
    <col min="509" max="509" width="10.85546875" style="1" customWidth="1"/>
    <col min="510" max="510" width="4.7109375" style="1" customWidth="1"/>
    <col min="511" max="511" width="5.140625" style="1" customWidth="1"/>
    <col min="512" max="513" width="11.85546875" style="1" customWidth="1"/>
    <col min="514" max="514" width="7" style="1" customWidth="1"/>
    <col min="515" max="515" width="12.7109375" style="1" bestFit="1" customWidth="1"/>
    <col min="516" max="516" width="9.5703125" style="1" customWidth="1"/>
    <col min="517" max="517" width="19.7109375" style="1" customWidth="1"/>
    <col min="518" max="518" width="13" style="1" bestFit="1" customWidth="1"/>
    <col min="519" max="752" width="11.42578125" style="1"/>
    <col min="753" max="753" width="5.140625" style="1" customWidth="1"/>
    <col min="754" max="754" width="23.42578125" style="1" customWidth="1"/>
    <col min="755" max="755" width="7.85546875" style="1" customWidth="1"/>
    <col min="756" max="756" width="10.140625" style="1" customWidth="1"/>
    <col min="757" max="757" width="16.28515625" style="1" customWidth="1"/>
    <col min="758" max="758" width="12.7109375" style="1" customWidth="1"/>
    <col min="759" max="759" width="18" style="1" customWidth="1"/>
    <col min="760" max="760" width="13.42578125" style="1" customWidth="1"/>
    <col min="761" max="761" width="11.7109375" style="1" customWidth="1"/>
    <col min="762" max="762" width="12.42578125" style="1" customWidth="1"/>
    <col min="763" max="763" width="4" style="1" customWidth="1"/>
    <col min="764" max="764" width="6.5703125" style="1" customWidth="1"/>
    <col min="765" max="765" width="10.85546875" style="1" customWidth="1"/>
    <col min="766" max="766" width="4.7109375" style="1" customWidth="1"/>
    <col min="767" max="767" width="5.140625" style="1" customWidth="1"/>
    <col min="768" max="769" width="11.85546875" style="1" customWidth="1"/>
    <col min="770" max="770" width="7" style="1" customWidth="1"/>
    <col min="771" max="771" width="12.7109375" style="1" bestFit="1" customWidth="1"/>
    <col min="772" max="772" width="9.5703125" style="1" customWidth="1"/>
    <col min="773" max="773" width="19.7109375" style="1" customWidth="1"/>
    <col min="774" max="774" width="13" style="1" bestFit="1" customWidth="1"/>
    <col min="775" max="1008" width="11.42578125" style="1"/>
    <col min="1009" max="1009" width="5.140625" style="1" customWidth="1"/>
    <col min="1010" max="1010" width="23.42578125" style="1" customWidth="1"/>
    <col min="1011" max="1011" width="7.85546875" style="1" customWidth="1"/>
    <col min="1012" max="1012" width="10.140625" style="1" customWidth="1"/>
    <col min="1013" max="1013" width="16.28515625" style="1" customWidth="1"/>
    <col min="1014" max="1014" width="12.7109375" style="1" customWidth="1"/>
    <col min="1015" max="1015" width="18" style="1" customWidth="1"/>
    <col min="1016" max="1016" width="13.42578125" style="1" customWidth="1"/>
    <col min="1017" max="1017" width="11.7109375" style="1" customWidth="1"/>
    <col min="1018" max="1018" width="12.42578125" style="1" customWidth="1"/>
    <col min="1019" max="1019" width="4" style="1" customWidth="1"/>
    <col min="1020" max="1020" width="6.5703125" style="1" customWidth="1"/>
    <col min="1021" max="1021" width="10.85546875" style="1" customWidth="1"/>
    <col min="1022" max="1022" width="4.7109375" style="1" customWidth="1"/>
    <col min="1023" max="1023" width="5.140625" style="1" customWidth="1"/>
    <col min="1024" max="1025" width="11.85546875" style="1" customWidth="1"/>
    <col min="1026" max="1026" width="7" style="1" customWidth="1"/>
    <col min="1027" max="1027" width="12.7109375" style="1" bestFit="1" customWidth="1"/>
    <col min="1028" max="1028" width="9.5703125" style="1" customWidth="1"/>
    <col min="1029" max="1029" width="19.7109375" style="1" customWidth="1"/>
    <col min="1030" max="1030" width="13" style="1" bestFit="1" customWidth="1"/>
    <col min="1031" max="1264" width="11.42578125" style="1"/>
    <col min="1265" max="1265" width="5.140625" style="1" customWidth="1"/>
    <col min="1266" max="1266" width="23.42578125" style="1" customWidth="1"/>
    <col min="1267" max="1267" width="7.85546875" style="1" customWidth="1"/>
    <col min="1268" max="1268" width="10.140625" style="1" customWidth="1"/>
    <col min="1269" max="1269" width="16.28515625" style="1" customWidth="1"/>
    <col min="1270" max="1270" width="12.7109375" style="1" customWidth="1"/>
    <col min="1271" max="1271" width="18" style="1" customWidth="1"/>
    <col min="1272" max="1272" width="13.42578125" style="1" customWidth="1"/>
    <col min="1273" max="1273" width="11.7109375" style="1" customWidth="1"/>
    <col min="1274" max="1274" width="12.42578125" style="1" customWidth="1"/>
    <col min="1275" max="1275" width="4" style="1" customWidth="1"/>
    <col min="1276" max="1276" width="6.5703125" style="1" customWidth="1"/>
    <col min="1277" max="1277" width="10.85546875" style="1" customWidth="1"/>
    <col min="1278" max="1278" width="4.7109375" style="1" customWidth="1"/>
    <col min="1279" max="1279" width="5.140625" style="1" customWidth="1"/>
    <col min="1280" max="1281" width="11.85546875" style="1" customWidth="1"/>
    <col min="1282" max="1282" width="7" style="1" customWidth="1"/>
    <col min="1283" max="1283" width="12.7109375" style="1" bestFit="1" customWidth="1"/>
    <col min="1284" max="1284" width="9.5703125" style="1" customWidth="1"/>
    <col min="1285" max="1285" width="19.7109375" style="1" customWidth="1"/>
    <col min="1286" max="1286" width="13" style="1" bestFit="1" customWidth="1"/>
    <col min="1287" max="1520" width="11.42578125" style="1"/>
    <col min="1521" max="1521" width="5.140625" style="1" customWidth="1"/>
    <col min="1522" max="1522" width="23.42578125" style="1" customWidth="1"/>
    <col min="1523" max="1523" width="7.85546875" style="1" customWidth="1"/>
    <col min="1524" max="1524" width="10.140625" style="1" customWidth="1"/>
    <col min="1525" max="1525" width="16.28515625" style="1" customWidth="1"/>
    <col min="1526" max="1526" width="12.7109375" style="1" customWidth="1"/>
    <col min="1527" max="1527" width="18" style="1" customWidth="1"/>
    <col min="1528" max="1528" width="13.42578125" style="1" customWidth="1"/>
    <col min="1529" max="1529" width="11.7109375" style="1" customWidth="1"/>
    <col min="1530" max="1530" width="12.42578125" style="1" customWidth="1"/>
    <col min="1531" max="1531" width="4" style="1" customWidth="1"/>
    <col min="1532" max="1532" width="6.5703125" style="1" customWidth="1"/>
    <col min="1533" max="1533" width="10.85546875" style="1" customWidth="1"/>
    <col min="1534" max="1534" width="4.7109375" style="1" customWidth="1"/>
    <col min="1535" max="1535" width="5.140625" style="1" customWidth="1"/>
    <col min="1536" max="1537" width="11.85546875" style="1" customWidth="1"/>
    <col min="1538" max="1538" width="7" style="1" customWidth="1"/>
    <col min="1539" max="1539" width="12.7109375" style="1" bestFit="1" customWidth="1"/>
    <col min="1540" max="1540" width="9.5703125" style="1" customWidth="1"/>
    <col min="1541" max="1541" width="19.7109375" style="1" customWidth="1"/>
    <col min="1542" max="1542" width="13" style="1" bestFit="1" customWidth="1"/>
    <col min="1543" max="1776" width="11.42578125" style="1"/>
    <col min="1777" max="1777" width="5.140625" style="1" customWidth="1"/>
    <col min="1778" max="1778" width="23.42578125" style="1" customWidth="1"/>
    <col min="1779" max="1779" width="7.85546875" style="1" customWidth="1"/>
    <col min="1780" max="1780" width="10.140625" style="1" customWidth="1"/>
    <col min="1781" max="1781" width="16.28515625" style="1" customWidth="1"/>
    <col min="1782" max="1782" width="12.7109375" style="1" customWidth="1"/>
    <col min="1783" max="1783" width="18" style="1" customWidth="1"/>
    <col min="1784" max="1784" width="13.42578125" style="1" customWidth="1"/>
    <col min="1785" max="1785" width="11.7109375" style="1" customWidth="1"/>
    <col min="1786" max="1786" width="12.42578125" style="1" customWidth="1"/>
    <col min="1787" max="1787" width="4" style="1" customWidth="1"/>
    <col min="1788" max="1788" width="6.5703125" style="1" customWidth="1"/>
    <col min="1789" max="1789" width="10.85546875" style="1" customWidth="1"/>
    <col min="1790" max="1790" width="4.7109375" style="1" customWidth="1"/>
    <col min="1791" max="1791" width="5.140625" style="1" customWidth="1"/>
    <col min="1792" max="1793" width="11.85546875" style="1" customWidth="1"/>
    <col min="1794" max="1794" width="7" style="1" customWidth="1"/>
    <col min="1795" max="1795" width="12.7109375" style="1" bestFit="1" customWidth="1"/>
    <col min="1796" max="1796" width="9.5703125" style="1" customWidth="1"/>
    <col min="1797" max="1797" width="19.7109375" style="1" customWidth="1"/>
    <col min="1798" max="1798" width="13" style="1" bestFit="1" customWidth="1"/>
    <col min="1799" max="2032" width="11.42578125" style="1"/>
    <col min="2033" max="2033" width="5.140625" style="1" customWidth="1"/>
    <col min="2034" max="2034" width="23.42578125" style="1" customWidth="1"/>
    <col min="2035" max="2035" width="7.85546875" style="1" customWidth="1"/>
    <col min="2036" max="2036" width="10.140625" style="1" customWidth="1"/>
    <col min="2037" max="2037" width="16.28515625" style="1" customWidth="1"/>
    <col min="2038" max="2038" width="12.7109375" style="1" customWidth="1"/>
    <col min="2039" max="2039" width="18" style="1" customWidth="1"/>
    <col min="2040" max="2040" width="13.42578125" style="1" customWidth="1"/>
    <col min="2041" max="2041" width="11.7109375" style="1" customWidth="1"/>
    <col min="2042" max="2042" width="12.42578125" style="1" customWidth="1"/>
    <col min="2043" max="2043" width="4" style="1" customWidth="1"/>
    <col min="2044" max="2044" width="6.5703125" style="1" customWidth="1"/>
    <col min="2045" max="2045" width="10.85546875" style="1" customWidth="1"/>
    <col min="2046" max="2046" width="4.7109375" style="1" customWidth="1"/>
    <col min="2047" max="2047" width="5.140625" style="1" customWidth="1"/>
    <col min="2048" max="2049" width="11.85546875" style="1" customWidth="1"/>
    <col min="2050" max="2050" width="7" style="1" customWidth="1"/>
    <col min="2051" max="2051" width="12.7109375" style="1" bestFit="1" customWidth="1"/>
    <col min="2052" max="2052" width="9.5703125" style="1" customWidth="1"/>
    <col min="2053" max="2053" width="19.7109375" style="1" customWidth="1"/>
    <col min="2054" max="2054" width="13" style="1" bestFit="1" customWidth="1"/>
    <col min="2055" max="2288" width="11.42578125" style="1"/>
    <col min="2289" max="2289" width="5.140625" style="1" customWidth="1"/>
    <col min="2290" max="2290" width="23.42578125" style="1" customWidth="1"/>
    <col min="2291" max="2291" width="7.85546875" style="1" customWidth="1"/>
    <col min="2292" max="2292" width="10.140625" style="1" customWidth="1"/>
    <col min="2293" max="2293" width="16.28515625" style="1" customWidth="1"/>
    <col min="2294" max="2294" width="12.7109375" style="1" customWidth="1"/>
    <col min="2295" max="2295" width="18" style="1" customWidth="1"/>
    <col min="2296" max="2296" width="13.42578125" style="1" customWidth="1"/>
    <col min="2297" max="2297" width="11.7109375" style="1" customWidth="1"/>
    <col min="2298" max="2298" width="12.42578125" style="1" customWidth="1"/>
    <col min="2299" max="2299" width="4" style="1" customWidth="1"/>
    <col min="2300" max="2300" width="6.5703125" style="1" customWidth="1"/>
    <col min="2301" max="2301" width="10.85546875" style="1" customWidth="1"/>
    <col min="2302" max="2302" width="4.7109375" style="1" customWidth="1"/>
    <col min="2303" max="2303" width="5.140625" style="1" customWidth="1"/>
    <col min="2304" max="2305" width="11.85546875" style="1" customWidth="1"/>
    <col min="2306" max="2306" width="7" style="1" customWidth="1"/>
    <col min="2307" max="2307" width="12.7109375" style="1" bestFit="1" customWidth="1"/>
    <col min="2308" max="2308" width="9.5703125" style="1" customWidth="1"/>
    <col min="2309" max="2309" width="19.7109375" style="1" customWidth="1"/>
    <col min="2310" max="2310" width="13" style="1" bestFit="1" customWidth="1"/>
    <col min="2311" max="2544" width="11.42578125" style="1"/>
    <col min="2545" max="2545" width="5.140625" style="1" customWidth="1"/>
    <col min="2546" max="2546" width="23.42578125" style="1" customWidth="1"/>
    <col min="2547" max="2547" width="7.85546875" style="1" customWidth="1"/>
    <col min="2548" max="2548" width="10.140625" style="1" customWidth="1"/>
    <col min="2549" max="2549" width="16.28515625" style="1" customWidth="1"/>
    <col min="2550" max="2550" width="12.7109375" style="1" customWidth="1"/>
    <col min="2551" max="2551" width="18" style="1" customWidth="1"/>
    <col min="2552" max="2552" width="13.42578125" style="1" customWidth="1"/>
    <col min="2553" max="2553" width="11.7109375" style="1" customWidth="1"/>
    <col min="2554" max="2554" width="12.42578125" style="1" customWidth="1"/>
    <col min="2555" max="2555" width="4" style="1" customWidth="1"/>
    <col min="2556" max="2556" width="6.5703125" style="1" customWidth="1"/>
    <col min="2557" max="2557" width="10.85546875" style="1" customWidth="1"/>
    <col min="2558" max="2558" width="4.7109375" style="1" customWidth="1"/>
    <col min="2559" max="2559" width="5.140625" style="1" customWidth="1"/>
    <col min="2560" max="2561" width="11.85546875" style="1" customWidth="1"/>
    <col min="2562" max="2562" width="7" style="1" customWidth="1"/>
    <col min="2563" max="2563" width="12.7109375" style="1" bestFit="1" customWidth="1"/>
    <col min="2564" max="2564" width="9.5703125" style="1" customWidth="1"/>
    <col min="2565" max="2565" width="19.7109375" style="1" customWidth="1"/>
    <col min="2566" max="2566" width="13" style="1" bestFit="1" customWidth="1"/>
    <col min="2567" max="2800" width="11.42578125" style="1"/>
    <col min="2801" max="2801" width="5.140625" style="1" customWidth="1"/>
    <col min="2802" max="2802" width="23.42578125" style="1" customWidth="1"/>
    <col min="2803" max="2803" width="7.85546875" style="1" customWidth="1"/>
    <col min="2804" max="2804" width="10.140625" style="1" customWidth="1"/>
    <col min="2805" max="2805" width="16.28515625" style="1" customWidth="1"/>
    <col min="2806" max="2806" width="12.7109375" style="1" customWidth="1"/>
    <col min="2807" max="2807" width="18" style="1" customWidth="1"/>
    <col min="2808" max="2808" width="13.42578125" style="1" customWidth="1"/>
    <col min="2809" max="2809" width="11.7109375" style="1" customWidth="1"/>
    <col min="2810" max="2810" width="12.42578125" style="1" customWidth="1"/>
    <col min="2811" max="2811" width="4" style="1" customWidth="1"/>
    <col min="2812" max="2812" width="6.5703125" style="1" customWidth="1"/>
    <col min="2813" max="2813" width="10.85546875" style="1" customWidth="1"/>
    <col min="2814" max="2814" width="4.7109375" style="1" customWidth="1"/>
    <col min="2815" max="2815" width="5.140625" style="1" customWidth="1"/>
    <col min="2816" max="2817" width="11.85546875" style="1" customWidth="1"/>
    <col min="2818" max="2818" width="7" style="1" customWidth="1"/>
    <col min="2819" max="2819" width="12.7109375" style="1" bestFit="1" customWidth="1"/>
    <col min="2820" max="2820" width="9.5703125" style="1" customWidth="1"/>
    <col min="2821" max="2821" width="19.7109375" style="1" customWidth="1"/>
    <col min="2822" max="2822" width="13" style="1" bestFit="1" customWidth="1"/>
    <col min="2823" max="3056" width="11.42578125" style="1"/>
    <col min="3057" max="3057" width="5.140625" style="1" customWidth="1"/>
    <col min="3058" max="3058" width="23.42578125" style="1" customWidth="1"/>
    <col min="3059" max="3059" width="7.85546875" style="1" customWidth="1"/>
    <col min="3060" max="3060" width="10.140625" style="1" customWidth="1"/>
    <col min="3061" max="3061" width="16.28515625" style="1" customWidth="1"/>
    <col min="3062" max="3062" width="12.7109375" style="1" customWidth="1"/>
    <col min="3063" max="3063" width="18" style="1" customWidth="1"/>
    <col min="3064" max="3064" width="13.42578125" style="1" customWidth="1"/>
    <col min="3065" max="3065" width="11.7109375" style="1" customWidth="1"/>
    <col min="3066" max="3066" width="12.42578125" style="1" customWidth="1"/>
    <col min="3067" max="3067" width="4" style="1" customWidth="1"/>
    <col min="3068" max="3068" width="6.5703125" style="1" customWidth="1"/>
    <col min="3069" max="3069" width="10.85546875" style="1" customWidth="1"/>
    <col min="3070" max="3070" width="4.7109375" style="1" customWidth="1"/>
    <col min="3071" max="3071" width="5.140625" style="1" customWidth="1"/>
    <col min="3072" max="3073" width="11.85546875" style="1" customWidth="1"/>
    <col min="3074" max="3074" width="7" style="1" customWidth="1"/>
    <col min="3075" max="3075" width="12.7109375" style="1" bestFit="1" customWidth="1"/>
    <col min="3076" max="3076" width="9.5703125" style="1" customWidth="1"/>
    <col min="3077" max="3077" width="19.7109375" style="1" customWidth="1"/>
    <col min="3078" max="3078" width="13" style="1" bestFit="1" customWidth="1"/>
    <col min="3079" max="3312" width="11.42578125" style="1"/>
    <col min="3313" max="3313" width="5.140625" style="1" customWidth="1"/>
    <col min="3314" max="3314" width="23.42578125" style="1" customWidth="1"/>
    <col min="3315" max="3315" width="7.85546875" style="1" customWidth="1"/>
    <col min="3316" max="3316" width="10.140625" style="1" customWidth="1"/>
    <col min="3317" max="3317" width="16.28515625" style="1" customWidth="1"/>
    <col min="3318" max="3318" width="12.7109375" style="1" customWidth="1"/>
    <col min="3319" max="3319" width="18" style="1" customWidth="1"/>
    <col min="3320" max="3320" width="13.42578125" style="1" customWidth="1"/>
    <col min="3321" max="3321" width="11.7109375" style="1" customWidth="1"/>
    <col min="3322" max="3322" width="12.42578125" style="1" customWidth="1"/>
    <col min="3323" max="3323" width="4" style="1" customWidth="1"/>
    <col min="3324" max="3324" width="6.5703125" style="1" customWidth="1"/>
    <col min="3325" max="3325" width="10.85546875" style="1" customWidth="1"/>
    <col min="3326" max="3326" width="4.7109375" style="1" customWidth="1"/>
    <col min="3327" max="3327" width="5.140625" style="1" customWidth="1"/>
    <col min="3328" max="3329" width="11.85546875" style="1" customWidth="1"/>
    <col min="3330" max="3330" width="7" style="1" customWidth="1"/>
    <col min="3331" max="3331" width="12.7109375" style="1" bestFit="1" customWidth="1"/>
    <col min="3332" max="3332" width="9.5703125" style="1" customWidth="1"/>
    <col min="3333" max="3333" width="19.7109375" style="1" customWidth="1"/>
    <col min="3334" max="3334" width="13" style="1" bestFit="1" customWidth="1"/>
    <col min="3335" max="3568" width="11.42578125" style="1"/>
    <col min="3569" max="3569" width="5.140625" style="1" customWidth="1"/>
    <col min="3570" max="3570" width="23.42578125" style="1" customWidth="1"/>
    <col min="3571" max="3571" width="7.85546875" style="1" customWidth="1"/>
    <col min="3572" max="3572" width="10.140625" style="1" customWidth="1"/>
    <col min="3573" max="3573" width="16.28515625" style="1" customWidth="1"/>
    <col min="3574" max="3574" width="12.7109375" style="1" customWidth="1"/>
    <col min="3575" max="3575" width="18" style="1" customWidth="1"/>
    <col min="3576" max="3576" width="13.42578125" style="1" customWidth="1"/>
    <col min="3577" max="3577" width="11.7109375" style="1" customWidth="1"/>
    <col min="3578" max="3578" width="12.42578125" style="1" customWidth="1"/>
    <col min="3579" max="3579" width="4" style="1" customWidth="1"/>
    <col min="3580" max="3580" width="6.5703125" style="1" customWidth="1"/>
    <col min="3581" max="3581" width="10.85546875" style="1" customWidth="1"/>
    <col min="3582" max="3582" width="4.7109375" style="1" customWidth="1"/>
    <col min="3583" max="3583" width="5.140625" style="1" customWidth="1"/>
    <col min="3584" max="3585" width="11.85546875" style="1" customWidth="1"/>
    <col min="3586" max="3586" width="7" style="1" customWidth="1"/>
    <col min="3587" max="3587" width="12.7109375" style="1" bestFit="1" customWidth="1"/>
    <col min="3588" max="3588" width="9.5703125" style="1" customWidth="1"/>
    <col min="3589" max="3589" width="19.7109375" style="1" customWidth="1"/>
    <col min="3590" max="3590" width="13" style="1" bestFit="1" customWidth="1"/>
    <col min="3591" max="3824" width="11.42578125" style="1"/>
    <col min="3825" max="3825" width="5.140625" style="1" customWidth="1"/>
    <col min="3826" max="3826" width="23.42578125" style="1" customWidth="1"/>
    <col min="3827" max="3827" width="7.85546875" style="1" customWidth="1"/>
    <col min="3828" max="3828" width="10.140625" style="1" customWidth="1"/>
    <col min="3829" max="3829" width="16.28515625" style="1" customWidth="1"/>
    <col min="3830" max="3830" width="12.7109375" style="1" customWidth="1"/>
    <col min="3831" max="3831" width="18" style="1" customWidth="1"/>
    <col min="3832" max="3832" width="13.42578125" style="1" customWidth="1"/>
    <col min="3833" max="3833" width="11.7109375" style="1" customWidth="1"/>
    <col min="3834" max="3834" width="12.42578125" style="1" customWidth="1"/>
    <col min="3835" max="3835" width="4" style="1" customWidth="1"/>
    <col min="3836" max="3836" width="6.5703125" style="1" customWidth="1"/>
    <col min="3837" max="3837" width="10.85546875" style="1" customWidth="1"/>
    <col min="3838" max="3838" width="4.7109375" style="1" customWidth="1"/>
    <col min="3839" max="3839" width="5.140625" style="1" customWidth="1"/>
    <col min="3840" max="3841" width="11.85546875" style="1" customWidth="1"/>
    <col min="3842" max="3842" width="7" style="1" customWidth="1"/>
    <col min="3843" max="3843" width="12.7109375" style="1" bestFit="1" customWidth="1"/>
    <col min="3844" max="3844" width="9.5703125" style="1" customWidth="1"/>
    <col min="3845" max="3845" width="19.7109375" style="1" customWidth="1"/>
    <col min="3846" max="3846" width="13" style="1" bestFit="1" customWidth="1"/>
    <col min="3847" max="4080" width="11.42578125" style="1"/>
    <col min="4081" max="4081" width="5.140625" style="1" customWidth="1"/>
    <col min="4082" max="4082" width="23.42578125" style="1" customWidth="1"/>
    <col min="4083" max="4083" width="7.85546875" style="1" customWidth="1"/>
    <col min="4084" max="4084" width="10.140625" style="1" customWidth="1"/>
    <col min="4085" max="4085" width="16.28515625" style="1" customWidth="1"/>
    <col min="4086" max="4086" width="12.7109375" style="1" customWidth="1"/>
    <col min="4087" max="4087" width="18" style="1" customWidth="1"/>
    <col min="4088" max="4088" width="13.42578125" style="1" customWidth="1"/>
    <col min="4089" max="4089" width="11.7109375" style="1" customWidth="1"/>
    <col min="4090" max="4090" width="12.42578125" style="1" customWidth="1"/>
    <col min="4091" max="4091" width="4" style="1" customWidth="1"/>
    <col min="4092" max="4092" width="6.5703125" style="1" customWidth="1"/>
    <col min="4093" max="4093" width="10.85546875" style="1" customWidth="1"/>
    <col min="4094" max="4094" width="4.7109375" style="1" customWidth="1"/>
    <col min="4095" max="4095" width="5.140625" style="1" customWidth="1"/>
    <col min="4096" max="4097" width="11.85546875" style="1" customWidth="1"/>
    <col min="4098" max="4098" width="7" style="1" customWidth="1"/>
    <col min="4099" max="4099" width="12.7109375" style="1" bestFit="1" customWidth="1"/>
    <col min="4100" max="4100" width="9.5703125" style="1" customWidth="1"/>
    <col min="4101" max="4101" width="19.7109375" style="1" customWidth="1"/>
    <col min="4102" max="4102" width="13" style="1" bestFit="1" customWidth="1"/>
    <col min="4103" max="4336" width="11.42578125" style="1"/>
    <col min="4337" max="4337" width="5.140625" style="1" customWidth="1"/>
    <col min="4338" max="4338" width="23.42578125" style="1" customWidth="1"/>
    <col min="4339" max="4339" width="7.85546875" style="1" customWidth="1"/>
    <col min="4340" max="4340" width="10.140625" style="1" customWidth="1"/>
    <col min="4341" max="4341" width="16.28515625" style="1" customWidth="1"/>
    <col min="4342" max="4342" width="12.7109375" style="1" customWidth="1"/>
    <col min="4343" max="4343" width="18" style="1" customWidth="1"/>
    <col min="4344" max="4344" width="13.42578125" style="1" customWidth="1"/>
    <col min="4345" max="4345" width="11.7109375" style="1" customWidth="1"/>
    <col min="4346" max="4346" width="12.42578125" style="1" customWidth="1"/>
    <col min="4347" max="4347" width="4" style="1" customWidth="1"/>
    <col min="4348" max="4348" width="6.5703125" style="1" customWidth="1"/>
    <col min="4349" max="4349" width="10.85546875" style="1" customWidth="1"/>
    <col min="4350" max="4350" width="4.7109375" style="1" customWidth="1"/>
    <col min="4351" max="4351" width="5.140625" style="1" customWidth="1"/>
    <col min="4352" max="4353" width="11.85546875" style="1" customWidth="1"/>
    <col min="4354" max="4354" width="7" style="1" customWidth="1"/>
    <col min="4355" max="4355" width="12.7109375" style="1" bestFit="1" customWidth="1"/>
    <col min="4356" max="4356" width="9.5703125" style="1" customWidth="1"/>
    <col min="4357" max="4357" width="19.7109375" style="1" customWidth="1"/>
    <col min="4358" max="4358" width="13" style="1" bestFit="1" customWidth="1"/>
    <col min="4359" max="4592" width="11.42578125" style="1"/>
    <col min="4593" max="4593" width="5.140625" style="1" customWidth="1"/>
    <col min="4594" max="4594" width="23.42578125" style="1" customWidth="1"/>
    <col min="4595" max="4595" width="7.85546875" style="1" customWidth="1"/>
    <col min="4596" max="4596" width="10.140625" style="1" customWidth="1"/>
    <col min="4597" max="4597" width="16.28515625" style="1" customWidth="1"/>
    <col min="4598" max="4598" width="12.7109375" style="1" customWidth="1"/>
    <col min="4599" max="4599" width="18" style="1" customWidth="1"/>
    <col min="4600" max="4600" width="13.42578125" style="1" customWidth="1"/>
    <col min="4601" max="4601" width="11.7109375" style="1" customWidth="1"/>
    <col min="4602" max="4602" width="12.42578125" style="1" customWidth="1"/>
    <col min="4603" max="4603" width="4" style="1" customWidth="1"/>
    <col min="4604" max="4604" width="6.5703125" style="1" customWidth="1"/>
    <col min="4605" max="4605" width="10.85546875" style="1" customWidth="1"/>
    <col min="4606" max="4606" width="4.7109375" style="1" customWidth="1"/>
    <col min="4607" max="4607" width="5.140625" style="1" customWidth="1"/>
    <col min="4608" max="4609" width="11.85546875" style="1" customWidth="1"/>
    <col min="4610" max="4610" width="7" style="1" customWidth="1"/>
    <col min="4611" max="4611" width="12.7109375" style="1" bestFit="1" customWidth="1"/>
    <col min="4612" max="4612" width="9.5703125" style="1" customWidth="1"/>
    <col min="4613" max="4613" width="19.7109375" style="1" customWidth="1"/>
    <col min="4614" max="4614" width="13" style="1" bestFit="1" customWidth="1"/>
    <col min="4615" max="4848" width="11.42578125" style="1"/>
    <col min="4849" max="4849" width="5.140625" style="1" customWidth="1"/>
    <col min="4850" max="4850" width="23.42578125" style="1" customWidth="1"/>
    <col min="4851" max="4851" width="7.85546875" style="1" customWidth="1"/>
    <col min="4852" max="4852" width="10.140625" style="1" customWidth="1"/>
    <col min="4853" max="4853" width="16.28515625" style="1" customWidth="1"/>
    <col min="4854" max="4854" width="12.7109375" style="1" customWidth="1"/>
    <col min="4855" max="4855" width="18" style="1" customWidth="1"/>
    <col min="4856" max="4856" width="13.42578125" style="1" customWidth="1"/>
    <col min="4857" max="4857" width="11.7109375" style="1" customWidth="1"/>
    <col min="4858" max="4858" width="12.42578125" style="1" customWidth="1"/>
    <col min="4859" max="4859" width="4" style="1" customWidth="1"/>
    <col min="4860" max="4860" width="6.5703125" style="1" customWidth="1"/>
    <col min="4861" max="4861" width="10.85546875" style="1" customWidth="1"/>
    <col min="4862" max="4862" width="4.7109375" style="1" customWidth="1"/>
    <col min="4863" max="4863" width="5.140625" style="1" customWidth="1"/>
    <col min="4864" max="4865" width="11.85546875" style="1" customWidth="1"/>
    <col min="4866" max="4866" width="7" style="1" customWidth="1"/>
    <col min="4867" max="4867" width="12.7109375" style="1" bestFit="1" customWidth="1"/>
    <col min="4868" max="4868" width="9.5703125" style="1" customWidth="1"/>
    <col min="4869" max="4869" width="19.7109375" style="1" customWidth="1"/>
    <col min="4870" max="4870" width="13" style="1" bestFit="1" customWidth="1"/>
    <col min="4871" max="5104" width="11.42578125" style="1"/>
    <col min="5105" max="5105" width="5.140625" style="1" customWidth="1"/>
    <col min="5106" max="5106" width="23.42578125" style="1" customWidth="1"/>
    <col min="5107" max="5107" width="7.85546875" style="1" customWidth="1"/>
    <col min="5108" max="5108" width="10.140625" style="1" customWidth="1"/>
    <col min="5109" max="5109" width="16.28515625" style="1" customWidth="1"/>
    <col min="5110" max="5110" width="12.7109375" style="1" customWidth="1"/>
    <col min="5111" max="5111" width="18" style="1" customWidth="1"/>
    <col min="5112" max="5112" width="13.42578125" style="1" customWidth="1"/>
    <col min="5113" max="5113" width="11.7109375" style="1" customWidth="1"/>
    <col min="5114" max="5114" width="12.42578125" style="1" customWidth="1"/>
    <col min="5115" max="5115" width="4" style="1" customWidth="1"/>
    <col min="5116" max="5116" width="6.5703125" style="1" customWidth="1"/>
    <col min="5117" max="5117" width="10.85546875" style="1" customWidth="1"/>
    <col min="5118" max="5118" width="4.7109375" style="1" customWidth="1"/>
    <col min="5119" max="5119" width="5.140625" style="1" customWidth="1"/>
    <col min="5120" max="5121" width="11.85546875" style="1" customWidth="1"/>
    <col min="5122" max="5122" width="7" style="1" customWidth="1"/>
    <col min="5123" max="5123" width="12.7109375" style="1" bestFit="1" customWidth="1"/>
    <col min="5124" max="5124" width="9.5703125" style="1" customWidth="1"/>
    <col min="5125" max="5125" width="19.7109375" style="1" customWidth="1"/>
    <col min="5126" max="5126" width="13" style="1" bestFit="1" customWidth="1"/>
    <col min="5127" max="5360" width="11.42578125" style="1"/>
    <col min="5361" max="5361" width="5.140625" style="1" customWidth="1"/>
    <col min="5362" max="5362" width="23.42578125" style="1" customWidth="1"/>
    <col min="5363" max="5363" width="7.85546875" style="1" customWidth="1"/>
    <col min="5364" max="5364" width="10.140625" style="1" customWidth="1"/>
    <col min="5365" max="5365" width="16.28515625" style="1" customWidth="1"/>
    <col min="5366" max="5366" width="12.7109375" style="1" customWidth="1"/>
    <col min="5367" max="5367" width="18" style="1" customWidth="1"/>
    <col min="5368" max="5368" width="13.42578125" style="1" customWidth="1"/>
    <col min="5369" max="5369" width="11.7109375" style="1" customWidth="1"/>
    <col min="5370" max="5370" width="12.42578125" style="1" customWidth="1"/>
    <col min="5371" max="5371" width="4" style="1" customWidth="1"/>
    <col min="5372" max="5372" width="6.5703125" style="1" customWidth="1"/>
    <col min="5373" max="5373" width="10.85546875" style="1" customWidth="1"/>
    <col min="5374" max="5374" width="4.7109375" style="1" customWidth="1"/>
    <col min="5375" max="5375" width="5.140625" style="1" customWidth="1"/>
    <col min="5376" max="5377" width="11.85546875" style="1" customWidth="1"/>
    <col min="5378" max="5378" width="7" style="1" customWidth="1"/>
    <col min="5379" max="5379" width="12.7109375" style="1" bestFit="1" customWidth="1"/>
    <col min="5380" max="5380" width="9.5703125" style="1" customWidth="1"/>
    <col min="5381" max="5381" width="19.7109375" style="1" customWidth="1"/>
    <col min="5382" max="5382" width="13" style="1" bestFit="1" customWidth="1"/>
    <col min="5383" max="5616" width="11.42578125" style="1"/>
    <col min="5617" max="5617" width="5.140625" style="1" customWidth="1"/>
    <col min="5618" max="5618" width="23.42578125" style="1" customWidth="1"/>
    <col min="5619" max="5619" width="7.85546875" style="1" customWidth="1"/>
    <col min="5620" max="5620" width="10.140625" style="1" customWidth="1"/>
    <col min="5621" max="5621" width="16.28515625" style="1" customWidth="1"/>
    <col min="5622" max="5622" width="12.7109375" style="1" customWidth="1"/>
    <col min="5623" max="5623" width="18" style="1" customWidth="1"/>
    <col min="5624" max="5624" width="13.42578125" style="1" customWidth="1"/>
    <col min="5625" max="5625" width="11.7109375" style="1" customWidth="1"/>
    <col min="5626" max="5626" width="12.42578125" style="1" customWidth="1"/>
    <col min="5627" max="5627" width="4" style="1" customWidth="1"/>
    <col min="5628" max="5628" width="6.5703125" style="1" customWidth="1"/>
    <col min="5629" max="5629" width="10.85546875" style="1" customWidth="1"/>
    <col min="5630" max="5630" width="4.7109375" style="1" customWidth="1"/>
    <col min="5631" max="5631" width="5.140625" style="1" customWidth="1"/>
    <col min="5632" max="5633" width="11.85546875" style="1" customWidth="1"/>
    <col min="5634" max="5634" width="7" style="1" customWidth="1"/>
    <col min="5635" max="5635" width="12.7109375" style="1" bestFit="1" customWidth="1"/>
    <col min="5636" max="5636" width="9.5703125" style="1" customWidth="1"/>
    <col min="5637" max="5637" width="19.7109375" style="1" customWidth="1"/>
    <col min="5638" max="5638" width="13" style="1" bestFit="1" customWidth="1"/>
    <col min="5639" max="5872" width="11.42578125" style="1"/>
    <col min="5873" max="5873" width="5.140625" style="1" customWidth="1"/>
    <col min="5874" max="5874" width="23.42578125" style="1" customWidth="1"/>
    <col min="5875" max="5875" width="7.85546875" style="1" customWidth="1"/>
    <col min="5876" max="5876" width="10.140625" style="1" customWidth="1"/>
    <col min="5877" max="5877" width="16.28515625" style="1" customWidth="1"/>
    <col min="5878" max="5878" width="12.7109375" style="1" customWidth="1"/>
    <col min="5879" max="5879" width="18" style="1" customWidth="1"/>
    <col min="5880" max="5880" width="13.42578125" style="1" customWidth="1"/>
    <col min="5881" max="5881" width="11.7109375" style="1" customWidth="1"/>
    <col min="5882" max="5882" width="12.42578125" style="1" customWidth="1"/>
    <col min="5883" max="5883" width="4" style="1" customWidth="1"/>
    <col min="5884" max="5884" width="6.5703125" style="1" customWidth="1"/>
    <col min="5885" max="5885" width="10.85546875" style="1" customWidth="1"/>
    <col min="5886" max="5886" width="4.7109375" style="1" customWidth="1"/>
    <col min="5887" max="5887" width="5.140625" style="1" customWidth="1"/>
    <col min="5888" max="5889" width="11.85546875" style="1" customWidth="1"/>
    <col min="5890" max="5890" width="7" style="1" customWidth="1"/>
    <col min="5891" max="5891" width="12.7109375" style="1" bestFit="1" customWidth="1"/>
    <col min="5892" max="5892" width="9.5703125" style="1" customWidth="1"/>
    <col min="5893" max="5893" width="19.7109375" style="1" customWidth="1"/>
    <col min="5894" max="5894" width="13" style="1" bestFit="1" customWidth="1"/>
    <col min="5895" max="6128" width="11.42578125" style="1"/>
    <col min="6129" max="6129" width="5.140625" style="1" customWidth="1"/>
    <col min="6130" max="6130" width="23.42578125" style="1" customWidth="1"/>
    <col min="6131" max="6131" width="7.85546875" style="1" customWidth="1"/>
    <col min="6132" max="6132" width="10.140625" style="1" customWidth="1"/>
    <col min="6133" max="6133" width="16.28515625" style="1" customWidth="1"/>
    <col min="6134" max="6134" width="12.7109375" style="1" customWidth="1"/>
    <col min="6135" max="6135" width="18" style="1" customWidth="1"/>
    <col min="6136" max="6136" width="13.42578125" style="1" customWidth="1"/>
    <col min="6137" max="6137" width="11.7109375" style="1" customWidth="1"/>
    <col min="6138" max="6138" width="12.42578125" style="1" customWidth="1"/>
    <col min="6139" max="6139" width="4" style="1" customWidth="1"/>
    <col min="6140" max="6140" width="6.5703125" style="1" customWidth="1"/>
    <col min="6141" max="6141" width="10.85546875" style="1" customWidth="1"/>
    <col min="6142" max="6142" width="4.7109375" style="1" customWidth="1"/>
    <col min="6143" max="6143" width="5.140625" style="1" customWidth="1"/>
    <col min="6144" max="6145" width="11.85546875" style="1" customWidth="1"/>
    <col min="6146" max="6146" width="7" style="1" customWidth="1"/>
    <col min="6147" max="6147" width="12.7109375" style="1" bestFit="1" customWidth="1"/>
    <col min="6148" max="6148" width="9.5703125" style="1" customWidth="1"/>
    <col min="6149" max="6149" width="19.7109375" style="1" customWidth="1"/>
    <col min="6150" max="6150" width="13" style="1" bestFit="1" customWidth="1"/>
    <col min="6151" max="6384" width="11.42578125" style="1"/>
    <col min="6385" max="6385" width="5.140625" style="1" customWidth="1"/>
    <col min="6386" max="6386" width="23.42578125" style="1" customWidth="1"/>
    <col min="6387" max="6387" width="7.85546875" style="1" customWidth="1"/>
    <col min="6388" max="6388" width="10.140625" style="1" customWidth="1"/>
    <col min="6389" max="6389" width="16.28515625" style="1" customWidth="1"/>
    <col min="6390" max="6390" width="12.7109375" style="1" customWidth="1"/>
    <col min="6391" max="6391" width="18" style="1" customWidth="1"/>
    <col min="6392" max="6392" width="13.42578125" style="1" customWidth="1"/>
    <col min="6393" max="6393" width="11.7109375" style="1" customWidth="1"/>
    <col min="6394" max="6394" width="12.42578125" style="1" customWidth="1"/>
    <col min="6395" max="6395" width="4" style="1" customWidth="1"/>
    <col min="6396" max="6396" width="6.5703125" style="1" customWidth="1"/>
    <col min="6397" max="6397" width="10.85546875" style="1" customWidth="1"/>
    <col min="6398" max="6398" width="4.7109375" style="1" customWidth="1"/>
    <col min="6399" max="6399" width="5.140625" style="1" customWidth="1"/>
    <col min="6400" max="6401" width="11.85546875" style="1" customWidth="1"/>
    <col min="6402" max="6402" width="7" style="1" customWidth="1"/>
    <col min="6403" max="6403" width="12.7109375" style="1" bestFit="1" customWidth="1"/>
    <col min="6404" max="6404" width="9.5703125" style="1" customWidth="1"/>
    <col min="6405" max="6405" width="19.7109375" style="1" customWidth="1"/>
    <col min="6406" max="6406" width="13" style="1" bestFit="1" customWidth="1"/>
    <col min="6407" max="6640" width="11.42578125" style="1"/>
    <col min="6641" max="6641" width="5.140625" style="1" customWidth="1"/>
    <col min="6642" max="6642" width="23.42578125" style="1" customWidth="1"/>
    <col min="6643" max="6643" width="7.85546875" style="1" customWidth="1"/>
    <col min="6644" max="6644" width="10.140625" style="1" customWidth="1"/>
    <col min="6645" max="6645" width="16.28515625" style="1" customWidth="1"/>
    <col min="6646" max="6646" width="12.7109375" style="1" customWidth="1"/>
    <col min="6647" max="6647" width="18" style="1" customWidth="1"/>
    <col min="6648" max="6648" width="13.42578125" style="1" customWidth="1"/>
    <col min="6649" max="6649" width="11.7109375" style="1" customWidth="1"/>
    <col min="6650" max="6650" width="12.42578125" style="1" customWidth="1"/>
    <col min="6651" max="6651" width="4" style="1" customWidth="1"/>
    <col min="6652" max="6652" width="6.5703125" style="1" customWidth="1"/>
    <col min="6653" max="6653" width="10.85546875" style="1" customWidth="1"/>
    <col min="6654" max="6654" width="4.7109375" style="1" customWidth="1"/>
    <col min="6655" max="6655" width="5.140625" style="1" customWidth="1"/>
    <col min="6656" max="6657" width="11.85546875" style="1" customWidth="1"/>
    <col min="6658" max="6658" width="7" style="1" customWidth="1"/>
    <col min="6659" max="6659" width="12.7109375" style="1" bestFit="1" customWidth="1"/>
    <col min="6660" max="6660" width="9.5703125" style="1" customWidth="1"/>
    <col min="6661" max="6661" width="19.7109375" style="1" customWidth="1"/>
    <col min="6662" max="6662" width="13" style="1" bestFit="1" customWidth="1"/>
    <col min="6663" max="6896" width="11.42578125" style="1"/>
    <col min="6897" max="6897" width="5.140625" style="1" customWidth="1"/>
    <col min="6898" max="6898" width="23.42578125" style="1" customWidth="1"/>
    <col min="6899" max="6899" width="7.85546875" style="1" customWidth="1"/>
    <col min="6900" max="6900" width="10.140625" style="1" customWidth="1"/>
    <col min="6901" max="6901" width="16.28515625" style="1" customWidth="1"/>
    <col min="6902" max="6902" width="12.7109375" style="1" customWidth="1"/>
    <col min="6903" max="6903" width="18" style="1" customWidth="1"/>
    <col min="6904" max="6904" width="13.42578125" style="1" customWidth="1"/>
    <col min="6905" max="6905" width="11.7109375" style="1" customWidth="1"/>
    <col min="6906" max="6906" width="12.42578125" style="1" customWidth="1"/>
    <col min="6907" max="6907" width="4" style="1" customWidth="1"/>
    <col min="6908" max="6908" width="6.5703125" style="1" customWidth="1"/>
    <col min="6909" max="6909" width="10.85546875" style="1" customWidth="1"/>
    <col min="6910" max="6910" width="4.7109375" style="1" customWidth="1"/>
    <col min="6911" max="6911" width="5.140625" style="1" customWidth="1"/>
    <col min="6912" max="6913" width="11.85546875" style="1" customWidth="1"/>
    <col min="6914" max="6914" width="7" style="1" customWidth="1"/>
    <col min="6915" max="6915" width="12.7109375" style="1" bestFit="1" customWidth="1"/>
    <col min="6916" max="6916" width="9.5703125" style="1" customWidth="1"/>
    <col min="6917" max="6917" width="19.7109375" style="1" customWidth="1"/>
    <col min="6918" max="6918" width="13" style="1" bestFit="1" customWidth="1"/>
    <col min="6919" max="7152" width="11.42578125" style="1"/>
    <col min="7153" max="7153" width="5.140625" style="1" customWidth="1"/>
    <col min="7154" max="7154" width="23.42578125" style="1" customWidth="1"/>
    <col min="7155" max="7155" width="7.85546875" style="1" customWidth="1"/>
    <col min="7156" max="7156" width="10.140625" style="1" customWidth="1"/>
    <col min="7157" max="7157" width="16.28515625" style="1" customWidth="1"/>
    <col min="7158" max="7158" width="12.7109375" style="1" customWidth="1"/>
    <col min="7159" max="7159" width="18" style="1" customWidth="1"/>
    <col min="7160" max="7160" width="13.42578125" style="1" customWidth="1"/>
    <col min="7161" max="7161" width="11.7109375" style="1" customWidth="1"/>
    <col min="7162" max="7162" width="12.42578125" style="1" customWidth="1"/>
    <col min="7163" max="7163" width="4" style="1" customWidth="1"/>
    <col min="7164" max="7164" width="6.5703125" style="1" customWidth="1"/>
    <col min="7165" max="7165" width="10.85546875" style="1" customWidth="1"/>
    <col min="7166" max="7166" width="4.7109375" style="1" customWidth="1"/>
    <col min="7167" max="7167" width="5.140625" style="1" customWidth="1"/>
    <col min="7168" max="7169" width="11.85546875" style="1" customWidth="1"/>
    <col min="7170" max="7170" width="7" style="1" customWidth="1"/>
    <col min="7171" max="7171" width="12.7109375" style="1" bestFit="1" customWidth="1"/>
    <col min="7172" max="7172" width="9.5703125" style="1" customWidth="1"/>
    <col min="7173" max="7173" width="19.7109375" style="1" customWidth="1"/>
    <col min="7174" max="7174" width="13" style="1" bestFit="1" customWidth="1"/>
    <col min="7175" max="7408" width="11.42578125" style="1"/>
    <col min="7409" max="7409" width="5.140625" style="1" customWidth="1"/>
    <col min="7410" max="7410" width="23.42578125" style="1" customWidth="1"/>
    <col min="7411" max="7411" width="7.85546875" style="1" customWidth="1"/>
    <col min="7412" max="7412" width="10.140625" style="1" customWidth="1"/>
    <col min="7413" max="7413" width="16.28515625" style="1" customWidth="1"/>
    <col min="7414" max="7414" width="12.7109375" style="1" customWidth="1"/>
    <col min="7415" max="7415" width="18" style="1" customWidth="1"/>
    <col min="7416" max="7416" width="13.42578125" style="1" customWidth="1"/>
    <col min="7417" max="7417" width="11.7109375" style="1" customWidth="1"/>
    <col min="7418" max="7418" width="12.42578125" style="1" customWidth="1"/>
    <col min="7419" max="7419" width="4" style="1" customWidth="1"/>
    <col min="7420" max="7420" width="6.5703125" style="1" customWidth="1"/>
    <col min="7421" max="7421" width="10.85546875" style="1" customWidth="1"/>
    <col min="7422" max="7422" width="4.7109375" style="1" customWidth="1"/>
    <col min="7423" max="7423" width="5.140625" style="1" customWidth="1"/>
    <col min="7424" max="7425" width="11.85546875" style="1" customWidth="1"/>
    <col min="7426" max="7426" width="7" style="1" customWidth="1"/>
    <col min="7427" max="7427" width="12.7109375" style="1" bestFit="1" customWidth="1"/>
    <col min="7428" max="7428" width="9.5703125" style="1" customWidth="1"/>
    <col min="7429" max="7429" width="19.7109375" style="1" customWidth="1"/>
    <col min="7430" max="7430" width="13" style="1" bestFit="1" customWidth="1"/>
    <col min="7431" max="7664" width="11.42578125" style="1"/>
    <col min="7665" max="7665" width="5.140625" style="1" customWidth="1"/>
    <col min="7666" max="7666" width="23.42578125" style="1" customWidth="1"/>
    <col min="7667" max="7667" width="7.85546875" style="1" customWidth="1"/>
    <col min="7668" max="7668" width="10.140625" style="1" customWidth="1"/>
    <col min="7669" max="7669" width="16.28515625" style="1" customWidth="1"/>
    <col min="7670" max="7670" width="12.7109375" style="1" customWidth="1"/>
    <col min="7671" max="7671" width="18" style="1" customWidth="1"/>
    <col min="7672" max="7672" width="13.42578125" style="1" customWidth="1"/>
    <col min="7673" max="7673" width="11.7109375" style="1" customWidth="1"/>
    <col min="7674" max="7674" width="12.42578125" style="1" customWidth="1"/>
    <col min="7675" max="7675" width="4" style="1" customWidth="1"/>
    <col min="7676" max="7676" width="6.5703125" style="1" customWidth="1"/>
    <col min="7677" max="7677" width="10.85546875" style="1" customWidth="1"/>
    <col min="7678" max="7678" width="4.7109375" style="1" customWidth="1"/>
    <col min="7679" max="7679" width="5.140625" style="1" customWidth="1"/>
    <col min="7680" max="7681" width="11.85546875" style="1" customWidth="1"/>
    <col min="7682" max="7682" width="7" style="1" customWidth="1"/>
    <col min="7683" max="7683" width="12.7109375" style="1" bestFit="1" customWidth="1"/>
    <col min="7684" max="7684" width="9.5703125" style="1" customWidth="1"/>
    <col min="7685" max="7685" width="19.7109375" style="1" customWidth="1"/>
    <col min="7686" max="7686" width="13" style="1" bestFit="1" customWidth="1"/>
    <col min="7687" max="7920" width="11.42578125" style="1"/>
    <col min="7921" max="7921" width="5.140625" style="1" customWidth="1"/>
    <col min="7922" max="7922" width="23.42578125" style="1" customWidth="1"/>
    <col min="7923" max="7923" width="7.85546875" style="1" customWidth="1"/>
    <col min="7924" max="7924" width="10.140625" style="1" customWidth="1"/>
    <col min="7925" max="7925" width="16.28515625" style="1" customWidth="1"/>
    <col min="7926" max="7926" width="12.7109375" style="1" customWidth="1"/>
    <col min="7927" max="7927" width="18" style="1" customWidth="1"/>
    <col min="7928" max="7928" width="13.42578125" style="1" customWidth="1"/>
    <col min="7929" max="7929" width="11.7109375" style="1" customWidth="1"/>
    <col min="7930" max="7930" width="12.42578125" style="1" customWidth="1"/>
    <col min="7931" max="7931" width="4" style="1" customWidth="1"/>
    <col min="7932" max="7932" width="6.5703125" style="1" customWidth="1"/>
    <col min="7933" max="7933" width="10.85546875" style="1" customWidth="1"/>
    <col min="7934" max="7934" width="4.7109375" style="1" customWidth="1"/>
    <col min="7935" max="7935" width="5.140625" style="1" customWidth="1"/>
    <col min="7936" max="7937" width="11.85546875" style="1" customWidth="1"/>
    <col min="7938" max="7938" width="7" style="1" customWidth="1"/>
    <col min="7939" max="7939" width="12.7109375" style="1" bestFit="1" customWidth="1"/>
    <col min="7940" max="7940" width="9.5703125" style="1" customWidth="1"/>
    <col min="7941" max="7941" width="19.7109375" style="1" customWidth="1"/>
    <col min="7942" max="7942" width="13" style="1" bestFit="1" customWidth="1"/>
    <col min="7943" max="8176" width="11.42578125" style="1"/>
    <col min="8177" max="8177" width="5.140625" style="1" customWidth="1"/>
    <col min="8178" max="8178" width="23.42578125" style="1" customWidth="1"/>
    <col min="8179" max="8179" width="7.85546875" style="1" customWidth="1"/>
    <col min="8180" max="8180" width="10.140625" style="1" customWidth="1"/>
    <col min="8181" max="8181" width="16.28515625" style="1" customWidth="1"/>
    <col min="8182" max="8182" width="12.7109375" style="1" customWidth="1"/>
    <col min="8183" max="8183" width="18" style="1" customWidth="1"/>
    <col min="8184" max="8184" width="13.42578125" style="1" customWidth="1"/>
    <col min="8185" max="8185" width="11.7109375" style="1" customWidth="1"/>
    <col min="8186" max="8186" width="12.42578125" style="1" customWidth="1"/>
    <col min="8187" max="8187" width="4" style="1" customWidth="1"/>
    <col min="8188" max="8188" width="6.5703125" style="1" customWidth="1"/>
    <col min="8189" max="8189" width="10.85546875" style="1" customWidth="1"/>
    <col min="8190" max="8190" width="4.7109375" style="1" customWidth="1"/>
    <col min="8191" max="8191" width="5.140625" style="1" customWidth="1"/>
    <col min="8192" max="8193" width="11.85546875" style="1" customWidth="1"/>
    <col min="8194" max="8194" width="7" style="1" customWidth="1"/>
    <col min="8195" max="8195" width="12.7109375" style="1" bestFit="1" customWidth="1"/>
    <col min="8196" max="8196" width="9.5703125" style="1" customWidth="1"/>
    <col min="8197" max="8197" width="19.7109375" style="1" customWidth="1"/>
    <col min="8198" max="8198" width="13" style="1" bestFit="1" customWidth="1"/>
    <col min="8199" max="8432" width="11.42578125" style="1"/>
    <col min="8433" max="8433" width="5.140625" style="1" customWidth="1"/>
    <col min="8434" max="8434" width="23.42578125" style="1" customWidth="1"/>
    <col min="8435" max="8435" width="7.85546875" style="1" customWidth="1"/>
    <col min="8436" max="8436" width="10.140625" style="1" customWidth="1"/>
    <col min="8437" max="8437" width="16.28515625" style="1" customWidth="1"/>
    <col min="8438" max="8438" width="12.7109375" style="1" customWidth="1"/>
    <col min="8439" max="8439" width="18" style="1" customWidth="1"/>
    <col min="8440" max="8440" width="13.42578125" style="1" customWidth="1"/>
    <col min="8441" max="8441" width="11.7109375" style="1" customWidth="1"/>
    <col min="8442" max="8442" width="12.42578125" style="1" customWidth="1"/>
    <col min="8443" max="8443" width="4" style="1" customWidth="1"/>
    <col min="8444" max="8444" width="6.5703125" style="1" customWidth="1"/>
    <col min="8445" max="8445" width="10.85546875" style="1" customWidth="1"/>
    <col min="8446" max="8446" width="4.7109375" style="1" customWidth="1"/>
    <col min="8447" max="8447" width="5.140625" style="1" customWidth="1"/>
    <col min="8448" max="8449" width="11.85546875" style="1" customWidth="1"/>
    <col min="8450" max="8450" width="7" style="1" customWidth="1"/>
    <col min="8451" max="8451" width="12.7109375" style="1" bestFit="1" customWidth="1"/>
    <col min="8452" max="8452" width="9.5703125" style="1" customWidth="1"/>
    <col min="8453" max="8453" width="19.7109375" style="1" customWidth="1"/>
    <col min="8454" max="8454" width="13" style="1" bestFit="1" customWidth="1"/>
    <col min="8455" max="8688" width="11.42578125" style="1"/>
    <col min="8689" max="8689" width="5.140625" style="1" customWidth="1"/>
    <col min="8690" max="8690" width="23.42578125" style="1" customWidth="1"/>
    <col min="8691" max="8691" width="7.85546875" style="1" customWidth="1"/>
    <col min="8692" max="8692" width="10.140625" style="1" customWidth="1"/>
    <col min="8693" max="8693" width="16.28515625" style="1" customWidth="1"/>
    <col min="8694" max="8694" width="12.7109375" style="1" customWidth="1"/>
    <col min="8695" max="8695" width="18" style="1" customWidth="1"/>
    <col min="8696" max="8696" width="13.42578125" style="1" customWidth="1"/>
    <col min="8697" max="8697" width="11.7109375" style="1" customWidth="1"/>
    <col min="8698" max="8698" width="12.42578125" style="1" customWidth="1"/>
    <col min="8699" max="8699" width="4" style="1" customWidth="1"/>
    <col min="8700" max="8700" width="6.5703125" style="1" customWidth="1"/>
    <col min="8701" max="8701" width="10.85546875" style="1" customWidth="1"/>
    <col min="8702" max="8702" width="4.7109375" style="1" customWidth="1"/>
    <col min="8703" max="8703" width="5.140625" style="1" customWidth="1"/>
    <col min="8704" max="8705" width="11.85546875" style="1" customWidth="1"/>
    <col min="8706" max="8706" width="7" style="1" customWidth="1"/>
    <col min="8707" max="8707" width="12.7109375" style="1" bestFit="1" customWidth="1"/>
    <col min="8708" max="8708" width="9.5703125" style="1" customWidth="1"/>
    <col min="8709" max="8709" width="19.7109375" style="1" customWidth="1"/>
    <col min="8710" max="8710" width="13" style="1" bestFit="1" customWidth="1"/>
    <col min="8711" max="8944" width="11.42578125" style="1"/>
    <col min="8945" max="8945" width="5.140625" style="1" customWidth="1"/>
    <col min="8946" max="8946" width="23.42578125" style="1" customWidth="1"/>
    <col min="8947" max="8947" width="7.85546875" style="1" customWidth="1"/>
    <col min="8948" max="8948" width="10.140625" style="1" customWidth="1"/>
    <col min="8949" max="8949" width="16.28515625" style="1" customWidth="1"/>
    <col min="8950" max="8950" width="12.7109375" style="1" customWidth="1"/>
    <col min="8951" max="8951" width="18" style="1" customWidth="1"/>
    <col min="8952" max="8952" width="13.42578125" style="1" customWidth="1"/>
    <col min="8953" max="8953" width="11.7109375" style="1" customWidth="1"/>
    <col min="8954" max="8954" width="12.42578125" style="1" customWidth="1"/>
    <col min="8955" max="8955" width="4" style="1" customWidth="1"/>
    <col min="8956" max="8956" width="6.5703125" style="1" customWidth="1"/>
    <col min="8957" max="8957" width="10.85546875" style="1" customWidth="1"/>
    <col min="8958" max="8958" width="4.7109375" style="1" customWidth="1"/>
    <col min="8959" max="8959" width="5.140625" style="1" customWidth="1"/>
    <col min="8960" max="8961" width="11.85546875" style="1" customWidth="1"/>
    <col min="8962" max="8962" width="7" style="1" customWidth="1"/>
    <col min="8963" max="8963" width="12.7109375" style="1" bestFit="1" customWidth="1"/>
    <col min="8964" max="8964" width="9.5703125" style="1" customWidth="1"/>
    <col min="8965" max="8965" width="19.7109375" style="1" customWidth="1"/>
    <col min="8966" max="8966" width="13" style="1" bestFit="1" customWidth="1"/>
    <col min="8967" max="9200" width="11.42578125" style="1"/>
    <col min="9201" max="9201" width="5.140625" style="1" customWidth="1"/>
    <col min="9202" max="9202" width="23.42578125" style="1" customWidth="1"/>
    <col min="9203" max="9203" width="7.85546875" style="1" customWidth="1"/>
    <col min="9204" max="9204" width="10.140625" style="1" customWidth="1"/>
    <col min="9205" max="9205" width="16.28515625" style="1" customWidth="1"/>
    <col min="9206" max="9206" width="12.7109375" style="1" customWidth="1"/>
    <col min="9207" max="9207" width="18" style="1" customWidth="1"/>
    <col min="9208" max="9208" width="13.42578125" style="1" customWidth="1"/>
    <col min="9209" max="9209" width="11.7109375" style="1" customWidth="1"/>
    <col min="9210" max="9210" width="12.42578125" style="1" customWidth="1"/>
    <col min="9211" max="9211" width="4" style="1" customWidth="1"/>
    <col min="9212" max="9212" width="6.5703125" style="1" customWidth="1"/>
    <col min="9213" max="9213" width="10.85546875" style="1" customWidth="1"/>
    <col min="9214" max="9214" width="4.7109375" style="1" customWidth="1"/>
    <col min="9215" max="9215" width="5.140625" style="1" customWidth="1"/>
    <col min="9216" max="9217" width="11.85546875" style="1" customWidth="1"/>
    <col min="9218" max="9218" width="7" style="1" customWidth="1"/>
    <col min="9219" max="9219" width="12.7109375" style="1" bestFit="1" customWidth="1"/>
    <col min="9220" max="9220" width="9.5703125" style="1" customWidth="1"/>
    <col min="9221" max="9221" width="19.7109375" style="1" customWidth="1"/>
    <col min="9222" max="9222" width="13" style="1" bestFit="1" customWidth="1"/>
    <col min="9223" max="9456" width="11.42578125" style="1"/>
    <col min="9457" max="9457" width="5.140625" style="1" customWidth="1"/>
    <col min="9458" max="9458" width="23.42578125" style="1" customWidth="1"/>
    <col min="9459" max="9459" width="7.85546875" style="1" customWidth="1"/>
    <col min="9460" max="9460" width="10.140625" style="1" customWidth="1"/>
    <col min="9461" max="9461" width="16.28515625" style="1" customWidth="1"/>
    <col min="9462" max="9462" width="12.7109375" style="1" customWidth="1"/>
    <col min="9463" max="9463" width="18" style="1" customWidth="1"/>
    <col min="9464" max="9464" width="13.42578125" style="1" customWidth="1"/>
    <col min="9465" max="9465" width="11.7109375" style="1" customWidth="1"/>
    <col min="9466" max="9466" width="12.42578125" style="1" customWidth="1"/>
    <col min="9467" max="9467" width="4" style="1" customWidth="1"/>
    <col min="9468" max="9468" width="6.5703125" style="1" customWidth="1"/>
    <col min="9469" max="9469" width="10.85546875" style="1" customWidth="1"/>
    <col min="9470" max="9470" width="4.7109375" style="1" customWidth="1"/>
    <col min="9471" max="9471" width="5.140625" style="1" customWidth="1"/>
    <col min="9472" max="9473" width="11.85546875" style="1" customWidth="1"/>
    <col min="9474" max="9474" width="7" style="1" customWidth="1"/>
    <col min="9475" max="9475" width="12.7109375" style="1" bestFit="1" customWidth="1"/>
    <col min="9476" max="9476" width="9.5703125" style="1" customWidth="1"/>
    <col min="9477" max="9477" width="19.7109375" style="1" customWidth="1"/>
    <col min="9478" max="9478" width="13" style="1" bestFit="1" customWidth="1"/>
    <col min="9479" max="9712" width="11.42578125" style="1"/>
    <col min="9713" max="9713" width="5.140625" style="1" customWidth="1"/>
    <col min="9714" max="9714" width="23.42578125" style="1" customWidth="1"/>
    <col min="9715" max="9715" width="7.85546875" style="1" customWidth="1"/>
    <col min="9716" max="9716" width="10.140625" style="1" customWidth="1"/>
    <col min="9717" max="9717" width="16.28515625" style="1" customWidth="1"/>
    <col min="9718" max="9718" width="12.7109375" style="1" customWidth="1"/>
    <col min="9719" max="9719" width="18" style="1" customWidth="1"/>
    <col min="9720" max="9720" width="13.42578125" style="1" customWidth="1"/>
    <col min="9721" max="9721" width="11.7109375" style="1" customWidth="1"/>
    <col min="9722" max="9722" width="12.42578125" style="1" customWidth="1"/>
    <col min="9723" max="9723" width="4" style="1" customWidth="1"/>
    <col min="9724" max="9724" width="6.5703125" style="1" customWidth="1"/>
    <col min="9725" max="9725" width="10.85546875" style="1" customWidth="1"/>
    <col min="9726" max="9726" width="4.7109375" style="1" customWidth="1"/>
    <col min="9727" max="9727" width="5.140625" style="1" customWidth="1"/>
    <col min="9728" max="9729" width="11.85546875" style="1" customWidth="1"/>
    <col min="9730" max="9730" width="7" style="1" customWidth="1"/>
    <col min="9731" max="9731" width="12.7109375" style="1" bestFit="1" customWidth="1"/>
    <col min="9732" max="9732" width="9.5703125" style="1" customWidth="1"/>
    <col min="9733" max="9733" width="19.7109375" style="1" customWidth="1"/>
    <col min="9734" max="9734" width="13" style="1" bestFit="1" customWidth="1"/>
    <col min="9735" max="9968" width="11.42578125" style="1"/>
    <col min="9969" max="9969" width="5.140625" style="1" customWidth="1"/>
    <col min="9970" max="9970" width="23.42578125" style="1" customWidth="1"/>
    <col min="9971" max="9971" width="7.85546875" style="1" customWidth="1"/>
    <col min="9972" max="9972" width="10.140625" style="1" customWidth="1"/>
    <col min="9973" max="9973" width="16.28515625" style="1" customWidth="1"/>
    <col min="9974" max="9974" width="12.7109375" style="1" customWidth="1"/>
    <col min="9975" max="9975" width="18" style="1" customWidth="1"/>
    <col min="9976" max="9976" width="13.42578125" style="1" customWidth="1"/>
    <col min="9977" max="9977" width="11.7109375" style="1" customWidth="1"/>
    <col min="9978" max="9978" width="12.42578125" style="1" customWidth="1"/>
    <col min="9979" max="9979" width="4" style="1" customWidth="1"/>
    <col min="9980" max="9980" width="6.5703125" style="1" customWidth="1"/>
    <col min="9981" max="9981" width="10.85546875" style="1" customWidth="1"/>
    <col min="9982" max="9982" width="4.7109375" style="1" customWidth="1"/>
    <col min="9983" max="9983" width="5.140625" style="1" customWidth="1"/>
    <col min="9984" max="9985" width="11.85546875" style="1" customWidth="1"/>
    <col min="9986" max="9986" width="7" style="1" customWidth="1"/>
    <col min="9987" max="9987" width="12.7109375" style="1" bestFit="1" customWidth="1"/>
    <col min="9988" max="9988" width="9.5703125" style="1" customWidth="1"/>
    <col min="9989" max="9989" width="19.7109375" style="1" customWidth="1"/>
    <col min="9990" max="9990" width="13" style="1" bestFit="1" customWidth="1"/>
    <col min="9991" max="10224" width="11.42578125" style="1"/>
    <col min="10225" max="10225" width="5.140625" style="1" customWidth="1"/>
    <col min="10226" max="10226" width="23.42578125" style="1" customWidth="1"/>
    <col min="10227" max="10227" width="7.85546875" style="1" customWidth="1"/>
    <col min="10228" max="10228" width="10.140625" style="1" customWidth="1"/>
    <col min="10229" max="10229" width="16.28515625" style="1" customWidth="1"/>
    <col min="10230" max="10230" width="12.7109375" style="1" customWidth="1"/>
    <col min="10231" max="10231" width="18" style="1" customWidth="1"/>
    <col min="10232" max="10232" width="13.42578125" style="1" customWidth="1"/>
    <col min="10233" max="10233" width="11.7109375" style="1" customWidth="1"/>
    <col min="10234" max="10234" width="12.42578125" style="1" customWidth="1"/>
    <col min="10235" max="10235" width="4" style="1" customWidth="1"/>
    <col min="10236" max="10236" width="6.5703125" style="1" customWidth="1"/>
    <col min="10237" max="10237" width="10.85546875" style="1" customWidth="1"/>
    <col min="10238" max="10238" width="4.7109375" style="1" customWidth="1"/>
    <col min="10239" max="10239" width="5.140625" style="1" customWidth="1"/>
    <col min="10240" max="10241" width="11.85546875" style="1" customWidth="1"/>
    <col min="10242" max="10242" width="7" style="1" customWidth="1"/>
    <col min="10243" max="10243" width="12.7109375" style="1" bestFit="1" customWidth="1"/>
    <col min="10244" max="10244" width="9.5703125" style="1" customWidth="1"/>
    <col min="10245" max="10245" width="19.7109375" style="1" customWidth="1"/>
    <col min="10246" max="10246" width="13" style="1" bestFit="1" customWidth="1"/>
    <col min="10247" max="10480" width="11.42578125" style="1"/>
    <col min="10481" max="10481" width="5.140625" style="1" customWidth="1"/>
    <col min="10482" max="10482" width="23.42578125" style="1" customWidth="1"/>
    <col min="10483" max="10483" width="7.85546875" style="1" customWidth="1"/>
    <col min="10484" max="10484" width="10.140625" style="1" customWidth="1"/>
    <col min="10485" max="10485" width="16.28515625" style="1" customWidth="1"/>
    <col min="10486" max="10486" width="12.7109375" style="1" customWidth="1"/>
    <col min="10487" max="10487" width="18" style="1" customWidth="1"/>
    <col min="10488" max="10488" width="13.42578125" style="1" customWidth="1"/>
    <col min="10489" max="10489" width="11.7109375" style="1" customWidth="1"/>
    <col min="10490" max="10490" width="12.42578125" style="1" customWidth="1"/>
    <col min="10491" max="10491" width="4" style="1" customWidth="1"/>
    <col min="10492" max="10492" width="6.5703125" style="1" customWidth="1"/>
    <col min="10493" max="10493" width="10.85546875" style="1" customWidth="1"/>
    <col min="10494" max="10494" width="4.7109375" style="1" customWidth="1"/>
    <col min="10495" max="10495" width="5.140625" style="1" customWidth="1"/>
    <col min="10496" max="10497" width="11.85546875" style="1" customWidth="1"/>
    <col min="10498" max="10498" width="7" style="1" customWidth="1"/>
    <col min="10499" max="10499" width="12.7109375" style="1" bestFit="1" customWidth="1"/>
    <col min="10500" max="10500" width="9.5703125" style="1" customWidth="1"/>
    <col min="10501" max="10501" width="19.7109375" style="1" customWidth="1"/>
    <col min="10502" max="10502" width="13" style="1" bestFit="1" customWidth="1"/>
    <col min="10503" max="10736" width="11.42578125" style="1"/>
    <col min="10737" max="10737" width="5.140625" style="1" customWidth="1"/>
    <col min="10738" max="10738" width="23.42578125" style="1" customWidth="1"/>
    <col min="10739" max="10739" width="7.85546875" style="1" customWidth="1"/>
    <col min="10740" max="10740" width="10.140625" style="1" customWidth="1"/>
    <col min="10741" max="10741" width="16.28515625" style="1" customWidth="1"/>
    <col min="10742" max="10742" width="12.7109375" style="1" customWidth="1"/>
    <col min="10743" max="10743" width="18" style="1" customWidth="1"/>
    <col min="10744" max="10744" width="13.42578125" style="1" customWidth="1"/>
    <col min="10745" max="10745" width="11.7109375" style="1" customWidth="1"/>
    <col min="10746" max="10746" width="12.42578125" style="1" customWidth="1"/>
    <col min="10747" max="10747" width="4" style="1" customWidth="1"/>
    <col min="10748" max="10748" width="6.5703125" style="1" customWidth="1"/>
    <col min="10749" max="10749" width="10.85546875" style="1" customWidth="1"/>
    <col min="10750" max="10750" width="4.7109375" style="1" customWidth="1"/>
    <col min="10751" max="10751" width="5.140625" style="1" customWidth="1"/>
    <col min="10752" max="10753" width="11.85546875" style="1" customWidth="1"/>
    <col min="10754" max="10754" width="7" style="1" customWidth="1"/>
    <col min="10755" max="10755" width="12.7109375" style="1" bestFit="1" customWidth="1"/>
    <col min="10756" max="10756" width="9.5703125" style="1" customWidth="1"/>
    <col min="10757" max="10757" width="19.7109375" style="1" customWidth="1"/>
    <col min="10758" max="10758" width="13" style="1" bestFit="1" customWidth="1"/>
    <col min="10759" max="10992" width="11.42578125" style="1"/>
    <col min="10993" max="10993" width="5.140625" style="1" customWidth="1"/>
    <col min="10994" max="10994" width="23.42578125" style="1" customWidth="1"/>
    <col min="10995" max="10995" width="7.85546875" style="1" customWidth="1"/>
    <col min="10996" max="10996" width="10.140625" style="1" customWidth="1"/>
    <col min="10997" max="10997" width="16.28515625" style="1" customWidth="1"/>
    <col min="10998" max="10998" width="12.7109375" style="1" customWidth="1"/>
    <col min="10999" max="10999" width="18" style="1" customWidth="1"/>
    <col min="11000" max="11000" width="13.42578125" style="1" customWidth="1"/>
    <col min="11001" max="11001" width="11.7109375" style="1" customWidth="1"/>
    <col min="11002" max="11002" width="12.42578125" style="1" customWidth="1"/>
    <col min="11003" max="11003" width="4" style="1" customWidth="1"/>
    <col min="11004" max="11004" width="6.5703125" style="1" customWidth="1"/>
    <col min="11005" max="11005" width="10.85546875" style="1" customWidth="1"/>
    <col min="11006" max="11006" width="4.7109375" style="1" customWidth="1"/>
    <col min="11007" max="11007" width="5.140625" style="1" customWidth="1"/>
    <col min="11008" max="11009" width="11.85546875" style="1" customWidth="1"/>
    <col min="11010" max="11010" width="7" style="1" customWidth="1"/>
    <col min="11011" max="11011" width="12.7109375" style="1" bestFit="1" customWidth="1"/>
    <col min="11012" max="11012" width="9.5703125" style="1" customWidth="1"/>
    <col min="11013" max="11013" width="19.7109375" style="1" customWidth="1"/>
    <col min="11014" max="11014" width="13" style="1" bestFit="1" customWidth="1"/>
    <col min="11015" max="11248" width="11.42578125" style="1"/>
    <col min="11249" max="11249" width="5.140625" style="1" customWidth="1"/>
    <col min="11250" max="11250" width="23.42578125" style="1" customWidth="1"/>
    <col min="11251" max="11251" width="7.85546875" style="1" customWidth="1"/>
    <col min="11252" max="11252" width="10.140625" style="1" customWidth="1"/>
    <col min="11253" max="11253" width="16.28515625" style="1" customWidth="1"/>
    <col min="11254" max="11254" width="12.7109375" style="1" customWidth="1"/>
    <col min="11255" max="11255" width="18" style="1" customWidth="1"/>
    <col min="11256" max="11256" width="13.42578125" style="1" customWidth="1"/>
    <col min="11257" max="11257" width="11.7109375" style="1" customWidth="1"/>
    <col min="11258" max="11258" width="12.42578125" style="1" customWidth="1"/>
    <col min="11259" max="11259" width="4" style="1" customWidth="1"/>
    <col min="11260" max="11260" width="6.5703125" style="1" customWidth="1"/>
    <col min="11261" max="11261" width="10.85546875" style="1" customWidth="1"/>
    <col min="11262" max="11262" width="4.7109375" style="1" customWidth="1"/>
    <col min="11263" max="11263" width="5.140625" style="1" customWidth="1"/>
    <col min="11264" max="11265" width="11.85546875" style="1" customWidth="1"/>
    <col min="11266" max="11266" width="7" style="1" customWidth="1"/>
    <col min="11267" max="11267" width="12.7109375" style="1" bestFit="1" customWidth="1"/>
    <col min="11268" max="11268" width="9.5703125" style="1" customWidth="1"/>
    <col min="11269" max="11269" width="19.7109375" style="1" customWidth="1"/>
    <col min="11270" max="11270" width="13" style="1" bestFit="1" customWidth="1"/>
    <col min="11271" max="11504" width="11.42578125" style="1"/>
    <col min="11505" max="11505" width="5.140625" style="1" customWidth="1"/>
    <col min="11506" max="11506" width="23.42578125" style="1" customWidth="1"/>
    <col min="11507" max="11507" width="7.85546875" style="1" customWidth="1"/>
    <col min="11508" max="11508" width="10.140625" style="1" customWidth="1"/>
    <col min="11509" max="11509" width="16.28515625" style="1" customWidth="1"/>
    <col min="11510" max="11510" width="12.7109375" style="1" customWidth="1"/>
    <col min="11511" max="11511" width="18" style="1" customWidth="1"/>
    <col min="11512" max="11512" width="13.42578125" style="1" customWidth="1"/>
    <col min="11513" max="11513" width="11.7109375" style="1" customWidth="1"/>
    <col min="11514" max="11514" width="12.42578125" style="1" customWidth="1"/>
    <col min="11515" max="11515" width="4" style="1" customWidth="1"/>
    <col min="11516" max="11516" width="6.5703125" style="1" customWidth="1"/>
    <col min="11517" max="11517" width="10.85546875" style="1" customWidth="1"/>
    <col min="11518" max="11518" width="4.7109375" style="1" customWidth="1"/>
    <col min="11519" max="11519" width="5.140625" style="1" customWidth="1"/>
    <col min="11520" max="11521" width="11.85546875" style="1" customWidth="1"/>
    <col min="11522" max="11522" width="7" style="1" customWidth="1"/>
    <col min="11523" max="11523" width="12.7109375" style="1" bestFit="1" customWidth="1"/>
    <col min="11524" max="11524" width="9.5703125" style="1" customWidth="1"/>
    <col min="11525" max="11525" width="19.7109375" style="1" customWidth="1"/>
    <col min="11526" max="11526" width="13" style="1" bestFit="1" customWidth="1"/>
    <col min="11527" max="11760" width="11.42578125" style="1"/>
    <col min="11761" max="11761" width="5.140625" style="1" customWidth="1"/>
    <col min="11762" max="11762" width="23.42578125" style="1" customWidth="1"/>
    <col min="11763" max="11763" width="7.85546875" style="1" customWidth="1"/>
    <col min="11764" max="11764" width="10.140625" style="1" customWidth="1"/>
    <col min="11765" max="11765" width="16.28515625" style="1" customWidth="1"/>
    <col min="11766" max="11766" width="12.7109375" style="1" customWidth="1"/>
    <col min="11767" max="11767" width="18" style="1" customWidth="1"/>
    <col min="11768" max="11768" width="13.42578125" style="1" customWidth="1"/>
    <col min="11769" max="11769" width="11.7109375" style="1" customWidth="1"/>
    <col min="11770" max="11770" width="12.42578125" style="1" customWidth="1"/>
    <col min="11771" max="11771" width="4" style="1" customWidth="1"/>
    <col min="11772" max="11772" width="6.5703125" style="1" customWidth="1"/>
    <col min="11773" max="11773" width="10.85546875" style="1" customWidth="1"/>
    <col min="11774" max="11774" width="4.7109375" style="1" customWidth="1"/>
    <col min="11775" max="11775" width="5.140625" style="1" customWidth="1"/>
    <col min="11776" max="11777" width="11.85546875" style="1" customWidth="1"/>
    <col min="11778" max="11778" width="7" style="1" customWidth="1"/>
    <col min="11779" max="11779" width="12.7109375" style="1" bestFit="1" customWidth="1"/>
    <col min="11780" max="11780" width="9.5703125" style="1" customWidth="1"/>
    <col min="11781" max="11781" width="19.7109375" style="1" customWidth="1"/>
    <col min="11782" max="11782" width="13" style="1" bestFit="1" customWidth="1"/>
    <col min="11783" max="12016" width="11.42578125" style="1"/>
    <col min="12017" max="12017" width="5.140625" style="1" customWidth="1"/>
    <col min="12018" max="12018" width="23.42578125" style="1" customWidth="1"/>
    <col min="12019" max="12019" width="7.85546875" style="1" customWidth="1"/>
    <col min="12020" max="12020" width="10.140625" style="1" customWidth="1"/>
    <col min="12021" max="12021" width="16.28515625" style="1" customWidth="1"/>
    <col min="12022" max="12022" width="12.7109375" style="1" customWidth="1"/>
    <col min="12023" max="12023" width="18" style="1" customWidth="1"/>
    <col min="12024" max="12024" width="13.42578125" style="1" customWidth="1"/>
    <col min="12025" max="12025" width="11.7109375" style="1" customWidth="1"/>
    <col min="12026" max="12026" width="12.42578125" style="1" customWidth="1"/>
    <col min="12027" max="12027" width="4" style="1" customWidth="1"/>
    <col min="12028" max="12028" width="6.5703125" style="1" customWidth="1"/>
    <col min="12029" max="12029" width="10.85546875" style="1" customWidth="1"/>
    <col min="12030" max="12030" width="4.7109375" style="1" customWidth="1"/>
    <col min="12031" max="12031" width="5.140625" style="1" customWidth="1"/>
    <col min="12032" max="12033" width="11.85546875" style="1" customWidth="1"/>
    <col min="12034" max="12034" width="7" style="1" customWidth="1"/>
    <col min="12035" max="12035" width="12.7109375" style="1" bestFit="1" customWidth="1"/>
    <col min="12036" max="12036" width="9.5703125" style="1" customWidth="1"/>
    <col min="12037" max="12037" width="19.7109375" style="1" customWidth="1"/>
    <col min="12038" max="12038" width="13" style="1" bestFit="1" customWidth="1"/>
    <col min="12039" max="12272" width="11.42578125" style="1"/>
    <col min="12273" max="12273" width="5.140625" style="1" customWidth="1"/>
    <col min="12274" max="12274" width="23.42578125" style="1" customWidth="1"/>
    <col min="12275" max="12275" width="7.85546875" style="1" customWidth="1"/>
    <col min="12276" max="12276" width="10.140625" style="1" customWidth="1"/>
    <col min="12277" max="12277" width="16.28515625" style="1" customWidth="1"/>
    <col min="12278" max="12278" width="12.7109375" style="1" customWidth="1"/>
    <col min="12279" max="12279" width="18" style="1" customWidth="1"/>
    <col min="12280" max="12280" width="13.42578125" style="1" customWidth="1"/>
    <col min="12281" max="12281" width="11.7109375" style="1" customWidth="1"/>
    <col min="12282" max="12282" width="12.42578125" style="1" customWidth="1"/>
    <col min="12283" max="12283" width="4" style="1" customWidth="1"/>
    <col min="12284" max="12284" width="6.5703125" style="1" customWidth="1"/>
    <col min="12285" max="12285" width="10.85546875" style="1" customWidth="1"/>
    <col min="12286" max="12286" width="4.7109375" style="1" customWidth="1"/>
    <col min="12287" max="12287" width="5.140625" style="1" customWidth="1"/>
    <col min="12288" max="12289" width="11.85546875" style="1" customWidth="1"/>
    <col min="12290" max="12290" width="7" style="1" customWidth="1"/>
    <col min="12291" max="12291" width="12.7109375" style="1" bestFit="1" customWidth="1"/>
    <col min="12292" max="12292" width="9.5703125" style="1" customWidth="1"/>
    <col min="12293" max="12293" width="19.7109375" style="1" customWidth="1"/>
    <col min="12294" max="12294" width="13" style="1" bestFit="1" customWidth="1"/>
    <col min="12295" max="12528" width="11.42578125" style="1"/>
    <col min="12529" max="12529" width="5.140625" style="1" customWidth="1"/>
    <col min="12530" max="12530" width="23.42578125" style="1" customWidth="1"/>
    <col min="12531" max="12531" width="7.85546875" style="1" customWidth="1"/>
    <col min="12532" max="12532" width="10.140625" style="1" customWidth="1"/>
    <col min="12533" max="12533" width="16.28515625" style="1" customWidth="1"/>
    <col min="12534" max="12534" width="12.7109375" style="1" customWidth="1"/>
    <col min="12535" max="12535" width="18" style="1" customWidth="1"/>
    <col min="12536" max="12536" width="13.42578125" style="1" customWidth="1"/>
    <col min="12537" max="12537" width="11.7109375" style="1" customWidth="1"/>
    <col min="12538" max="12538" width="12.42578125" style="1" customWidth="1"/>
    <col min="12539" max="12539" width="4" style="1" customWidth="1"/>
    <col min="12540" max="12540" width="6.5703125" style="1" customWidth="1"/>
    <col min="12541" max="12541" width="10.85546875" style="1" customWidth="1"/>
    <col min="12542" max="12542" width="4.7109375" style="1" customWidth="1"/>
    <col min="12543" max="12543" width="5.140625" style="1" customWidth="1"/>
    <col min="12544" max="12545" width="11.85546875" style="1" customWidth="1"/>
    <col min="12546" max="12546" width="7" style="1" customWidth="1"/>
    <col min="12547" max="12547" width="12.7109375" style="1" bestFit="1" customWidth="1"/>
    <col min="12548" max="12548" width="9.5703125" style="1" customWidth="1"/>
    <col min="12549" max="12549" width="19.7109375" style="1" customWidth="1"/>
    <col min="12550" max="12550" width="13" style="1" bestFit="1" customWidth="1"/>
    <col min="12551" max="12784" width="11.42578125" style="1"/>
    <col min="12785" max="12785" width="5.140625" style="1" customWidth="1"/>
    <col min="12786" max="12786" width="23.42578125" style="1" customWidth="1"/>
    <col min="12787" max="12787" width="7.85546875" style="1" customWidth="1"/>
    <col min="12788" max="12788" width="10.140625" style="1" customWidth="1"/>
    <col min="12789" max="12789" width="16.28515625" style="1" customWidth="1"/>
    <col min="12790" max="12790" width="12.7109375" style="1" customWidth="1"/>
    <col min="12791" max="12791" width="18" style="1" customWidth="1"/>
    <col min="12792" max="12792" width="13.42578125" style="1" customWidth="1"/>
    <col min="12793" max="12793" width="11.7109375" style="1" customWidth="1"/>
    <col min="12794" max="12794" width="12.42578125" style="1" customWidth="1"/>
    <col min="12795" max="12795" width="4" style="1" customWidth="1"/>
    <col min="12796" max="12796" width="6.5703125" style="1" customWidth="1"/>
    <col min="12797" max="12797" width="10.85546875" style="1" customWidth="1"/>
    <col min="12798" max="12798" width="4.7109375" style="1" customWidth="1"/>
    <col min="12799" max="12799" width="5.140625" style="1" customWidth="1"/>
    <col min="12800" max="12801" width="11.85546875" style="1" customWidth="1"/>
    <col min="12802" max="12802" width="7" style="1" customWidth="1"/>
    <col min="12803" max="12803" width="12.7109375" style="1" bestFit="1" customWidth="1"/>
    <col min="12804" max="12804" width="9.5703125" style="1" customWidth="1"/>
    <col min="12805" max="12805" width="19.7109375" style="1" customWidth="1"/>
    <col min="12806" max="12806" width="13" style="1" bestFit="1" customWidth="1"/>
    <col min="12807" max="13040" width="11.42578125" style="1"/>
    <col min="13041" max="13041" width="5.140625" style="1" customWidth="1"/>
    <col min="13042" max="13042" width="23.42578125" style="1" customWidth="1"/>
    <col min="13043" max="13043" width="7.85546875" style="1" customWidth="1"/>
    <col min="13044" max="13044" width="10.140625" style="1" customWidth="1"/>
    <col min="13045" max="13045" width="16.28515625" style="1" customWidth="1"/>
    <col min="13046" max="13046" width="12.7109375" style="1" customWidth="1"/>
    <col min="13047" max="13047" width="18" style="1" customWidth="1"/>
    <col min="13048" max="13048" width="13.42578125" style="1" customWidth="1"/>
    <col min="13049" max="13049" width="11.7109375" style="1" customWidth="1"/>
    <col min="13050" max="13050" width="12.42578125" style="1" customWidth="1"/>
    <col min="13051" max="13051" width="4" style="1" customWidth="1"/>
    <col min="13052" max="13052" width="6.5703125" style="1" customWidth="1"/>
    <col min="13053" max="13053" width="10.85546875" style="1" customWidth="1"/>
    <col min="13054" max="13054" width="4.7109375" style="1" customWidth="1"/>
    <col min="13055" max="13055" width="5.140625" style="1" customWidth="1"/>
    <col min="13056" max="13057" width="11.85546875" style="1" customWidth="1"/>
    <col min="13058" max="13058" width="7" style="1" customWidth="1"/>
    <col min="13059" max="13059" width="12.7109375" style="1" bestFit="1" customWidth="1"/>
    <col min="13060" max="13060" width="9.5703125" style="1" customWidth="1"/>
    <col min="13061" max="13061" width="19.7109375" style="1" customWidth="1"/>
    <col min="13062" max="13062" width="13" style="1" bestFit="1" customWidth="1"/>
    <col min="13063" max="13296" width="11.42578125" style="1"/>
    <col min="13297" max="13297" width="5.140625" style="1" customWidth="1"/>
    <col min="13298" max="13298" width="23.42578125" style="1" customWidth="1"/>
    <col min="13299" max="13299" width="7.85546875" style="1" customWidth="1"/>
    <col min="13300" max="13300" width="10.140625" style="1" customWidth="1"/>
    <col min="13301" max="13301" width="16.28515625" style="1" customWidth="1"/>
    <col min="13302" max="13302" width="12.7109375" style="1" customWidth="1"/>
    <col min="13303" max="13303" width="18" style="1" customWidth="1"/>
    <col min="13304" max="13304" width="13.42578125" style="1" customWidth="1"/>
    <col min="13305" max="13305" width="11.7109375" style="1" customWidth="1"/>
    <col min="13306" max="13306" width="12.42578125" style="1" customWidth="1"/>
    <col min="13307" max="13307" width="4" style="1" customWidth="1"/>
    <col min="13308" max="13308" width="6.5703125" style="1" customWidth="1"/>
    <col min="13309" max="13309" width="10.85546875" style="1" customWidth="1"/>
    <col min="13310" max="13310" width="4.7109375" style="1" customWidth="1"/>
    <col min="13311" max="13311" width="5.140625" style="1" customWidth="1"/>
    <col min="13312" max="13313" width="11.85546875" style="1" customWidth="1"/>
    <col min="13314" max="13314" width="7" style="1" customWidth="1"/>
    <col min="13315" max="13315" width="12.7109375" style="1" bestFit="1" customWidth="1"/>
    <col min="13316" max="13316" width="9.5703125" style="1" customWidth="1"/>
    <col min="13317" max="13317" width="19.7109375" style="1" customWidth="1"/>
    <col min="13318" max="13318" width="13" style="1" bestFit="1" customWidth="1"/>
    <col min="13319" max="13552" width="11.42578125" style="1"/>
    <col min="13553" max="13553" width="5.140625" style="1" customWidth="1"/>
    <col min="13554" max="13554" width="23.42578125" style="1" customWidth="1"/>
    <col min="13555" max="13555" width="7.85546875" style="1" customWidth="1"/>
    <col min="13556" max="13556" width="10.140625" style="1" customWidth="1"/>
    <col min="13557" max="13557" width="16.28515625" style="1" customWidth="1"/>
    <col min="13558" max="13558" width="12.7109375" style="1" customWidth="1"/>
    <col min="13559" max="13559" width="18" style="1" customWidth="1"/>
    <col min="13560" max="13560" width="13.42578125" style="1" customWidth="1"/>
    <col min="13561" max="13561" width="11.7109375" style="1" customWidth="1"/>
    <col min="13562" max="13562" width="12.42578125" style="1" customWidth="1"/>
    <col min="13563" max="13563" width="4" style="1" customWidth="1"/>
    <col min="13564" max="13564" width="6.5703125" style="1" customWidth="1"/>
    <col min="13565" max="13565" width="10.85546875" style="1" customWidth="1"/>
    <col min="13566" max="13566" width="4.7109375" style="1" customWidth="1"/>
    <col min="13567" max="13567" width="5.140625" style="1" customWidth="1"/>
    <col min="13568" max="13569" width="11.85546875" style="1" customWidth="1"/>
    <col min="13570" max="13570" width="7" style="1" customWidth="1"/>
    <col min="13571" max="13571" width="12.7109375" style="1" bestFit="1" customWidth="1"/>
    <col min="13572" max="13572" width="9.5703125" style="1" customWidth="1"/>
    <col min="13573" max="13573" width="19.7109375" style="1" customWidth="1"/>
    <col min="13574" max="13574" width="13" style="1" bestFit="1" customWidth="1"/>
    <col min="13575" max="13808" width="11.42578125" style="1"/>
    <col min="13809" max="13809" width="5.140625" style="1" customWidth="1"/>
    <col min="13810" max="13810" width="23.42578125" style="1" customWidth="1"/>
    <col min="13811" max="13811" width="7.85546875" style="1" customWidth="1"/>
    <col min="13812" max="13812" width="10.140625" style="1" customWidth="1"/>
    <col min="13813" max="13813" width="16.28515625" style="1" customWidth="1"/>
    <col min="13814" max="13814" width="12.7109375" style="1" customWidth="1"/>
    <col min="13815" max="13815" width="18" style="1" customWidth="1"/>
    <col min="13816" max="13816" width="13.42578125" style="1" customWidth="1"/>
    <col min="13817" max="13817" width="11.7109375" style="1" customWidth="1"/>
    <col min="13818" max="13818" width="12.42578125" style="1" customWidth="1"/>
    <col min="13819" max="13819" width="4" style="1" customWidth="1"/>
    <col min="13820" max="13820" width="6.5703125" style="1" customWidth="1"/>
    <col min="13821" max="13821" width="10.85546875" style="1" customWidth="1"/>
    <col min="13822" max="13822" width="4.7109375" style="1" customWidth="1"/>
    <col min="13823" max="13823" width="5.140625" style="1" customWidth="1"/>
    <col min="13824" max="13825" width="11.85546875" style="1" customWidth="1"/>
    <col min="13826" max="13826" width="7" style="1" customWidth="1"/>
    <col min="13827" max="13827" width="12.7109375" style="1" bestFit="1" customWidth="1"/>
    <col min="13828" max="13828" width="9.5703125" style="1" customWidth="1"/>
    <col min="13829" max="13829" width="19.7109375" style="1" customWidth="1"/>
    <col min="13830" max="13830" width="13" style="1" bestFit="1" customWidth="1"/>
    <col min="13831" max="14064" width="11.42578125" style="1"/>
    <col min="14065" max="14065" width="5.140625" style="1" customWidth="1"/>
    <col min="14066" max="14066" width="23.42578125" style="1" customWidth="1"/>
    <col min="14067" max="14067" width="7.85546875" style="1" customWidth="1"/>
    <col min="14068" max="14068" width="10.140625" style="1" customWidth="1"/>
    <col min="14069" max="14069" width="16.28515625" style="1" customWidth="1"/>
    <col min="14070" max="14070" width="12.7109375" style="1" customWidth="1"/>
    <col min="14071" max="14071" width="18" style="1" customWidth="1"/>
    <col min="14072" max="14072" width="13.42578125" style="1" customWidth="1"/>
    <col min="14073" max="14073" width="11.7109375" style="1" customWidth="1"/>
    <col min="14074" max="14074" width="12.42578125" style="1" customWidth="1"/>
    <col min="14075" max="14075" width="4" style="1" customWidth="1"/>
    <col min="14076" max="14076" width="6.5703125" style="1" customWidth="1"/>
    <col min="14077" max="14077" width="10.85546875" style="1" customWidth="1"/>
    <col min="14078" max="14078" width="4.7109375" style="1" customWidth="1"/>
    <col min="14079" max="14079" width="5.140625" style="1" customWidth="1"/>
    <col min="14080" max="14081" width="11.85546875" style="1" customWidth="1"/>
    <col min="14082" max="14082" width="7" style="1" customWidth="1"/>
    <col min="14083" max="14083" width="12.7109375" style="1" bestFit="1" customWidth="1"/>
    <col min="14084" max="14084" width="9.5703125" style="1" customWidth="1"/>
    <col min="14085" max="14085" width="19.7109375" style="1" customWidth="1"/>
    <col min="14086" max="14086" width="13" style="1" bestFit="1" customWidth="1"/>
    <col min="14087" max="14320" width="11.42578125" style="1"/>
    <col min="14321" max="14321" width="5.140625" style="1" customWidth="1"/>
    <col min="14322" max="14322" width="23.42578125" style="1" customWidth="1"/>
    <col min="14323" max="14323" width="7.85546875" style="1" customWidth="1"/>
    <col min="14324" max="14324" width="10.140625" style="1" customWidth="1"/>
    <col min="14325" max="14325" width="16.28515625" style="1" customWidth="1"/>
    <col min="14326" max="14326" width="12.7109375" style="1" customWidth="1"/>
    <col min="14327" max="14327" width="18" style="1" customWidth="1"/>
    <col min="14328" max="14328" width="13.42578125" style="1" customWidth="1"/>
    <col min="14329" max="14329" width="11.7109375" style="1" customWidth="1"/>
    <col min="14330" max="14330" width="12.42578125" style="1" customWidth="1"/>
    <col min="14331" max="14331" width="4" style="1" customWidth="1"/>
    <col min="14332" max="14332" width="6.5703125" style="1" customWidth="1"/>
    <col min="14333" max="14333" width="10.85546875" style="1" customWidth="1"/>
    <col min="14334" max="14334" width="4.7109375" style="1" customWidth="1"/>
    <col min="14335" max="14335" width="5.140625" style="1" customWidth="1"/>
    <col min="14336" max="14337" width="11.85546875" style="1" customWidth="1"/>
    <col min="14338" max="14338" width="7" style="1" customWidth="1"/>
    <col min="14339" max="14339" width="12.7109375" style="1" bestFit="1" customWidth="1"/>
    <col min="14340" max="14340" width="9.5703125" style="1" customWidth="1"/>
    <col min="14341" max="14341" width="19.7109375" style="1" customWidth="1"/>
    <col min="14342" max="14342" width="13" style="1" bestFit="1" customWidth="1"/>
    <col min="14343" max="14576" width="11.42578125" style="1"/>
    <col min="14577" max="14577" width="5.140625" style="1" customWidth="1"/>
    <col min="14578" max="14578" width="23.42578125" style="1" customWidth="1"/>
    <col min="14579" max="14579" width="7.85546875" style="1" customWidth="1"/>
    <col min="14580" max="14580" width="10.140625" style="1" customWidth="1"/>
    <col min="14581" max="14581" width="16.28515625" style="1" customWidth="1"/>
    <col min="14582" max="14582" width="12.7109375" style="1" customWidth="1"/>
    <col min="14583" max="14583" width="18" style="1" customWidth="1"/>
    <col min="14584" max="14584" width="13.42578125" style="1" customWidth="1"/>
    <col min="14585" max="14585" width="11.7109375" style="1" customWidth="1"/>
    <col min="14586" max="14586" width="12.42578125" style="1" customWidth="1"/>
    <col min="14587" max="14587" width="4" style="1" customWidth="1"/>
    <col min="14588" max="14588" width="6.5703125" style="1" customWidth="1"/>
    <col min="14589" max="14589" width="10.85546875" style="1" customWidth="1"/>
    <col min="14590" max="14590" width="4.7109375" style="1" customWidth="1"/>
    <col min="14591" max="14591" width="5.140625" style="1" customWidth="1"/>
    <col min="14592" max="14593" width="11.85546875" style="1" customWidth="1"/>
    <col min="14594" max="14594" width="7" style="1" customWidth="1"/>
    <col min="14595" max="14595" width="12.7109375" style="1" bestFit="1" customWidth="1"/>
    <col min="14596" max="14596" width="9.5703125" style="1" customWidth="1"/>
    <col min="14597" max="14597" width="19.7109375" style="1" customWidth="1"/>
    <col min="14598" max="14598" width="13" style="1" bestFit="1" customWidth="1"/>
    <col min="14599" max="14832" width="11.42578125" style="1"/>
    <col min="14833" max="14833" width="5.140625" style="1" customWidth="1"/>
    <col min="14834" max="14834" width="23.42578125" style="1" customWidth="1"/>
    <col min="14835" max="14835" width="7.85546875" style="1" customWidth="1"/>
    <col min="14836" max="14836" width="10.140625" style="1" customWidth="1"/>
    <col min="14837" max="14837" width="16.28515625" style="1" customWidth="1"/>
    <col min="14838" max="14838" width="12.7109375" style="1" customWidth="1"/>
    <col min="14839" max="14839" width="18" style="1" customWidth="1"/>
    <col min="14840" max="14840" width="13.42578125" style="1" customWidth="1"/>
    <col min="14841" max="14841" width="11.7109375" style="1" customWidth="1"/>
    <col min="14842" max="14842" width="12.42578125" style="1" customWidth="1"/>
    <col min="14843" max="14843" width="4" style="1" customWidth="1"/>
    <col min="14844" max="14844" width="6.5703125" style="1" customWidth="1"/>
    <col min="14845" max="14845" width="10.85546875" style="1" customWidth="1"/>
    <col min="14846" max="14846" width="4.7109375" style="1" customWidth="1"/>
    <col min="14847" max="14847" width="5.140625" style="1" customWidth="1"/>
    <col min="14848" max="14849" width="11.85546875" style="1" customWidth="1"/>
    <col min="14850" max="14850" width="7" style="1" customWidth="1"/>
    <col min="14851" max="14851" width="12.7109375" style="1" bestFit="1" customWidth="1"/>
    <col min="14852" max="14852" width="9.5703125" style="1" customWidth="1"/>
    <col min="14853" max="14853" width="19.7109375" style="1" customWidth="1"/>
    <col min="14854" max="14854" width="13" style="1" bestFit="1" customWidth="1"/>
    <col min="14855" max="15088" width="11.42578125" style="1"/>
    <col min="15089" max="15089" width="5.140625" style="1" customWidth="1"/>
    <col min="15090" max="15090" width="23.42578125" style="1" customWidth="1"/>
    <col min="15091" max="15091" width="7.85546875" style="1" customWidth="1"/>
    <col min="15092" max="15092" width="10.140625" style="1" customWidth="1"/>
    <col min="15093" max="15093" width="16.28515625" style="1" customWidth="1"/>
    <col min="15094" max="15094" width="12.7109375" style="1" customWidth="1"/>
    <col min="15095" max="15095" width="18" style="1" customWidth="1"/>
    <col min="15096" max="15096" width="13.42578125" style="1" customWidth="1"/>
    <col min="15097" max="15097" width="11.7109375" style="1" customWidth="1"/>
    <col min="15098" max="15098" width="12.42578125" style="1" customWidth="1"/>
    <col min="15099" max="15099" width="4" style="1" customWidth="1"/>
    <col min="15100" max="15100" width="6.5703125" style="1" customWidth="1"/>
    <col min="15101" max="15101" width="10.85546875" style="1" customWidth="1"/>
    <col min="15102" max="15102" width="4.7109375" style="1" customWidth="1"/>
    <col min="15103" max="15103" width="5.140625" style="1" customWidth="1"/>
    <col min="15104" max="15105" width="11.85546875" style="1" customWidth="1"/>
    <col min="15106" max="15106" width="7" style="1" customWidth="1"/>
    <col min="15107" max="15107" width="12.7109375" style="1" bestFit="1" customWidth="1"/>
    <col min="15108" max="15108" width="9.5703125" style="1" customWidth="1"/>
    <col min="15109" max="15109" width="19.7109375" style="1" customWidth="1"/>
    <col min="15110" max="15110" width="13" style="1" bestFit="1" customWidth="1"/>
    <col min="15111" max="15344" width="11.42578125" style="1"/>
    <col min="15345" max="15345" width="5.140625" style="1" customWidth="1"/>
    <col min="15346" max="15346" width="23.42578125" style="1" customWidth="1"/>
    <col min="15347" max="15347" width="7.85546875" style="1" customWidth="1"/>
    <col min="15348" max="15348" width="10.140625" style="1" customWidth="1"/>
    <col min="15349" max="15349" width="16.28515625" style="1" customWidth="1"/>
    <col min="15350" max="15350" width="12.7109375" style="1" customWidth="1"/>
    <col min="15351" max="15351" width="18" style="1" customWidth="1"/>
    <col min="15352" max="15352" width="13.42578125" style="1" customWidth="1"/>
    <col min="15353" max="15353" width="11.7109375" style="1" customWidth="1"/>
    <col min="15354" max="15354" width="12.42578125" style="1" customWidth="1"/>
    <col min="15355" max="15355" width="4" style="1" customWidth="1"/>
    <col min="15356" max="15356" width="6.5703125" style="1" customWidth="1"/>
    <col min="15357" max="15357" width="10.85546875" style="1" customWidth="1"/>
    <col min="15358" max="15358" width="4.7109375" style="1" customWidth="1"/>
    <col min="15359" max="15359" width="5.140625" style="1" customWidth="1"/>
    <col min="15360" max="15361" width="11.85546875" style="1" customWidth="1"/>
    <col min="15362" max="15362" width="7" style="1" customWidth="1"/>
    <col min="15363" max="15363" width="12.7109375" style="1" bestFit="1" customWidth="1"/>
    <col min="15364" max="15364" width="9.5703125" style="1" customWidth="1"/>
    <col min="15365" max="15365" width="19.7109375" style="1" customWidth="1"/>
    <col min="15366" max="15366" width="13" style="1" bestFit="1" customWidth="1"/>
    <col min="15367" max="15600" width="11.42578125" style="1"/>
    <col min="15601" max="15601" width="5.140625" style="1" customWidth="1"/>
    <col min="15602" max="15602" width="23.42578125" style="1" customWidth="1"/>
    <col min="15603" max="15603" width="7.85546875" style="1" customWidth="1"/>
    <col min="15604" max="15604" width="10.140625" style="1" customWidth="1"/>
    <col min="15605" max="15605" width="16.28515625" style="1" customWidth="1"/>
    <col min="15606" max="15606" width="12.7109375" style="1" customWidth="1"/>
    <col min="15607" max="15607" width="18" style="1" customWidth="1"/>
    <col min="15608" max="15608" width="13.42578125" style="1" customWidth="1"/>
    <col min="15609" max="15609" width="11.7109375" style="1" customWidth="1"/>
    <col min="15610" max="15610" width="12.42578125" style="1" customWidth="1"/>
    <col min="15611" max="15611" width="4" style="1" customWidth="1"/>
    <col min="15612" max="15612" width="6.5703125" style="1" customWidth="1"/>
    <col min="15613" max="15613" width="10.85546875" style="1" customWidth="1"/>
    <col min="15614" max="15614" width="4.7109375" style="1" customWidth="1"/>
    <col min="15615" max="15615" width="5.140625" style="1" customWidth="1"/>
    <col min="15616" max="15617" width="11.85546875" style="1" customWidth="1"/>
    <col min="15618" max="15618" width="7" style="1" customWidth="1"/>
    <col min="15619" max="15619" width="12.7109375" style="1" bestFit="1" customWidth="1"/>
    <col min="15620" max="15620" width="9.5703125" style="1" customWidth="1"/>
    <col min="15621" max="15621" width="19.7109375" style="1" customWidth="1"/>
    <col min="15622" max="15622" width="13" style="1" bestFit="1" customWidth="1"/>
    <col min="15623" max="15856" width="11.42578125" style="1"/>
    <col min="15857" max="15857" width="5.140625" style="1" customWidth="1"/>
    <col min="15858" max="15858" width="23.42578125" style="1" customWidth="1"/>
    <col min="15859" max="15859" width="7.85546875" style="1" customWidth="1"/>
    <col min="15860" max="15860" width="10.140625" style="1" customWidth="1"/>
    <col min="15861" max="15861" width="16.28515625" style="1" customWidth="1"/>
    <col min="15862" max="15862" width="12.7109375" style="1" customWidth="1"/>
    <col min="15863" max="15863" width="18" style="1" customWidth="1"/>
    <col min="15864" max="15864" width="13.42578125" style="1" customWidth="1"/>
    <col min="15865" max="15865" width="11.7109375" style="1" customWidth="1"/>
    <col min="15866" max="15866" width="12.42578125" style="1" customWidth="1"/>
    <col min="15867" max="15867" width="4" style="1" customWidth="1"/>
    <col min="15868" max="15868" width="6.5703125" style="1" customWidth="1"/>
    <col min="15869" max="15869" width="10.85546875" style="1" customWidth="1"/>
    <col min="15870" max="15870" width="4.7109375" style="1" customWidth="1"/>
    <col min="15871" max="15871" width="5.140625" style="1" customWidth="1"/>
    <col min="15872" max="15873" width="11.85546875" style="1" customWidth="1"/>
    <col min="15874" max="15874" width="7" style="1" customWidth="1"/>
    <col min="15875" max="15875" width="12.7109375" style="1" bestFit="1" customWidth="1"/>
    <col min="15876" max="15876" width="9.5703125" style="1" customWidth="1"/>
    <col min="15877" max="15877" width="19.7109375" style="1" customWidth="1"/>
    <col min="15878" max="15878" width="13" style="1" bestFit="1" customWidth="1"/>
    <col min="15879" max="16112" width="11.42578125" style="1"/>
    <col min="16113" max="16113" width="5.140625" style="1" customWidth="1"/>
    <col min="16114" max="16114" width="23.42578125" style="1" customWidth="1"/>
    <col min="16115" max="16115" width="7.85546875" style="1" customWidth="1"/>
    <col min="16116" max="16116" width="10.140625" style="1" customWidth="1"/>
    <col min="16117" max="16117" width="16.28515625" style="1" customWidth="1"/>
    <col min="16118" max="16118" width="12.7109375" style="1" customWidth="1"/>
    <col min="16119" max="16119" width="18" style="1" customWidth="1"/>
    <col min="16120" max="16120" width="13.42578125" style="1" customWidth="1"/>
    <col min="16121" max="16121" width="11.7109375" style="1" customWidth="1"/>
    <col min="16122" max="16122" width="12.42578125" style="1" customWidth="1"/>
    <col min="16123" max="16123" width="4" style="1" customWidth="1"/>
    <col min="16124" max="16124" width="6.5703125" style="1" customWidth="1"/>
    <col min="16125" max="16125" width="10.85546875" style="1" customWidth="1"/>
    <col min="16126" max="16126" width="4.7109375" style="1" customWidth="1"/>
    <col min="16127" max="16127" width="5.140625" style="1" customWidth="1"/>
    <col min="16128" max="16129" width="11.85546875" style="1" customWidth="1"/>
    <col min="16130" max="16130" width="7" style="1" customWidth="1"/>
    <col min="16131" max="16131" width="12.7109375" style="1" bestFit="1" customWidth="1"/>
    <col min="16132" max="16132" width="9.5703125" style="1" customWidth="1"/>
    <col min="16133" max="16133" width="19.7109375" style="1" customWidth="1"/>
    <col min="16134" max="16134" width="13" style="1" bestFit="1" customWidth="1"/>
    <col min="16135" max="16384" width="11.42578125" style="1"/>
  </cols>
  <sheetData>
    <row r="1" spans="1:35" ht="18" customHeight="1" x14ac:dyDescent="0.25">
      <c r="B1" s="353" t="s">
        <v>0</v>
      </c>
      <c r="C1" s="412"/>
      <c r="D1" s="357" t="s">
        <v>882</v>
      </c>
      <c r="E1" s="358"/>
      <c r="F1" s="358"/>
      <c r="G1" s="358"/>
      <c r="H1" s="358"/>
      <c r="I1" s="358"/>
      <c r="J1" s="358"/>
      <c r="K1" s="358"/>
      <c r="L1" s="358"/>
      <c r="M1" s="358"/>
      <c r="N1" s="358"/>
      <c r="O1" s="358"/>
      <c r="P1" s="358"/>
      <c r="Q1" s="358"/>
      <c r="R1" s="358"/>
      <c r="S1" s="358"/>
      <c r="T1" s="358"/>
      <c r="U1" s="358"/>
      <c r="V1" s="358"/>
      <c r="W1" s="358"/>
      <c r="X1" s="358"/>
      <c r="Y1" s="358"/>
      <c r="Z1" s="358"/>
      <c r="AA1" s="358"/>
      <c r="AB1" s="358"/>
      <c r="AC1" s="359"/>
    </row>
    <row r="2" spans="1:35" ht="36.75" customHeight="1" thickBot="1" x14ac:dyDescent="0.25">
      <c r="B2" s="355"/>
      <c r="C2" s="413"/>
      <c r="D2" s="360" t="s">
        <v>883</v>
      </c>
      <c r="E2" s="361"/>
      <c r="F2" s="361"/>
      <c r="G2" s="361"/>
      <c r="H2" s="361"/>
      <c r="I2" s="361"/>
      <c r="J2" s="361"/>
      <c r="K2" s="361"/>
      <c r="L2" s="361"/>
      <c r="M2" s="361"/>
      <c r="N2" s="361"/>
      <c r="O2" s="361"/>
      <c r="P2" s="361"/>
      <c r="Q2" s="361"/>
      <c r="R2" s="361"/>
      <c r="S2" s="361"/>
      <c r="T2" s="361"/>
      <c r="U2" s="361"/>
      <c r="V2" s="361"/>
      <c r="W2" s="361"/>
      <c r="X2" s="361"/>
      <c r="Y2" s="361"/>
      <c r="Z2" s="361"/>
      <c r="AA2" s="361"/>
      <c r="AB2" s="361"/>
      <c r="AC2" s="362"/>
    </row>
    <row r="3" spans="1:35" ht="33" customHeight="1" thickBot="1" x14ac:dyDescent="0.25">
      <c r="B3" s="363" t="s">
        <v>162</v>
      </c>
      <c r="C3" s="364"/>
      <c r="D3" s="365"/>
      <c r="E3" s="365"/>
      <c r="F3" s="365"/>
      <c r="G3" s="2" t="s">
        <v>2</v>
      </c>
      <c r="H3" s="3" t="s">
        <v>3</v>
      </c>
      <c r="I3" s="366" t="s">
        <v>4</v>
      </c>
      <c r="J3" s="367"/>
      <c r="K3" s="367"/>
      <c r="L3" s="367"/>
      <c r="M3" s="367"/>
      <c r="N3" s="367"/>
      <c r="O3" s="367"/>
      <c r="P3" s="367"/>
      <c r="Q3" s="367"/>
      <c r="R3" s="367"/>
      <c r="S3" s="367"/>
      <c r="T3" s="367"/>
      <c r="U3" s="367"/>
      <c r="V3" s="368"/>
      <c r="AC3" s="152"/>
      <c r="AD3" s="153"/>
      <c r="AE3" s="152"/>
      <c r="AF3" s="152"/>
      <c r="AG3" s="152"/>
      <c r="AH3" s="154"/>
      <c r="AI3" s="154"/>
    </row>
    <row r="4" spans="1:35" ht="28.5" customHeight="1" x14ac:dyDescent="0.2">
      <c r="B4" s="414" t="s">
        <v>5</v>
      </c>
      <c r="C4" s="369"/>
      <c r="D4" s="369"/>
      <c r="E4" s="369"/>
      <c r="F4" s="369"/>
      <c r="G4" s="5">
        <v>784601462</v>
      </c>
      <c r="H4" s="6">
        <f>IFERROR(G4/H8,0)</f>
        <v>893.82408353582753</v>
      </c>
      <c r="I4" s="370"/>
      <c r="J4" s="370"/>
      <c r="K4" s="370"/>
      <c r="L4" s="370"/>
      <c r="M4" s="370"/>
      <c r="N4" s="370"/>
      <c r="O4" s="370"/>
      <c r="P4" s="370"/>
      <c r="Q4" s="370"/>
      <c r="R4" s="370"/>
      <c r="S4" s="370"/>
      <c r="T4" s="370"/>
      <c r="U4" s="370"/>
      <c r="V4" s="371"/>
      <c r="AC4" s="154"/>
      <c r="AD4" s="155"/>
      <c r="AE4" s="154"/>
      <c r="AF4" s="154"/>
      <c r="AG4" s="154"/>
      <c r="AH4" s="154"/>
      <c r="AI4" s="154"/>
    </row>
    <row r="5" spans="1:35" ht="29.25" customHeight="1" x14ac:dyDescent="0.2">
      <c r="B5" s="415" t="s">
        <v>6</v>
      </c>
      <c r="C5" s="376"/>
      <c r="D5" s="376"/>
      <c r="E5" s="376"/>
      <c r="F5" s="376"/>
      <c r="G5" s="8">
        <v>6</v>
      </c>
      <c r="H5" s="9"/>
      <c r="I5" s="372"/>
      <c r="J5" s="372"/>
      <c r="K5" s="372"/>
      <c r="L5" s="372"/>
      <c r="M5" s="372"/>
      <c r="N5" s="372"/>
      <c r="O5" s="372"/>
      <c r="P5" s="372"/>
      <c r="Q5" s="372"/>
      <c r="R5" s="372"/>
      <c r="S5" s="372"/>
      <c r="T5" s="372"/>
      <c r="U5" s="372"/>
      <c r="V5" s="373"/>
      <c r="AC5" s="154"/>
      <c r="AD5" s="155"/>
      <c r="AE5" s="154"/>
      <c r="AF5" s="154"/>
      <c r="AG5" s="154"/>
      <c r="AH5" s="154"/>
      <c r="AI5" s="154"/>
    </row>
    <row r="6" spans="1:35" ht="32.25" customHeight="1" x14ac:dyDescent="0.2">
      <c r="B6" s="156">
        <v>0.3</v>
      </c>
      <c r="C6" s="376" t="s">
        <v>163</v>
      </c>
      <c r="D6" s="376"/>
      <c r="E6" s="376"/>
      <c r="F6" s="376"/>
      <c r="G6" s="11">
        <f>$G$4*$B$6</f>
        <v>235380438.59999999</v>
      </c>
      <c r="H6" s="12">
        <f>IFERROR(G6/$H$8,0)</f>
        <v>268.14722506074827</v>
      </c>
      <c r="I6" s="372"/>
      <c r="J6" s="372"/>
      <c r="K6" s="372"/>
      <c r="L6" s="372"/>
      <c r="M6" s="372"/>
      <c r="N6" s="372"/>
      <c r="O6" s="372"/>
      <c r="P6" s="372"/>
      <c r="Q6" s="372"/>
      <c r="R6" s="372"/>
      <c r="S6" s="372"/>
      <c r="T6" s="372"/>
      <c r="U6" s="372"/>
      <c r="V6" s="373"/>
      <c r="AC6" s="154"/>
      <c r="AD6" s="155"/>
      <c r="AE6" s="154"/>
      <c r="AF6" s="154"/>
      <c r="AG6" s="154"/>
      <c r="AH6" s="154"/>
      <c r="AI6" s="154"/>
    </row>
    <row r="7" spans="1:35" ht="32.25" customHeight="1" thickBot="1" x14ac:dyDescent="0.25">
      <c r="B7" s="415" t="s">
        <v>164</v>
      </c>
      <c r="C7" s="376"/>
      <c r="D7" s="376"/>
      <c r="E7" s="376"/>
      <c r="F7" s="376"/>
      <c r="G7" s="157">
        <f>IFERROR(IF(G5="","",G4/G5),"")</f>
        <v>130766910.33333333</v>
      </c>
      <c r="H7" s="12">
        <f>IFERROR(IF($G$5="","",ROUND($H$4/$G$5,3)),"")</f>
        <v>148.971</v>
      </c>
      <c r="I7" s="372"/>
      <c r="J7" s="372"/>
      <c r="K7" s="372"/>
      <c r="L7" s="372"/>
      <c r="M7" s="372"/>
      <c r="N7" s="372"/>
      <c r="O7" s="372"/>
      <c r="P7" s="372"/>
      <c r="Q7" s="372"/>
      <c r="R7" s="372"/>
      <c r="S7" s="372"/>
      <c r="T7" s="372"/>
      <c r="U7" s="372"/>
      <c r="V7" s="373"/>
      <c r="AC7" s="154"/>
      <c r="AD7" s="155"/>
      <c r="AE7" s="154"/>
      <c r="AF7" s="154"/>
      <c r="AG7" s="154"/>
      <c r="AH7" s="154"/>
      <c r="AI7" s="154"/>
    </row>
    <row r="8" spans="1:35" ht="50.25" customHeight="1" thickBot="1" x14ac:dyDescent="0.25">
      <c r="B8" s="411" t="s">
        <v>8</v>
      </c>
      <c r="C8" s="377"/>
      <c r="D8" s="352">
        <v>81101500</v>
      </c>
      <c r="E8" s="352"/>
      <c r="F8" s="352"/>
      <c r="G8" s="14" t="s">
        <v>3</v>
      </c>
      <c r="H8" s="15">
        <v>877803</v>
      </c>
      <c r="I8" s="374"/>
      <c r="J8" s="374"/>
      <c r="K8" s="374"/>
      <c r="L8" s="374"/>
      <c r="M8" s="374"/>
      <c r="N8" s="374"/>
      <c r="O8" s="374"/>
      <c r="P8" s="374"/>
      <c r="Q8" s="374"/>
      <c r="R8" s="374"/>
      <c r="S8" s="374"/>
      <c r="T8" s="374"/>
      <c r="U8" s="374"/>
      <c r="V8" s="375"/>
      <c r="X8" s="16" t="s">
        <v>165</v>
      </c>
      <c r="Y8" s="158">
        <v>1</v>
      </c>
      <c r="Z8" s="159">
        <v>1</v>
      </c>
    </row>
    <row r="9" spans="1:35" ht="15" thickBot="1" x14ac:dyDescent="0.25">
      <c r="B9" s="19"/>
      <c r="P9" s="160"/>
      <c r="Q9" s="160"/>
      <c r="R9" s="160"/>
      <c r="V9" s="21"/>
      <c r="X9" s="22"/>
    </row>
    <row r="10" spans="1:35" ht="36.75" customHeight="1" thickBot="1" x14ac:dyDescent="0.25">
      <c r="B10" s="23">
        <v>1</v>
      </c>
      <c r="C10" s="336" t="s">
        <v>884</v>
      </c>
      <c r="D10" s="337"/>
      <c r="E10" s="337"/>
      <c r="F10" s="337"/>
      <c r="G10" s="337"/>
      <c r="H10" s="337"/>
      <c r="I10" s="338"/>
      <c r="J10" s="24" t="str">
        <f>+IF(C10="","","INTEGRANTES")</f>
        <v>INTEGRANTES</v>
      </c>
      <c r="K10" s="339" t="s">
        <v>885</v>
      </c>
      <c r="L10" s="339"/>
      <c r="M10" s="339"/>
      <c r="N10" s="339"/>
      <c r="O10" s="339"/>
      <c r="P10" s="339"/>
      <c r="Q10" s="339"/>
      <c r="R10" s="396" t="s">
        <v>166</v>
      </c>
      <c r="S10" s="397"/>
      <c r="T10" s="25">
        <f>+B10</f>
        <v>1</v>
      </c>
      <c r="U10" s="161" t="s">
        <v>167</v>
      </c>
      <c r="V10" s="162">
        <f>IF(T24="",0,T24)</f>
        <v>63.311999999999998</v>
      </c>
      <c r="X10" s="325" t="s">
        <v>168</v>
      </c>
      <c r="Z10" s="163" t="s">
        <v>169</v>
      </c>
      <c r="AB10" s="163" t="s">
        <v>170</v>
      </c>
      <c r="AG10" s="1">
        <v>2</v>
      </c>
    </row>
    <row r="11" spans="1:35" ht="42" customHeight="1" x14ac:dyDescent="0.2">
      <c r="B11" s="331" t="s">
        <v>171</v>
      </c>
      <c r="C11" s="406" t="s">
        <v>172</v>
      </c>
      <c r="D11" s="333" t="s">
        <v>173</v>
      </c>
      <c r="E11" s="334"/>
      <c r="F11" s="334"/>
      <c r="G11" s="335"/>
      <c r="H11" s="406" t="s">
        <v>10</v>
      </c>
      <c r="I11" s="406" t="s">
        <v>174</v>
      </c>
      <c r="J11" s="406" t="s">
        <v>175</v>
      </c>
      <c r="K11" s="406" t="s">
        <v>176</v>
      </c>
      <c r="L11" s="406" t="s">
        <v>177</v>
      </c>
      <c r="M11" s="406" t="s">
        <v>178</v>
      </c>
      <c r="N11" s="406" t="s">
        <v>179</v>
      </c>
      <c r="O11" s="406" t="s">
        <v>180</v>
      </c>
      <c r="P11" s="408" t="s">
        <v>181</v>
      </c>
      <c r="Q11" s="408"/>
      <c r="R11" s="408"/>
      <c r="S11" s="406" t="s">
        <v>182</v>
      </c>
      <c r="T11" s="318" t="s">
        <v>183</v>
      </c>
      <c r="U11" s="406" t="s">
        <v>184</v>
      </c>
      <c r="V11" s="409" t="s">
        <v>185</v>
      </c>
      <c r="W11" s="164"/>
      <c r="X11" s="326"/>
      <c r="Z11" s="381" t="s">
        <v>186</v>
      </c>
      <c r="AB11" s="381" t="s">
        <v>187</v>
      </c>
    </row>
    <row r="12" spans="1:35" ht="38.25" customHeight="1" thickBot="1" x14ac:dyDescent="0.25">
      <c r="B12" s="395"/>
      <c r="C12" s="407"/>
      <c r="D12" s="165" t="s">
        <v>188</v>
      </c>
      <c r="E12" s="165" t="s">
        <v>189</v>
      </c>
      <c r="F12" s="165" t="s">
        <v>190</v>
      </c>
      <c r="G12" s="165" t="s">
        <v>191</v>
      </c>
      <c r="H12" s="407"/>
      <c r="I12" s="407"/>
      <c r="J12" s="407"/>
      <c r="K12" s="407"/>
      <c r="L12" s="407"/>
      <c r="M12" s="407"/>
      <c r="N12" s="407"/>
      <c r="O12" s="407"/>
      <c r="P12" s="166" t="s">
        <v>192</v>
      </c>
      <c r="Q12" s="167" t="s">
        <v>193</v>
      </c>
      <c r="R12" s="166" t="s">
        <v>194</v>
      </c>
      <c r="S12" s="407"/>
      <c r="T12" s="348"/>
      <c r="U12" s="407"/>
      <c r="V12" s="410"/>
      <c r="X12" s="327"/>
      <c r="Z12" s="381"/>
      <c r="AB12" s="381"/>
    </row>
    <row r="13" spans="1:35" s="27" customFormat="1" ht="50.25" customHeight="1" x14ac:dyDescent="0.2">
      <c r="A13" s="27">
        <f>+IF(T13="","",B13)</f>
        <v>1</v>
      </c>
      <c r="B13" s="28">
        <v>1</v>
      </c>
      <c r="C13" s="62" t="s">
        <v>11</v>
      </c>
      <c r="D13" s="402" t="s">
        <v>195</v>
      </c>
      <c r="E13" s="404" t="s">
        <v>196</v>
      </c>
      <c r="F13" s="404" t="s">
        <v>197</v>
      </c>
      <c r="G13" s="402" t="s">
        <v>198</v>
      </c>
      <c r="H13" s="71">
        <v>46</v>
      </c>
      <c r="I13" s="72" t="s">
        <v>16</v>
      </c>
      <c r="J13" s="66">
        <v>2279.23</v>
      </c>
      <c r="K13" s="67">
        <v>0.5</v>
      </c>
      <c r="L13" s="75">
        <f t="shared" ref="L13:L22" si="0">IF(OR(H13="",I13&lt;&gt;"SI",I13="NO",J13="",J13=0,K13="",K13=0,X13&lt;&gt;"SI"),0,J13*K13)</f>
        <v>1139.615</v>
      </c>
      <c r="M13" s="168">
        <v>43280</v>
      </c>
      <c r="N13" s="168">
        <v>43819</v>
      </c>
      <c r="O13" s="169">
        <f>IF(OR(H13="",I13&lt;&gt;"SI",I13="NO",J13="",J13=0,K13="",K13=0,,M13="",N13=""),"",ROUND((((N13-M13)+1)/30),3))</f>
        <v>18</v>
      </c>
      <c r="P13" s="168"/>
      <c r="Q13" s="168"/>
      <c r="R13" s="170">
        <f>IF(OR((Q13-P13)=0,P13="",Q13=""),0,(ROUND((((Q13-P13)+1)/30),3)))</f>
        <v>0</v>
      </c>
      <c r="S13" s="171">
        <f>IF(O13="","",ROUND(SUM(O13)-SUM(R13),3))</f>
        <v>18</v>
      </c>
      <c r="T13" s="172">
        <f t="shared" ref="T13:T22" si="1">+IF(C13="","",IF(OR(S13="",S13&lt;=0,I13="",I13="NO",U13="",U13="NO",X13="NO"),"",ROUND(SUM(L13)/S13,3)))</f>
        <v>63.311999999999998</v>
      </c>
      <c r="U13" s="68" t="s">
        <v>16</v>
      </c>
      <c r="V13" s="36"/>
      <c r="W13" s="401"/>
      <c r="X13" s="37" t="str">
        <f t="shared" ref="X13:X22" si="2">+IF(C13="","",IF(AND(H13&lt;&gt;"",I13="SI",J13&lt;&gt;"",J13&gt;0,K13&lt;&gt;"",K13&gt;0,S13&lt;&gt;"",S13&gt;0,U13="SI"),"SI","NO"))</f>
        <v>SI</v>
      </c>
      <c r="Z13" s="173" t="s">
        <v>16</v>
      </c>
      <c r="AB13" s="173" t="s">
        <v>16</v>
      </c>
      <c r="AD13" s="10" t="str">
        <f t="shared" ref="AD13:AD22" si="3">+IF($C$10="","",IF(C13="","",IF(L13&gt;=$H$6,"SI","NO")))</f>
        <v>SI</v>
      </c>
      <c r="AE13" s="92">
        <f>+IF(OR($T$13="",X13="",X13="NO"),"",L13)</f>
        <v>1139.615</v>
      </c>
      <c r="AF13" s="92">
        <f>+IF(AE13="","",L13/$S$13)</f>
        <v>63.311944444444443</v>
      </c>
      <c r="AG13" s="174">
        <f>0.1+B10</f>
        <v>1.1000000000000001</v>
      </c>
      <c r="AH13" s="27" t="s">
        <v>11</v>
      </c>
    </row>
    <row r="14" spans="1:35" s="27" customFormat="1" ht="50.25" customHeight="1" x14ac:dyDescent="0.2">
      <c r="A14" s="27">
        <f t="shared" ref="A14:A22" si="4">+IF(T14="","",B14)</f>
        <v>2</v>
      </c>
      <c r="B14" s="38">
        <v>2</v>
      </c>
      <c r="C14" s="69" t="s">
        <v>17</v>
      </c>
      <c r="D14" s="403"/>
      <c r="E14" s="405"/>
      <c r="F14" s="405"/>
      <c r="G14" s="403"/>
      <c r="H14" s="71">
        <v>1</v>
      </c>
      <c r="I14" s="72" t="s">
        <v>16</v>
      </c>
      <c r="J14" s="73">
        <v>2279.23</v>
      </c>
      <c r="K14" s="74">
        <v>0.5</v>
      </c>
      <c r="L14" s="75">
        <f t="shared" si="0"/>
        <v>1139.615</v>
      </c>
      <c r="M14" s="175">
        <v>43280</v>
      </c>
      <c r="N14" s="175">
        <v>43819</v>
      </c>
      <c r="O14" s="176">
        <f t="shared" ref="O14:O22" si="5">IF(OR(H14="",I14&lt;&gt;"SI",I14="NO",J14="",J14=0,K14="",K14=0,,M14="",N14=""),"",ROUND((((N14-M14)+1)/30),3))</f>
        <v>18</v>
      </c>
      <c r="P14" s="175"/>
      <c r="Q14" s="175"/>
      <c r="R14" s="177">
        <f t="shared" ref="R14:R22" si="6">IF(OR((Q14-P14)=0,P14="",Q14=""),0,(ROUND((((Q14-P14)+1)/30),3)))</f>
        <v>0</v>
      </c>
      <c r="S14" s="178">
        <f t="shared" ref="S14:S22" si="7">IF(O14="","",ROUND(SUM(O14)-SUM(R14),3))</f>
        <v>18</v>
      </c>
      <c r="T14" s="179">
        <f t="shared" si="1"/>
        <v>63.311999999999998</v>
      </c>
      <c r="U14" s="72" t="s">
        <v>16</v>
      </c>
      <c r="V14" s="45"/>
      <c r="W14" s="401"/>
      <c r="X14" s="37" t="str">
        <f t="shared" si="2"/>
        <v>SI</v>
      </c>
      <c r="Z14" s="173" t="s">
        <v>16</v>
      </c>
      <c r="AB14" s="173" t="s">
        <v>16</v>
      </c>
      <c r="AD14" s="10" t="str">
        <f t="shared" si="3"/>
        <v>SI</v>
      </c>
      <c r="AE14" s="92">
        <f>+IF(OR($T$14="",X14="",X14="NO"),"",L14)</f>
        <v>1139.615</v>
      </c>
      <c r="AF14" s="92">
        <f>+IF(AE14="","",L14/$S$14)</f>
        <v>63.311944444444443</v>
      </c>
      <c r="AG14" s="174">
        <f>0.2+B10</f>
        <v>1.2</v>
      </c>
      <c r="AH14" s="27" t="s">
        <v>17</v>
      </c>
    </row>
    <row r="15" spans="1:35" s="27" customFormat="1" ht="12.75" x14ac:dyDescent="0.2">
      <c r="A15" s="27" t="str">
        <f t="shared" si="4"/>
        <v/>
      </c>
      <c r="B15" s="38"/>
      <c r="C15" s="69"/>
      <c r="D15" s="69"/>
      <c r="E15" s="70"/>
      <c r="F15" s="70"/>
      <c r="G15" s="69"/>
      <c r="H15" s="71"/>
      <c r="I15" s="72"/>
      <c r="J15" s="73"/>
      <c r="K15" s="74"/>
      <c r="L15" s="75">
        <f t="shared" si="0"/>
        <v>0</v>
      </c>
      <c r="M15" s="175"/>
      <c r="N15" s="175"/>
      <c r="O15" s="176" t="str">
        <f t="shared" si="5"/>
        <v/>
      </c>
      <c r="P15" s="175"/>
      <c r="Q15" s="175"/>
      <c r="R15" s="177">
        <f t="shared" si="6"/>
        <v>0</v>
      </c>
      <c r="S15" s="178" t="str">
        <f t="shared" si="7"/>
        <v/>
      </c>
      <c r="T15" s="179" t="str">
        <f t="shared" si="1"/>
        <v/>
      </c>
      <c r="U15" s="72"/>
      <c r="V15" s="45"/>
      <c r="X15" s="37" t="str">
        <f t="shared" si="2"/>
        <v/>
      </c>
      <c r="Z15" s="180"/>
      <c r="AB15" s="173"/>
      <c r="AD15" s="10" t="str">
        <f t="shared" si="3"/>
        <v/>
      </c>
      <c r="AE15" s="92" t="str">
        <f>+IF(OR($T$15="",X15="",X15="NO"),"",L15)</f>
        <v/>
      </c>
      <c r="AF15" s="92" t="str">
        <f>+IF(AE15="","",L15/$S$15)</f>
        <v/>
      </c>
      <c r="AG15" s="174">
        <f>0.3+B10</f>
        <v>1.3</v>
      </c>
      <c r="AH15" s="27" t="s">
        <v>932</v>
      </c>
    </row>
    <row r="16" spans="1:35" s="27" customFormat="1" ht="12.75" x14ac:dyDescent="0.2">
      <c r="A16" s="27" t="str">
        <f t="shared" si="4"/>
        <v/>
      </c>
      <c r="B16" s="38"/>
      <c r="C16" s="69"/>
      <c r="D16" s="69"/>
      <c r="E16" s="70"/>
      <c r="F16" s="70"/>
      <c r="G16" s="69"/>
      <c r="H16" s="71"/>
      <c r="I16" s="72"/>
      <c r="J16" s="73"/>
      <c r="K16" s="74"/>
      <c r="L16" s="75">
        <f t="shared" si="0"/>
        <v>0</v>
      </c>
      <c r="M16" s="175"/>
      <c r="N16" s="175"/>
      <c r="O16" s="176" t="str">
        <f t="shared" si="5"/>
        <v/>
      </c>
      <c r="P16" s="175"/>
      <c r="Q16" s="175"/>
      <c r="R16" s="177">
        <f t="shared" si="6"/>
        <v>0</v>
      </c>
      <c r="S16" s="178" t="str">
        <f t="shared" si="7"/>
        <v/>
      </c>
      <c r="T16" s="179" t="str">
        <f t="shared" si="1"/>
        <v/>
      </c>
      <c r="U16" s="72"/>
      <c r="V16" s="45"/>
      <c r="X16" s="37" t="str">
        <f t="shared" si="2"/>
        <v/>
      </c>
      <c r="Z16" s="181"/>
      <c r="AB16" s="173"/>
      <c r="AD16" s="10" t="str">
        <f t="shared" si="3"/>
        <v/>
      </c>
      <c r="AE16" s="92" t="str">
        <f>+IF(OR($T$16="",X16="",X16="NO"),"",L16)</f>
        <v/>
      </c>
      <c r="AF16" s="92" t="str">
        <f>+IF(AE16="","",L16/$S$16)</f>
        <v/>
      </c>
      <c r="AG16" s="174"/>
    </row>
    <row r="17" spans="1:34" s="27" customFormat="1" ht="12.75" x14ac:dyDescent="0.2">
      <c r="A17" s="27" t="str">
        <f t="shared" si="4"/>
        <v/>
      </c>
      <c r="B17" s="38"/>
      <c r="C17" s="69"/>
      <c r="D17" s="69"/>
      <c r="E17" s="70"/>
      <c r="F17" s="70"/>
      <c r="G17" s="69"/>
      <c r="H17" s="71"/>
      <c r="I17" s="72"/>
      <c r="J17" s="73"/>
      <c r="K17" s="74"/>
      <c r="L17" s="75">
        <f t="shared" si="0"/>
        <v>0</v>
      </c>
      <c r="M17" s="175"/>
      <c r="N17" s="175"/>
      <c r="O17" s="176" t="str">
        <f t="shared" si="5"/>
        <v/>
      </c>
      <c r="P17" s="175"/>
      <c r="Q17" s="175"/>
      <c r="R17" s="177">
        <f t="shared" si="6"/>
        <v>0</v>
      </c>
      <c r="S17" s="178" t="str">
        <f t="shared" si="7"/>
        <v/>
      </c>
      <c r="T17" s="179" t="str">
        <f t="shared" si="1"/>
        <v/>
      </c>
      <c r="U17" s="72"/>
      <c r="V17" s="45"/>
      <c r="X17" s="37" t="str">
        <f t="shared" si="2"/>
        <v/>
      </c>
      <c r="Z17" s="181"/>
      <c r="AB17" s="173"/>
      <c r="AD17" s="10" t="str">
        <f t="shared" si="3"/>
        <v/>
      </c>
      <c r="AE17" s="92" t="str">
        <f>+IF(OR($T$17="",X17="",X17="NO"),"",L17)</f>
        <v/>
      </c>
      <c r="AF17" s="92" t="str">
        <f>+IF(AE17="","",L17/$S$17)</f>
        <v/>
      </c>
      <c r="AG17" s="174"/>
    </row>
    <row r="18" spans="1:34" s="27" customFormat="1" ht="12.75" x14ac:dyDescent="0.2">
      <c r="A18" s="27" t="str">
        <f t="shared" si="4"/>
        <v/>
      </c>
      <c r="B18" s="38"/>
      <c r="C18" s="69"/>
      <c r="D18" s="69"/>
      <c r="E18" s="70"/>
      <c r="F18" s="70"/>
      <c r="G18" s="69"/>
      <c r="H18" s="71"/>
      <c r="I18" s="72"/>
      <c r="J18" s="73"/>
      <c r="K18" s="74"/>
      <c r="L18" s="75">
        <f t="shared" si="0"/>
        <v>0</v>
      </c>
      <c r="M18" s="175"/>
      <c r="N18" s="175"/>
      <c r="O18" s="176" t="str">
        <f t="shared" si="5"/>
        <v/>
      </c>
      <c r="P18" s="175"/>
      <c r="Q18" s="175"/>
      <c r="R18" s="177">
        <f t="shared" si="6"/>
        <v>0</v>
      </c>
      <c r="S18" s="178" t="str">
        <f t="shared" si="7"/>
        <v/>
      </c>
      <c r="T18" s="179" t="str">
        <f t="shared" si="1"/>
        <v/>
      </c>
      <c r="U18" s="72"/>
      <c r="V18" s="45"/>
      <c r="X18" s="37" t="str">
        <f t="shared" si="2"/>
        <v/>
      </c>
      <c r="Z18" s="181"/>
      <c r="AB18" s="173"/>
      <c r="AD18" s="10" t="str">
        <f t="shared" si="3"/>
        <v/>
      </c>
      <c r="AE18" s="92" t="str">
        <f>+IF(OR($T$18="",X18="",X18="NO"),"",L18)</f>
        <v/>
      </c>
      <c r="AF18" s="92" t="str">
        <f>+IF(AE18="","",L18/$S$18)</f>
        <v/>
      </c>
      <c r="AG18" s="174"/>
    </row>
    <row r="19" spans="1:34" s="27" customFormat="1" ht="12.75" x14ac:dyDescent="0.2">
      <c r="A19" s="27" t="str">
        <f t="shared" si="4"/>
        <v/>
      </c>
      <c r="B19" s="38"/>
      <c r="C19" s="69"/>
      <c r="D19" s="69"/>
      <c r="E19" s="70"/>
      <c r="F19" s="70"/>
      <c r="G19" s="69"/>
      <c r="H19" s="71"/>
      <c r="I19" s="72"/>
      <c r="J19" s="73"/>
      <c r="K19" s="74"/>
      <c r="L19" s="75">
        <f t="shared" si="0"/>
        <v>0</v>
      </c>
      <c r="M19" s="175"/>
      <c r="N19" s="175"/>
      <c r="O19" s="176" t="str">
        <f t="shared" si="5"/>
        <v/>
      </c>
      <c r="P19" s="175"/>
      <c r="Q19" s="175"/>
      <c r="R19" s="177">
        <f t="shared" si="6"/>
        <v>0</v>
      </c>
      <c r="S19" s="178" t="str">
        <f t="shared" si="7"/>
        <v/>
      </c>
      <c r="T19" s="179" t="str">
        <f t="shared" si="1"/>
        <v/>
      </c>
      <c r="U19" s="72"/>
      <c r="V19" s="45"/>
      <c r="X19" s="37" t="str">
        <f t="shared" si="2"/>
        <v/>
      </c>
      <c r="Z19" s="181"/>
      <c r="AB19" s="173"/>
      <c r="AD19" s="10" t="str">
        <f t="shared" si="3"/>
        <v/>
      </c>
      <c r="AE19" s="92" t="str">
        <f>+IF(OR($T$19="",X19="",X19="NO"),"",L19)</f>
        <v/>
      </c>
      <c r="AF19" s="92" t="str">
        <f>+IF(AE19="","",L19/$S$19)</f>
        <v/>
      </c>
      <c r="AG19" s="174"/>
    </row>
    <row r="20" spans="1:34" s="27" customFormat="1" ht="12.75" x14ac:dyDescent="0.2">
      <c r="A20" s="27" t="str">
        <f t="shared" si="4"/>
        <v/>
      </c>
      <c r="B20" s="38"/>
      <c r="C20" s="69"/>
      <c r="D20" s="69"/>
      <c r="E20" s="70"/>
      <c r="F20" s="70"/>
      <c r="G20" s="69"/>
      <c r="H20" s="71"/>
      <c r="I20" s="72"/>
      <c r="J20" s="73"/>
      <c r="K20" s="74"/>
      <c r="L20" s="75">
        <f t="shared" si="0"/>
        <v>0</v>
      </c>
      <c r="M20" s="175"/>
      <c r="N20" s="175"/>
      <c r="O20" s="176" t="str">
        <f t="shared" si="5"/>
        <v/>
      </c>
      <c r="P20" s="175"/>
      <c r="Q20" s="175"/>
      <c r="R20" s="177">
        <f t="shared" si="6"/>
        <v>0</v>
      </c>
      <c r="S20" s="178" t="str">
        <f t="shared" si="7"/>
        <v/>
      </c>
      <c r="T20" s="179" t="str">
        <f t="shared" si="1"/>
        <v/>
      </c>
      <c r="U20" s="72"/>
      <c r="V20" s="45"/>
      <c r="X20" s="37" t="str">
        <f t="shared" si="2"/>
        <v/>
      </c>
      <c r="Z20" s="181"/>
      <c r="AB20" s="173"/>
      <c r="AD20" s="10" t="str">
        <f t="shared" si="3"/>
        <v/>
      </c>
      <c r="AE20" s="92" t="str">
        <f>+IF(OR($T$20="",X20="",X20="NO"),"",L20)</f>
        <v/>
      </c>
      <c r="AF20" s="92" t="str">
        <f>+IF(AE20="","",L20/$S$20)</f>
        <v/>
      </c>
      <c r="AG20" s="174"/>
    </row>
    <row r="21" spans="1:34" s="27" customFormat="1" ht="12.75" x14ac:dyDescent="0.2">
      <c r="A21" s="27" t="str">
        <f t="shared" si="4"/>
        <v/>
      </c>
      <c r="B21" s="38"/>
      <c r="C21" s="69"/>
      <c r="D21" s="69"/>
      <c r="E21" s="70"/>
      <c r="F21" s="70"/>
      <c r="G21" s="69"/>
      <c r="H21" s="71"/>
      <c r="I21" s="72"/>
      <c r="J21" s="73"/>
      <c r="K21" s="74"/>
      <c r="L21" s="75">
        <f t="shared" si="0"/>
        <v>0</v>
      </c>
      <c r="M21" s="175"/>
      <c r="N21" s="175"/>
      <c r="O21" s="176" t="str">
        <f t="shared" si="5"/>
        <v/>
      </c>
      <c r="P21" s="175"/>
      <c r="Q21" s="175"/>
      <c r="R21" s="177">
        <f t="shared" si="6"/>
        <v>0</v>
      </c>
      <c r="S21" s="178" t="str">
        <f t="shared" si="7"/>
        <v/>
      </c>
      <c r="T21" s="179" t="str">
        <f t="shared" si="1"/>
        <v/>
      </c>
      <c r="U21" s="72"/>
      <c r="V21" s="45"/>
      <c r="X21" s="37" t="str">
        <f t="shared" si="2"/>
        <v/>
      </c>
      <c r="Z21" s="181"/>
      <c r="AB21" s="173"/>
      <c r="AD21" s="10" t="str">
        <f t="shared" si="3"/>
        <v/>
      </c>
      <c r="AE21" s="92" t="str">
        <f>+IF(OR($T$21="",X21="",X21="NO"),"",L21)</f>
        <v/>
      </c>
      <c r="AF21" s="92" t="str">
        <f>+IF(AE21="","",L21/$S$21)</f>
        <v/>
      </c>
      <c r="AG21" s="174"/>
    </row>
    <row r="22" spans="1:34" s="27" customFormat="1" ht="13.5" thickBot="1" x14ac:dyDescent="0.25">
      <c r="A22" s="27" t="str">
        <f t="shared" si="4"/>
        <v/>
      </c>
      <c r="B22" s="47"/>
      <c r="C22" s="76"/>
      <c r="D22" s="76"/>
      <c r="E22" s="77"/>
      <c r="F22" s="77"/>
      <c r="G22" s="76"/>
      <c r="H22" s="78"/>
      <c r="I22" s="79"/>
      <c r="J22" s="80"/>
      <c r="K22" s="81"/>
      <c r="L22" s="82">
        <f t="shared" si="0"/>
        <v>0</v>
      </c>
      <c r="M22" s="182"/>
      <c r="N22" s="182"/>
      <c r="O22" s="183" t="str">
        <f t="shared" si="5"/>
        <v/>
      </c>
      <c r="P22" s="182"/>
      <c r="Q22" s="182"/>
      <c r="R22" s="184">
        <f t="shared" si="6"/>
        <v>0</v>
      </c>
      <c r="S22" s="185" t="str">
        <f t="shared" si="7"/>
        <v/>
      </c>
      <c r="T22" s="186" t="str">
        <f t="shared" si="1"/>
        <v/>
      </c>
      <c r="U22" s="79"/>
      <c r="V22" s="54"/>
      <c r="X22" s="55" t="str">
        <f t="shared" si="2"/>
        <v/>
      </c>
      <c r="Z22" s="187"/>
      <c r="AB22" s="188"/>
      <c r="AD22" s="10" t="str">
        <f t="shared" si="3"/>
        <v/>
      </c>
      <c r="AE22" s="92" t="str">
        <f>+IF(OR($T$22="",X22="",X22="NO"),"",L22)</f>
        <v/>
      </c>
      <c r="AF22" s="92" t="str">
        <f>+IF(AE22="","",L22/$S$22)</f>
        <v/>
      </c>
    </row>
    <row r="23" spans="1:34" ht="36" customHeight="1" x14ac:dyDescent="0.2">
      <c r="B23" s="57" t="str">
        <f>"A"&amp;B10</f>
        <v>A1</v>
      </c>
      <c r="C23" s="382" t="s">
        <v>199</v>
      </c>
      <c r="D23" s="383"/>
      <c r="E23" s="383"/>
      <c r="F23" s="383"/>
      <c r="G23" s="383"/>
      <c r="H23" s="384"/>
      <c r="I23" s="151" t="str">
        <f>+IF(AG10="","",IF(AG10=1,"NA",IF(AND(AG10=3,(IF(COUNTIFS(C13:C22,AH13,AE13:AE22,"&gt;0")&gt;=1,1,0)+IF(COUNTIFS(C13:C22,AH14,AE13:AE22,"&gt;0")&gt;=1,1,0)+IF(COUNTIFS(C13:C22,AH15,AE13:AE22,"&gt;0")&gt;=1,1,0))&gt;=AG10),"SI",IF(AND(AG10=2,(IF(COUNTIFS(C13:C22,AH13,AE13:AE22,"&gt;0")&gt;=1,1,0)+IF(COUNTIFS(C13:C22,AH14,AE13:AE22,"&gt;0")&gt;=1,1,0))&gt;=AG10),"SI","NO"))))</f>
        <v>SI</v>
      </c>
      <c r="J23" s="59"/>
      <c r="K23" s="27"/>
      <c r="L23" s="27"/>
      <c r="M23" s="27"/>
      <c r="N23" s="27"/>
      <c r="O23" s="27"/>
      <c r="P23" s="385" t="s">
        <v>200</v>
      </c>
      <c r="Q23" s="386"/>
      <c r="R23" s="386"/>
      <c r="S23" s="386"/>
      <c r="T23" s="189">
        <f>ROUND(SUM(T13:T22),3)</f>
        <v>126.624</v>
      </c>
      <c r="U23" s="60"/>
      <c r="V23" s="1"/>
      <c r="W23" s="61"/>
      <c r="X23" s="61"/>
      <c r="Y23" s="61"/>
      <c r="Z23" s="61"/>
      <c r="AA23" s="61"/>
      <c r="AB23" s="61"/>
    </row>
    <row r="24" spans="1:34" ht="38.25" customHeight="1" thickBot="1" x14ac:dyDescent="0.25">
      <c r="B24" s="57" t="str">
        <f>"B"&amp;B10</f>
        <v>B1</v>
      </c>
      <c r="C24" s="387" t="str">
        <f>+CONCATENATE("En caso de proponente plural: ¿De la totalidad de los contratos aportados por el proponente plural, el valor ejecutado de uno de ellos deberá ser igual o superior al ",(B6*100),"%"," del P.O.?  (SI; NO; NA)")</f>
        <v>En caso de proponente plural: ¿De la totalidad de los contratos aportados por el proponente plural, el valor ejecutado de uno de ellos deberá ser igual o superior al 30% del P.O.?  (SI; NO; NA)</v>
      </c>
      <c r="D24" s="388"/>
      <c r="E24" s="388"/>
      <c r="F24" s="388"/>
      <c r="G24" s="389"/>
      <c r="H24" s="190">
        <f>+$H$6</f>
        <v>268.14722506074827</v>
      </c>
      <c r="I24" s="191" t="str">
        <f>+IF(AG10="","",IF(AG10=1,"NA",IF(AND(AG10&gt;1,(COUNTIFS(AD13:AD22,"SI",AE13:AE22,"&gt;0"))&gt;=1),"SI","NO")))</f>
        <v>SI</v>
      </c>
      <c r="J24" s="192"/>
      <c r="K24" s="193"/>
      <c r="L24" s="194"/>
      <c r="M24" s="194"/>
      <c r="N24" s="194"/>
      <c r="O24" s="194"/>
      <c r="P24" s="387" t="s">
        <v>201</v>
      </c>
      <c r="Q24" s="388"/>
      <c r="R24" s="388"/>
      <c r="S24" s="388"/>
      <c r="T24" s="195">
        <f t="array" ref="T24">IF(T23=0,0,ROUND(T23/(SUM(IF(FREQUENCY(A13:A22,A13:A22)&gt;0,1))),3))</f>
        <v>63.311999999999998</v>
      </c>
      <c r="U24" s="196"/>
      <c r="V24" s="1"/>
      <c r="W24" s="61"/>
      <c r="X24" s="61"/>
      <c r="Y24" s="61"/>
      <c r="Z24" s="61"/>
      <c r="AA24" s="61"/>
      <c r="AB24" s="61"/>
    </row>
    <row r="25" spans="1:34" ht="33" customHeight="1" thickBot="1" x14ac:dyDescent="0.25">
      <c r="B25" s="197" t="str">
        <f>"C"&amp;B10</f>
        <v>C1</v>
      </c>
      <c r="C25" s="349" t="s">
        <v>202</v>
      </c>
      <c r="D25" s="350"/>
      <c r="E25" s="350"/>
      <c r="F25" s="350"/>
      <c r="G25" s="350"/>
      <c r="H25" s="351"/>
      <c r="I25" s="198" t="str">
        <f>IF(C10="","",(IF(AND(COUNTIFS(X13:X22,"SI",Z13:Z22,"SI")&gt;=$Z$8,COUNTIFS(X13:X22,"SI",AB13:AB22,"SI")&gt;=$Z$8),"SI","NO")))</f>
        <v>SI</v>
      </c>
      <c r="J25" s="199"/>
      <c r="K25" s="200"/>
      <c r="L25" s="200"/>
      <c r="M25" s="200"/>
      <c r="N25" s="200"/>
      <c r="P25" s="378" t="s">
        <v>203</v>
      </c>
      <c r="Q25" s="379"/>
      <c r="R25" s="379"/>
      <c r="S25" s="380"/>
      <c r="T25" s="201">
        <f>IF(OR(C10="",'ASIGNACION DE PUNTAJES'!$C$5=""),"",VLOOKUP(B10,'ASIGNACION DE PUNTAJES'!$A$15:$G$69,7,FALSE))</f>
        <v>325.99700000000001</v>
      </c>
      <c r="V25" s="202"/>
    </row>
    <row r="26" spans="1:34" ht="9.75" customHeight="1" thickBot="1" x14ac:dyDescent="0.25">
      <c r="O26" s="20"/>
      <c r="P26" s="20"/>
      <c r="Q26" s="20"/>
      <c r="R26" s="20"/>
      <c r="S26" s="20"/>
      <c r="T26" s="20"/>
      <c r="V26" s="21"/>
    </row>
    <row r="27" spans="1:34" ht="36.75" customHeight="1" thickBot="1" x14ac:dyDescent="0.25">
      <c r="B27" s="23">
        <f>1+B10</f>
        <v>2</v>
      </c>
      <c r="C27" s="336" t="s">
        <v>886</v>
      </c>
      <c r="D27" s="337"/>
      <c r="E27" s="337"/>
      <c r="F27" s="337"/>
      <c r="G27" s="337"/>
      <c r="H27" s="337"/>
      <c r="I27" s="338"/>
      <c r="J27" s="24" t="str">
        <f>+IF(C27="","","INTEGRANTES")</f>
        <v>INTEGRANTES</v>
      </c>
      <c r="K27" s="339" t="s">
        <v>887</v>
      </c>
      <c r="L27" s="339"/>
      <c r="M27" s="339"/>
      <c r="N27" s="339"/>
      <c r="O27" s="339"/>
      <c r="P27" s="339"/>
      <c r="Q27" s="339"/>
      <c r="R27" s="396" t="str">
        <f>+$R$10</f>
        <v>PROPONENTE No.</v>
      </c>
      <c r="S27" s="397"/>
      <c r="T27" s="25">
        <f>+B27</f>
        <v>2</v>
      </c>
      <c r="U27" s="161" t="str">
        <f>+$U$10</f>
        <v>PFMP</v>
      </c>
      <c r="V27" s="162">
        <f>IF(T41="",0,T41)</f>
        <v>119.17700000000001</v>
      </c>
      <c r="X27" s="325" t="s">
        <v>168</v>
      </c>
      <c r="Z27" s="163" t="str">
        <f>+$Z$10</f>
        <v>EXP. ESPECÍFICA 
A:</v>
      </c>
      <c r="AB27" s="163" t="str">
        <f>+$AB$10</f>
        <v>EXP. ESPECÍFICA 
B:</v>
      </c>
      <c r="AG27" s="1">
        <v>2</v>
      </c>
    </row>
    <row r="28" spans="1:34" ht="42" customHeight="1" x14ac:dyDescent="0.2">
      <c r="B28" s="331" t="str">
        <f>+$B$11</f>
        <v>ITEM</v>
      </c>
      <c r="C28" s="318" t="str">
        <f>+$C$11</f>
        <v>PROPONENTE 
/ 
INTEGRANTE OFERENTE PLURAL</v>
      </c>
      <c r="D28" s="333" t="str">
        <f>+$D$11</f>
        <v>INFORMACIÓN DEL CONTRATO</v>
      </c>
      <c r="E28" s="334"/>
      <c r="F28" s="334"/>
      <c r="G28" s="335"/>
      <c r="H28" s="318" t="str">
        <f>+H11</f>
        <v>CONSECUTIVO RUP</v>
      </c>
      <c r="I28" s="318" t="str">
        <f>+$I$11</f>
        <v>¿SE ENCUENTRA INSCRITO EN EL RUP Y CUMPLE CÓDIGOS UNSPSC?</v>
      </c>
      <c r="J28" s="318" t="str">
        <f>+$J$11</f>
        <v xml:space="preserve">VALOR EN RUP (SMMLV) </v>
      </c>
      <c r="K28" s="318" t="str">
        <f>+$K$11</f>
        <v>% PARTIC en el RUP</v>
      </c>
      <c r="L28" s="318" t="str">
        <f>+$L$11</f>
        <v>VALOR DEL CONTRATO TERMINADO (SMMLV) en el   RUP</v>
      </c>
      <c r="M28" s="318" t="str">
        <f>+$M$11</f>
        <v>FECHA DE INICIO</v>
      </c>
      <c r="N28" s="318" t="str">
        <f>+$N$11</f>
        <v>FECHA DE TERMINACION</v>
      </c>
      <c r="O28" s="318" t="str">
        <f>+$O$11</f>
        <v>PLAZO CONTRA-TO (Meses)</v>
      </c>
      <c r="P28" s="390" t="str">
        <f>+$P$11</f>
        <v>Tsusp i</v>
      </c>
      <c r="Q28" s="391"/>
      <c r="R28" s="392"/>
      <c r="S28" s="318" t="str">
        <f>+$S$11</f>
        <v>PLAZO i REAL</v>
      </c>
      <c r="T28" s="318" t="str">
        <f>+$T$11</f>
        <v>FACTURA-CION MENSUAL PROPO-NENTE</v>
      </c>
      <c r="U28" s="318" t="str">
        <f>+$U$11</f>
        <v>VALIDACIÓN DE LA EXPERIENCIA GENERAL
(SI/NO)</v>
      </c>
      <c r="V28" s="393" t="str">
        <f>+$V$11</f>
        <v>OBSERVACIONES</v>
      </c>
      <c r="W28" s="164"/>
      <c r="X28" s="326"/>
      <c r="Z28" s="381" t="str">
        <f>+$Z$11</f>
        <v>Interventoria a la ejecución de obras relacionadas con Colocación de capas granulares (tales como bases y/o sub-bases granulares).</v>
      </c>
      <c r="AB28" s="381" t="str">
        <f>+$AB$11</f>
        <v>Interventoria a la Ejecución de obras de subdrenaje y/o drenaje, en carreteras.</v>
      </c>
    </row>
    <row r="29" spans="1:34" ht="38.25" customHeight="1" thickBot="1" x14ac:dyDescent="0.25">
      <c r="B29" s="332"/>
      <c r="C29" s="319"/>
      <c r="D29" s="26" t="str">
        <f>+$D$12</f>
        <v>ENTIDAD</v>
      </c>
      <c r="E29" s="26" t="str">
        <f>+$E$12</f>
        <v>No. DE CONTRATO</v>
      </c>
      <c r="F29" s="26" t="str">
        <f>+$F$12</f>
        <v>OBJETO</v>
      </c>
      <c r="G29" s="26" t="str">
        <f>+$G$12</f>
        <v>CONTRATISTA</v>
      </c>
      <c r="H29" s="319"/>
      <c r="I29" s="319"/>
      <c r="J29" s="319"/>
      <c r="K29" s="319"/>
      <c r="L29" s="319"/>
      <c r="M29" s="319"/>
      <c r="N29" s="319"/>
      <c r="O29" s="319"/>
      <c r="P29" s="203" t="str">
        <f>+P12</f>
        <v>Finicsuspi</v>
      </c>
      <c r="Q29" s="203" t="str">
        <f>+Q12</f>
        <v xml:space="preserve"> Ftermsuspi </v>
      </c>
      <c r="R29" s="203" t="str">
        <f>+R12</f>
        <v>Tsusp i (meses)</v>
      </c>
      <c r="S29" s="319"/>
      <c r="T29" s="319"/>
      <c r="U29" s="319"/>
      <c r="V29" s="400"/>
      <c r="X29" s="327"/>
      <c r="Z29" s="381"/>
      <c r="AB29" s="381"/>
    </row>
    <row r="30" spans="1:34" s="27" customFormat="1" ht="85.5" customHeight="1" x14ac:dyDescent="0.2">
      <c r="A30" s="27">
        <f>+IF(T30="","",B30)</f>
        <v>1</v>
      </c>
      <c r="B30" s="28">
        <v>1</v>
      </c>
      <c r="C30" s="86" t="s">
        <v>204</v>
      </c>
      <c r="D30" s="86" t="s">
        <v>205</v>
      </c>
      <c r="E30" s="87" t="s">
        <v>206</v>
      </c>
      <c r="F30" s="87" t="s">
        <v>207</v>
      </c>
      <c r="G30" s="86" t="s">
        <v>208</v>
      </c>
      <c r="H30" s="30">
        <v>13</v>
      </c>
      <c r="I30" s="31" t="s">
        <v>16</v>
      </c>
      <c r="J30" s="32">
        <v>3324.8</v>
      </c>
      <c r="K30" s="33">
        <v>1</v>
      </c>
      <c r="L30" s="34">
        <f>IF(OR(H30="",I30&lt;&gt;"SI",I30="NO",J30="",J30=0,K30="",K30=0,X30&lt;&gt;"SI"),0,J30*K30)</f>
        <v>3324.8</v>
      </c>
      <c r="M30" s="204">
        <v>37120</v>
      </c>
      <c r="N30" s="204">
        <v>37946</v>
      </c>
      <c r="O30" s="169">
        <f>IF(OR(H30="",I30&lt;&gt;"SI",I30="NO",J30="",J30=0,K30="",K30=0,,M30="",N30=""),"",ROUND((((N30-M30)+1)/30),3))</f>
        <v>27.567</v>
      </c>
      <c r="P30" s="204"/>
      <c r="Q30" s="204"/>
      <c r="R30" s="170">
        <f>IF(OR((Q30-P30)=0,P30="",Q30=""),0,(ROUND((((Q30-P30)+1)/30),3)))</f>
        <v>0</v>
      </c>
      <c r="S30" s="171">
        <f>IF(O30="","",ROUND(SUM(O30)-SUM(R30),3))</f>
        <v>27.567</v>
      </c>
      <c r="T30" s="172">
        <f>+IF(C30="","",IF(OR(S30="",S30&lt;=0,I30="",I30="NO",U30="",U30="NO",X30="NO"),"",ROUND(SUM(L30)/S30,3)))</f>
        <v>120.608</v>
      </c>
      <c r="U30" s="35" t="s">
        <v>16</v>
      </c>
      <c r="V30" s="36"/>
      <c r="W30" s="205"/>
      <c r="X30" s="37" t="str">
        <f t="shared" ref="X30:X39" si="8">+IF(C30="","",IF(AND(H30&lt;&gt;"",I30="SI",J30&lt;&gt;"",J30&gt;0,K30&lt;&gt;"",K30&gt;0,S30&lt;&gt;"",S30&gt;0,U30="SI"),"SI","NO"))</f>
        <v>SI</v>
      </c>
      <c r="Z30" s="173" t="s">
        <v>16</v>
      </c>
      <c r="AB30" s="173" t="s">
        <v>16</v>
      </c>
      <c r="AD30" s="10" t="str">
        <f t="shared" ref="AD30:AD39" si="9">+IF($C$27="","",IF(C30="","",IF(L30&gt;=$H$6,"SI","NO")))</f>
        <v>SI</v>
      </c>
      <c r="AE30" s="92">
        <f>+IF(OR($T$30="",X30="",X30="NO"),"",L30)</f>
        <v>3324.8</v>
      </c>
      <c r="AF30" s="92">
        <f>+IF(AE30="","",L30/$S$30)</f>
        <v>120.60797330141111</v>
      </c>
      <c r="AG30" s="174">
        <f>0.1+B27</f>
        <v>2.1</v>
      </c>
      <c r="AH30" s="27" t="s">
        <v>204</v>
      </c>
    </row>
    <row r="31" spans="1:34" s="27" customFormat="1" ht="99" customHeight="1" x14ac:dyDescent="0.2">
      <c r="A31" s="27">
        <f t="shared" ref="A31:A39" si="10">+IF(T31="","",B31)</f>
        <v>2</v>
      </c>
      <c r="B31" s="38">
        <v>2</v>
      </c>
      <c r="C31" s="39" t="s">
        <v>204</v>
      </c>
      <c r="D31" s="39" t="s">
        <v>209</v>
      </c>
      <c r="E31" s="46" t="s">
        <v>206</v>
      </c>
      <c r="F31" s="46" t="s">
        <v>210</v>
      </c>
      <c r="G31" s="39" t="s">
        <v>208</v>
      </c>
      <c r="H31" s="40">
        <v>26</v>
      </c>
      <c r="I31" s="41" t="s">
        <v>16</v>
      </c>
      <c r="J31" s="42">
        <v>203.45</v>
      </c>
      <c r="K31" s="43">
        <v>1</v>
      </c>
      <c r="L31" s="44">
        <f t="shared" ref="L31:L39" si="11">IF(OR(H31="",I31&lt;&gt;"SI",I31="NO",J31="",J31=0,K31="",K31=0,X31&lt;&gt;"SI"),0,J31*K31)</f>
        <v>203.45</v>
      </c>
      <c r="M31" s="206">
        <v>40833</v>
      </c>
      <c r="N31" s="206">
        <v>40901</v>
      </c>
      <c r="O31" s="207">
        <f t="shared" ref="O31:O39" si="12">IF(OR(H31="",I31&lt;&gt;"SI",I31="NO",J31="",J31=0,K31="",K31=0,,M31="",N31=""),"",ROUND((((N31-M31)+1)/30),3))</f>
        <v>2.2999999999999998</v>
      </c>
      <c r="P31" s="206"/>
      <c r="Q31" s="206"/>
      <c r="R31" s="177">
        <f t="shared" ref="R31:R39" si="13">IF(OR((Q31-P31)=0,P31="",Q31=""),0,(ROUND((((Q31-P31)+1)/30),3)))</f>
        <v>0</v>
      </c>
      <c r="S31" s="178">
        <f t="shared" ref="S31:S39" si="14">IF(O31="","",ROUND(SUM(O31)-SUM(R31),3))</f>
        <v>2.2999999999999998</v>
      </c>
      <c r="T31" s="208">
        <f t="shared" ref="T31:T39" si="15">+IF(C31="","",IF(OR(S31="",S31&lt;=0,I31="",I31="NO",U31="",U31="NO",X31="NO"),"",ROUND(SUM(L31)/S31,3)))</f>
        <v>88.456999999999994</v>
      </c>
      <c r="U31" s="41" t="s">
        <v>16</v>
      </c>
      <c r="V31" s="209"/>
      <c r="W31" s="205"/>
      <c r="X31" s="37" t="str">
        <f t="shared" si="8"/>
        <v>SI</v>
      </c>
      <c r="Z31" s="173" t="s">
        <v>211</v>
      </c>
      <c r="AB31" s="173" t="s">
        <v>211</v>
      </c>
      <c r="AD31" s="10" t="str">
        <f t="shared" si="9"/>
        <v>NO</v>
      </c>
      <c r="AE31" s="92">
        <f>+IF(OR($T$31="",X31="",X31="NO"),"",L31)</f>
        <v>203.45</v>
      </c>
      <c r="AF31" s="92">
        <f>+IF(AE31="","",L31/$S$31)</f>
        <v>88.456521739130437</v>
      </c>
      <c r="AG31" s="174">
        <f>0.2+B27</f>
        <v>2.2000000000000002</v>
      </c>
      <c r="AH31" s="27" t="s">
        <v>19</v>
      </c>
    </row>
    <row r="32" spans="1:34" s="27" customFormat="1" ht="119.25" customHeight="1" x14ac:dyDescent="0.2">
      <c r="A32" s="27">
        <f t="shared" si="10"/>
        <v>3</v>
      </c>
      <c r="B32" s="38">
        <v>3</v>
      </c>
      <c r="C32" s="39" t="s">
        <v>19</v>
      </c>
      <c r="D32" s="39" t="s">
        <v>20</v>
      </c>
      <c r="E32" s="46" t="s">
        <v>212</v>
      </c>
      <c r="F32" s="46" t="s">
        <v>213</v>
      </c>
      <c r="G32" s="39" t="s">
        <v>214</v>
      </c>
      <c r="H32" s="40">
        <v>13</v>
      </c>
      <c r="I32" s="41" t="s">
        <v>16</v>
      </c>
      <c r="J32" s="42">
        <v>2805.99</v>
      </c>
      <c r="K32" s="43">
        <v>1</v>
      </c>
      <c r="L32" s="44">
        <f t="shared" si="11"/>
        <v>2805.99</v>
      </c>
      <c r="M32" s="206">
        <v>41683</v>
      </c>
      <c r="N32" s="206">
        <v>42249</v>
      </c>
      <c r="O32" s="207">
        <f t="shared" si="12"/>
        <v>18.899999999999999</v>
      </c>
      <c r="P32" s="206"/>
      <c r="Q32" s="206"/>
      <c r="R32" s="177">
        <f t="shared" si="13"/>
        <v>0</v>
      </c>
      <c r="S32" s="178">
        <f t="shared" si="14"/>
        <v>18.899999999999999</v>
      </c>
      <c r="T32" s="208">
        <f t="shared" si="15"/>
        <v>148.465</v>
      </c>
      <c r="U32" s="41" t="s">
        <v>16</v>
      </c>
      <c r="V32" s="45"/>
      <c r="W32" s="205"/>
      <c r="X32" s="37" t="str">
        <f t="shared" si="8"/>
        <v>SI</v>
      </c>
      <c r="Z32" s="173" t="s">
        <v>16</v>
      </c>
      <c r="AB32" s="173" t="s">
        <v>16</v>
      </c>
      <c r="AD32" s="10" t="str">
        <f t="shared" si="9"/>
        <v>SI</v>
      </c>
      <c r="AE32" s="92">
        <f>+IF(OR($T$31="",X32="",X32="NO"),"",L32)</f>
        <v>2805.99</v>
      </c>
      <c r="AF32" s="92">
        <f>+IF(AE32="","",L32/$S$31)</f>
        <v>1219.995652173913</v>
      </c>
      <c r="AG32" s="174">
        <f>0.3+B27</f>
        <v>2.2999999999999998</v>
      </c>
      <c r="AH32" s="27" t="s">
        <v>932</v>
      </c>
    </row>
    <row r="33" spans="1:34" s="27" customFormat="1" ht="12.75" x14ac:dyDescent="0.2">
      <c r="A33" s="27" t="str">
        <f t="shared" si="10"/>
        <v/>
      </c>
      <c r="B33" s="38"/>
      <c r="C33" s="39"/>
      <c r="D33" s="39"/>
      <c r="E33" s="46"/>
      <c r="F33" s="46"/>
      <c r="G33" s="39"/>
      <c r="H33" s="40"/>
      <c r="I33" s="41"/>
      <c r="J33" s="42"/>
      <c r="K33" s="43"/>
      <c r="L33" s="44">
        <f t="shared" si="11"/>
        <v>0</v>
      </c>
      <c r="M33" s="206"/>
      <c r="N33" s="206"/>
      <c r="O33" s="207" t="str">
        <f t="shared" si="12"/>
        <v/>
      </c>
      <c r="P33" s="206"/>
      <c r="Q33" s="206"/>
      <c r="R33" s="177">
        <f t="shared" si="13"/>
        <v>0</v>
      </c>
      <c r="S33" s="178" t="str">
        <f t="shared" si="14"/>
        <v/>
      </c>
      <c r="T33" s="208" t="str">
        <f t="shared" si="15"/>
        <v/>
      </c>
      <c r="U33" s="41"/>
      <c r="V33" s="45"/>
      <c r="W33" s="210"/>
      <c r="X33" s="37" t="str">
        <f t="shared" si="8"/>
        <v/>
      </c>
      <c r="Z33" s="180"/>
      <c r="AB33" s="173"/>
      <c r="AD33" s="10" t="str">
        <f t="shared" si="9"/>
        <v/>
      </c>
      <c r="AE33" s="92" t="str">
        <f>+IF(OR($T$33="",X33="",X33="NO"),"",L33)</f>
        <v/>
      </c>
      <c r="AF33" s="92" t="str">
        <f>+IF(AE33="","",L33/$S$33)</f>
        <v/>
      </c>
      <c r="AG33" s="174"/>
    </row>
    <row r="34" spans="1:34" s="27" customFormat="1" ht="12.75" x14ac:dyDescent="0.2">
      <c r="A34" s="27" t="str">
        <f t="shared" si="10"/>
        <v/>
      </c>
      <c r="B34" s="38"/>
      <c r="C34" s="39"/>
      <c r="D34" s="39"/>
      <c r="E34" s="46"/>
      <c r="F34" s="46"/>
      <c r="G34" s="39"/>
      <c r="H34" s="40"/>
      <c r="I34" s="41"/>
      <c r="J34" s="42"/>
      <c r="K34" s="43"/>
      <c r="L34" s="44">
        <f t="shared" si="11"/>
        <v>0</v>
      </c>
      <c r="M34" s="206"/>
      <c r="N34" s="206"/>
      <c r="O34" s="207" t="str">
        <f t="shared" si="12"/>
        <v/>
      </c>
      <c r="P34" s="206"/>
      <c r="Q34" s="206"/>
      <c r="R34" s="177">
        <f t="shared" si="13"/>
        <v>0</v>
      </c>
      <c r="S34" s="178" t="str">
        <f t="shared" si="14"/>
        <v/>
      </c>
      <c r="T34" s="208" t="str">
        <f t="shared" si="15"/>
        <v/>
      </c>
      <c r="U34" s="41"/>
      <c r="V34" s="45"/>
      <c r="X34" s="37" t="str">
        <f t="shared" si="8"/>
        <v/>
      </c>
      <c r="Z34" s="181"/>
      <c r="AB34" s="173"/>
      <c r="AD34" s="10" t="str">
        <f t="shared" si="9"/>
        <v/>
      </c>
      <c r="AE34" s="92" t="str">
        <f>+IF(OR($T$34="",X34="",X34="NO"),"",L34)</f>
        <v/>
      </c>
      <c r="AF34" s="92" t="str">
        <f>+IF(AE34="","",L34/$S$34)</f>
        <v/>
      </c>
      <c r="AG34" s="174"/>
    </row>
    <row r="35" spans="1:34" s="27" customFormat="1" ht="12.75" x14ac:dyDescent="0.2">
      <c r="A35" s="27" t="str">
        <f t="shared" si="10"/>
        <v/>
      </c>
      <c r="B35" s="38"/>
      <c r="C35" s="39"/>
      <c r="D35" s="39"/>
      <c r="E35" s="46"/>
      <c r="F35" s="46"/>
      <c r="G35" s="39"/>
      <c r="H35" s="40"/>
      <c r="I35" s="41"/>
      <c r="J35" s="42"/>
      <c r="K35" s="43"/>
      <c r="L35" s="44">
        <f t="shared" si="11"/>
        <v>0</v>
      </c>
      <c r="M35" s="206"/>
      <c r="N35" s="206"/>
      <c r="O35" s="207" t="str">
        <f t="shared" si="12"/>
        <v/>
      </c>
      <c r="P35" s="206"/>
      <c r="Q35" s="206"/>
      <c r="R35" s="177">
        <f t="shared" si="13"/>
        <v>0</v>
      </c>
      <c r="S35" s="178" t="str">
        <f t="shared" si="14"/>
        <v/>
      </c>
      <c r="T35" s="208" t="str">
        <f t="shared" si="15"/>
        <v/>
      </c>
      <c r="U35" s="41"/>
      <c r="V35" s="45"/>
      <c r="X35" s="37" t="str">
        <f t="shared" si="8"/>
        <v/>
      </c>
      <c r="Z35" s="181"/>
      <c r="AB35" s="173"/>
      <c r="AD35" s="10" t="str">
        <f t="shared" si="9"/>
        <v/>
      </c>
      <c r="AE35" s="92" t="str">
        <f>+IF(OR($T$35="",X35="",X35="NO"),"",L35)</f>
        <v/>
      </c>
      <c r="AF35" s="92" t="str">
        <f>+IF(AE35="","",L35/$S$35)</f>
        <v/>
      </c>
      <c r="AG35" s="174"/>
    </row>
    <row r="36" spans="1:34" s="27" customFormat="1" ht="12.75" x14ac:dyDescent="0.2">
      <c r="A36" s="27" t="str">
        <f t="shared" si="10"/>
        <v/>
      </c>
      <c r="B36" s="38"/>
      <c r="C36" s="39"/>
      <c r="D36" s="39"/>
      <c r="E36" s="46"/>
      <c r="F36" s="46"/>
      <c r="G36" s="39"/>
      <c r="H36" s="40"/>
      <c r="I36" s="41"/>
      <c r="J36" s="42"/>
      <c r="K36" s="43"/>
      <c r="L36" s="44">
        <f t="shared" si="11"/>
        <v>0</v>
      </c>
      <c r="M36" s="206"/>
      <c r="N36" s="206"/>
      <c r="O36" s="207" t="str">
        <f t="shared" si="12"/>
        <v/>
      </c>
      <c r="P36" s="206"/>
      <c r="Q36" s="206"/>
      <c r="R36" s="177">
        <f t="shared" si="13"/>
        <v>0</v>
      </c>
      <c r="S36" s="178" t="str">
        <f t="shared" si="14"/>
        <v/>
      </c>
      <c r="T36" s="208" t="str">
        <f t="shared" si="15"/>
        <v/>
      </c>
      <c r="U36" s="41"/>
      <c r="V36" s="45"/>
      <c r="X36" s="37" t="str">
        <f t="shared" si="8"/>
        <v/>
      </c>
      <c r="Z36" s="181"/>
      <c r="AB36" s="173"/>
      <c r="AD36" s="10" t="str">
        <f t="shared" si="9"/>
        <v/>
      </c>
      <c r="AE36" s="92" t="str">
        <f>+IF(OR($T$36="",X36="",X36="NO"),"",L36)</f>
        <v/>
      </c>
      <c r="AF36" s="92" t="str">
        <f>+IF(AE36="","",L36/$S$36)</f>
        <v/>
      </c>
      <c r="AG36" s="174"/>
    </row>
    <row r="37" spans="1:34" s="27" customFormat="1" ht="12.75" x14ac:dyDescent="0.2">
      <c r="A37" s="27" t="str">
        <f t="shared" si="10"/>
        <v/>
      </c>
      <c r="B37" s="38"/>
      <c r="C37" s="39"/>
      <c r="D37" s="39"/>
      <c r="E37" s="46"/>
      <c r="F37" s="46"/>
      <c r="G37" s="39"/>
      <c r="H37" s="40"/>
      <c r="I37" s="41"/>
      <c r="J37" s="42"/>
      <c r="K37" s="43"/>
      <c r="L37" s="44">
        <f t="shared" si="11"/>
        <v>0</v>
      </c>
      <c r="M37" s="206"/>
      <c r="N37" s="206"/>
      <c r="O37" s="207" t="str">
        <f t="shared" si="12"/>
        <v/>
      </c>
      <c r="P37" s="206"/>
      <c r="Q37" s="206"/>
      <c r="R37" s="177">
        <f t="shared" si="13"/>
        <v>0</v>
      </c>
      <c r="S37" s="178" t="str">
        <f t="shared" si="14"/>
        <v/>
      </c>
      <c r="T37" s="208" t="str">
        <f t="shared" si="15"/>
        <v/>
      </c>
      <c r="U37" s="41"/>
      <c r="V37" s="45"/>
      <c r="X37" s="37" t="str">
        <f t="shared" si="8"/>
        <v/>
      </c>
      <c r="Z37" s="181"/>
      <c r="AB37" s="173"/>
      <c r="AD37" s="10" t="str">
        <f t="shared" si="9"/>
        <v/>
      </c>
      <c r="AE37" s="92" t="str">
        <f>+IF(OR($T$37="",X37="",X37="NO"),"",L37)</f>
        <v/>
      </c>
      <c r="AF37" s="92" t="str">
        <f>+IF(AE37="","",L37/$S$37)</f>
        <v/>
      </c>
      <c r="AG37" s="174"/>
    </row>
    <row r="38" spans="1:34" s="27" customFormat="1" ht="12.75" x14ac:dyDescent="0.2">
      <c r="A38" s="27" t="str">
        <f t="shared" si="10"/>
        <v/>
      </c>
      <c r="B38" s="38"/>
      <c r="C38" s="39"/>
      <c r="D38" s="39"/>
      <c r="E38" s="46"/>
      <c r="F38" s="46"/>
      <c r="G38" s="39"/>
      <c r="H38" s="40"/>
      <c r="I38" s="41"/>
      <c r="J38" s="42"/>
      <c r="K38" s="43"/>
      <c r="L38" s="44">
        <f t="shared" si="11"/>
        <v>0</v>
      </c>
      <c r="M38" s="206"/>
      <c r="N38" s="206"/>
      <c r="O38" s="207" t="str">
        <f t="shared" si="12"/>
        <v/>
      </c>
      <c r="P38" s="206"/>
      <c r="Q38" s="206"/>
      <c r="R38" s="177">
        <f t="shared" si="13"/>
        <v>0</v>
      </c>
      <c r="S38" s="178" t="str">
        <f t="shared" si="14"/>
        <v/>
      </c>
      <c r="T38" s="208" t="str">
        <f t="shared" si="15"/>
        <v/>
      </c>
      <c r="U38" s="41"/>
      <c r="V38" s="45"/>
      <c r="X38" s="37" t="str">
        <f t="shared" si="8"/>
        <v/>
      </c>
      <c r="Z38" s="181"/>
      <c r="AB38" s="173"/>
      <c r="AD38" s="10" t="str">
        <f t="shared" si="9"/>
        <v/>
      </c>
      <c r="AE38" s="92" t="str">
        <f>+IF(OR($T$38="",X38="",X38="NO"),"",L38)</f>
        <v/>
      </c>
      <c r="AF38" s="92" t="str">
        <f>+IF(AE38="","",L38/$S$38)</f>
        <v/>
      </c>
      <c r="AG38" s="174"/>
    </row>
    <row r="39" spans="1:34" s="27" customFormat="1" ht="13.5" thickBot="1" x14ac:dyDescent="0.25">
      <c r="A39" s="27" t="str">
        <f t="shared" si="10"/>
        <v/>
      </c>
      <c r="B39" s="47"/>
      <c r="C39" s="48"/>
      <c r="D39" s="48"/>
      <c r="E39" s="49"/>
      <c r="F39" s="49"/>
      <c r="G39" s="48"/>
      <c r="H39" s="50"/>
      <c r="I39" s="51"/>
      <c r="J39" s="14"/>
      <c r="K39" s="52"/>
      <c r="L39" s="53">
        <f t="shared" si="11"/>
        <v>0</v>
      </c>
      <c r="M39" s="211"/>
      <c r="N39" s="211"/>
      <c r="O39" s="212" t="str">
        <f t="shared" si="12"/>
        <v/>
      </c>
      <c r="P39" s="211"/>
      <c r="Q39" s="211"/>
      <c r="R39" s="184">
        <f t="shared" si="13"/>
        <v>0</v>
      </c>
      <c r="S39" s="185" t="str">
        <f t="shared" si="14"/>
        <v/>
      </c>
      <c r="T39" s="213" t="str">
        <f t="shared" si="15"/>
        <v/>
      </c>
      <c r="U39" s="51"/>
      <c r="V39" s="54"/>
      <c r="X39" s="55" t="str">
        <f t="shared" si="8"/>
        <v/>
      </c>
      <c r="Z39" s="187"/>
      <c r="AB39" s="188"/>
      <c r="AD39" s="10" t="str">
        <f t="shared" si="9"/>
        <v/>
      </c>
      <c r="AE39" s="92" t="str">
        <f>+IF(OR($T$39="",X39="",X39="NO"),"",L39)</f>
        <v/>
      </c>
      <c r="AF39" s="92" t="str">
        <f>+IF(AE39="","",L39/$S$39)</f>
        <v/>
      </c>
    </row>
    <row r="40" spans="1:34" ht="36" customHeight="1" x14ac:dyDescent="0.2">
      <c r="B40" s="57" t="str">
        <f>"A"&amp;B27</f>
        <v>A2</v>
      </c>
      <c r="C40" s="382" t="str">
        <f>+$C$23</f>
        <v>¿CADA INTEGRANTE DE PROPONENTE PLURAL APORTAN CONTRATO?  (SI; NO; NA)</v>
      </c>
      <c r="D40" s="383"/>
      <c r="E40" s="383"/>
      <c r="F40" s="383"/>
      <c r="G40" s="383"/>
      <c r="H40" s="384"/>
      <c r="I40" s="151" t="str">
        <f>+IF(AG27="","",IF(AG27=1,"NA",IF(AND(AG27=3,(IF(COUNTIFS(C30:C39,AH30,AE30:AE39,"&gt;0")&gt;=1,1,0)+IF(COUNTIFS(C30:C39,AH31,AE30:AE39,"&gt;0")&gt;=1,1,0)+IF(COUNTIFS(C30:C39,AH33,AE30:AE39,"&gt;0")&gt;=1,1,0))&gt;=AG27),"SI",IF(AND(AG27=2,(IF(COUNTIFS(C30:C39,AH30,AE30:AE39,"&gt;0")&gt;=1,1,0)+IF(COUNTIFS(C30:C39,AH31,AE30:AE39,"&gt;0")&gt;=1,1,0))&gt;=AG27),"SI","NO"))))</f>
        <v>SI</v>
      </c>
      <c r="J40" s="59"/>
      <c r="K40" s="27"/>
      <c r="L40" s="27"/>
      <c r="M40" s="27"/>
      <c r="N40" s="27"/>
      <c r="O40" s="27"/>
      <c r="P40" s="385" t="str">
        <f>+$P$23</f>
        <v>FACTURACION MENSUAL TOTAL</v>
      </c>
      <c r="Q40" s="386"/>
      <c r="R40" s="386"/>
      <c r="S40" s="386"/>
      <c r="T40" s="189">
        <f>ROUND(SUM(T30:T39),3)</f>
        <v>357.53</v>
      </c>
      <c r="U40" s="60"/>
      <c r="V40" s="1"/>
      <c r="W40" s="61"/>
      <c r="X40" s="61"/>
      <c r="Y40" s="61"/>
      <c r="Z40" s="61"/>
      <c r="AA40" s="61"/>
      <c r="AB40" s="61"/>
    </row>
    <row r="41" spans="1:34" ht="38.25" customHeight="1" thickBot="1" x14ac:dyDescent="0.25">
      <c r="B41" s="57" t="str">
        <f>"B"&amp;B27</f>
        <v>B2</v>
      </c>
      <c r="C41" s="387" t="str">
        <f>+C24</f>
        <v>En caso de proponente plural: ¿De la totalidad de los contratos aportados por el proponente plural, el valor ejecutado de uno de ellos deberá ser igual o superior al 30% del P.O.?  (SI; NO; NA)</v>
      </c>
      <c r="D41" s="388"/>
      <c r="E41" s="388"/>
      <c r="F41" s="388"/>
      <c r="G41" s="389"/>
      <c r="H41" s="190">
        <f>+$H$6</f>
        <v>268.14722506074827</v>
      </c>
      <c r="I41" s="191" t="str">
        <f>+IF(AG27="","",IF(AG27=1,"NA",IF(AND(AG27&gt;1,(COUNTIFS(AD30:AD39,"SI",AE30:AE39,"&gt;0"))&gt;=1),"SI","NO")))</f>
        <v>SI</v>
      </c>
      <c r="J41" s="192"/>
      <c r="K41" s="193"/>
      <c r="L41" s="194"/>
      <c r="M41" s="194"/>
      <c r="N41" s="194"/>
      <c r="O41" s="194"/>
      <c r="P41" s="387" t="str">
        <f>+$P$24</f>
        <v>PROMEDIO FACTURACIÓN MENSUAL DEL PROPONENTE (PFMP)</v>
      </c>
      <c r="Q41" s="388"/>
      <c r="R41" s="388"/>
      <c r="S41" s="388"/>
      <c r="T41" s="195">
        <f t="array" ref="T41">IF(T40=0,0,ROUND(T40/(SUM(IF(FREQUENCY(A30:A39,A30:A39)&gt;0,1))),3))</f>
        <v>119.17700000000001</v>
      </c>
      <c r="U41" s="214"/>
      <c r="V41" s="1"/>
      <c r="W41" s="61"/>
      <c r="X41" s="61"/>
      <c r="Y41" s="61"/>
      <c r="Z41" s="61"/>
      <c r="AA41" s="61"/>
      <c r="AB41" s="61"/>
    </row>
    <row r="42" spans="1:34" ht="21" customHeight="1" thickBot="1" x14ac:dyDescent="0.25">
      <c r="B42" s="197" t="str">
        <f>"C"&amp;B27</f>
        <v>C2</v>
      </c>
      <c r="C42" s="349" t="str">
        <f>+$C$25</f>
        <v>PROPONENTE CUMPLE CON LAS ACTIVIDADES a) y b)? (SI; NO)</v>
      </c>
      <c r="D42" s="350"/>
      <c r="E42" s="350"/>
      <c r="F42" s="350"/>
      <c r="G42" s="350"/>
      <c r="H42" s="351"/>
      <c r="I42" s="198" t="str">
        <f>IF(C27="","",(IF(AND(COUNTIFS(X30:X39,"SI",Z30:Z39,"SI")&gt;=$Z$8,COUNTIFS(X30:X39,"SI",AB30:AB39,"SI")&gt;=$Z$8),"SI","NO")))</f>
        <v>SI</v>
      </c>
      <c r="J42" s="199"/>
      <c r="K42" s="200"/>
      <c r="L42" s="200"/>
      <c r="M42" s="200"/>
      <c r="N42" s="200"/>
      <c r="P42" s="378" t="str">
        <f>+$P$25</f>
        <v>VALOR PUNTAJE POR EXPERIENCIA DEL PROPONENTE</v>
      </c>
      <c r="Q42" s="379"/>
      <c r="R42" s="379"/>
      <c r="S42" s="380"/>
      <c r="T42" s="201" t="str">
        <f>IF(OR(C27="",'ASIGNACION DE PUNTAJES'!$C$5=""),"",VLOOKUP(B27,'ASIGNACION DE PUNTAJES'!$A$15:$G$69,7,FALSE))</f>
        <v/>
      </c>
      <c r="V42" s="202"/>
    </row>
    <row r="43" spans="1:34" ht="9.75" customHeight="1" thickBot="1" x14ac:dyDescent="0.25">
      <c r="M43" s="84"/>
      <c r="N43" s="84"/>
      <c r="O43" s="84"/>
      <c r="V43" s="21"/>
    </row>
    <row r="44" spans="1:34" ht="36.75" customHeight="1" thickBot="1" x14ac:dyDescent="0.25">
      <c r="B44" s="23">
        <f>1+B27</f>
        <v>3</v>
      </c>
      <c r="C44" s="336" t="s">
        <v>888</v>
      </c>
      <c r="D44" s="337"/>
      <c r="E44" s="337"/>
      <c r="F44" s="337"/>
      <c r="G44" s="337"/>
      <c r="H44" s="337"/>
      <c r="I44" s="338"/>
      <c r="J44" s="24" t="str">
        <f>+IF(C44="","","INTEGRANTES")</f>
        <v>INTEGRANTES</v>
      </c>
      <c r="K44" s="339" t="s">
        <v>889</v>
      </c>
      <c r="L44" s="339"/>
      <c r="M44" s="339"/>
      <c r="N44" s="339"/>
      <c r="O44" s="339"/>
      <c r="P44" s="339"/>
      <c r="Q44" s="339"/>
      <c r="R44" s="396" t="str">
        <f>+$R$10</f>
        <v>PROPONENTE No.</v>
      </c>
      <c r="S44" s="397"/>
      <c r="T44" s="25">
        <f>+B44</f>
        <v>3</v>
      </c>
      <c r="U44" s="161" t="str">
        <f>+$U$10</f>
        <v>PFMP</v>
      </c>
      <c r="V44" s="162">
        <f>IF(T58="",0,T58)</f>
        <v>119.366</v>
      </c>
      <c r="X44" s="325" t="s">
        <v>168</v>
      </c>
      <c r="Z44" s="163" t="str">
        <f>+$Z$10</f>
        <v>EXP. ESPECÍFICA 
A:</v>
      </c>
      <c r="AB44" s="163" t="str">
        <f>+$AB$10</f>
        <v>EXP. ESPECÍFICA 
B:</v>
      </c>
      <c r="AG44" s="1">
        <v>2</v>
      </c>
    </row>
    <row r="45" spans="1:34" ht="42" customHeight="1" x14ac:dyDescent="0.2">
      <c r="B45" s="331" t="str">
        <f>+$B$11</f>
        <v>ITEM</v>
      </c>
      <c r="C45" s="318" t="str">
        <f>+$C$11</f>
        <v>PROPONENTE 
/ 
INTEGRANTE OFERENTE PLURAL</v>
      </c>
      <c r="D45" s="333" t="str">
        <f>+$D$11</f>
        <v>INFORMACIÓN DEL CONTRATO</v>
      </c>
      <c r="E45" s="334"/>
      <c r="F45" s="334"/>
      <c r="G45" s="335"/>
      <c r="H45" s="318" t="str">
        <f>+H28</f>
        <v>CONSECUTIVO RUP</v>
      </c>
      <c r="I45" s="318" t="str">
        <f>+$I$11</f>
        <v>¿SE ENCUENTRA INSCRITO EN EL RUP Y CUMPLE CÓDIGOS UNSPSC?</v>
      </c>
      <c r="J45" s="318" t="str">
        <f>+$J$11</f>
        <v xml:space="preserve">VALOR EN RUP (SMMLV) </v>
      </c>
      <c r="K45" s="318" t="str">
        <f>+$K$11</f>
        <v>% PARTIC en el RUP</v>
      </c>
      <c r="L45" s="318" t="str">
        <f>+$L$11</f>
        <v>VALOR DEL CONTRATO TERMINADO (SMMLV) en el   RUP</v>
      </c>
      <c r="M45" s="318" t="str">
        <f>+$M$11</f>
        <v>FECHA DE INICIO</v>
      </c>
      <c r="N45" s="318" t="str">
        <f>+$N$11</f>
        <v>FECHA DE TERMINACION</v>
      </c>
      <c r="O45" s="318" t="str">
        <f>+$O$11</f>
        <v>PLAZO CONTRA-TO (Meses)</v>
      </c>
      <c r="P45" s="390" t="str">
        <f>+$P$11</f>
        <v>Tsusp i</v>
      </c>
      <c r="Q45" s="391"/>
      <c r="R45" s="392"/>
      <c r="S45" s="318" t="str">
        <f>+$S$11</f>
        <v>PLAZO i REAL</v>
      </c>
      <c r="T45" s="318" t="str">
        <f>+$T$11</f>
        <v>FACTURA-CION MENSUAL PROPO-NENTE</v>
      </c>
      <c r="U45" s="318" t="str">
        <f>+$U$11</f>
        <v>VALIDACIÓN DE LA EXPERIENCIA GENERAL
(SI/NO)</v>
      </c>
      <c r="V45" s="393" t="str">
        <f>+$V$11</f>
        <v>OBSERVACIONES</v>
      </c>
      <c r="W45" s="164"/>
      <c r="X45" s="326"/>
      <c r="Z45" s="381" t="str">
        <f>+$Z$11</f>
        <v>Interventoria a la ejecución de obras relacionadas con Colocación de capas granulares (tales como bases y/o sub-bases granulares).</v>
      </c>
      <c r="AB45" s="381" t="str">
        <f>+$AB$11</f>
        <v>Interventoria a la Ejecución de obras de subdrenaje y/o drenaje, en carreteras.</v>
      </c>
    </row>
    <row r="46" spans="1:34" ht="38.25" customHeight="1" thickBot="1" x14ac:dyDescent="0.25">
      <c r="B46" s="332"/>
      <c r="C46" s="319"/>
      <c r="D46" s="26" t="str">
        <f>+$D$12</f>
        <v>ENTIDAD</v>
      </c>
      <c r="E46" s="26" t="str">
        <f>+$E$12</f>
        <v>No. DE CONTRATO</v>
      </c>
      <c r="F46" s="26" t="str">
        <f>+$F$12</f>
        <v>OBJETO</v>
      </c>
      <c r="G46" s="26" t="str">
        <f>+$G$12</f>
        <v>CONTRATISTA</v>
      </c>
      <c r="H46" s="319"/>
      <c r="I46" s="319"/>
      <c r="J46" s="319"/>
      <c r="K46" s="319"/>
      <c r="L46" s="319"/>
      <c r="M46" s="319"/>
      <c r="N46" s="319"/>
      <c r="O46" s="319"/>
      <c r="P46" s="203" t="str">
        <f>+P29</f>
        <v>Finicsuspi</v>
      </c>
      <c r="Q46" s="203" t="str">
        <f>+Q29</f>
        <v xml:space="preserve"> Ftermsuspi </v>
      </c>
      <c r="R46" s="203" t="str">
        <f>+R29</f>
        <v>Tsusp i (meses)</v>
      </c>
      <c r="S46" s="319"/>
      <c r="T46" s="319"/>
      <c r="U46" s="319"/>
      <c r="V46" s="400"/>
      <c r="X46" s="327"/>
      <c r="Z46" s="381"/>
      <c r="AB46" s="381"/>
    </row>
    <row r="47" spans="1:34" s="27" customFormat="1" ht="112.5" customHeight="1" x14ac:dyDescent="0.2">
      <c r="A47" s="27">
        <f>+IF(T47="","",B47)</f>
        <v>1</v>
      </c>
      <c r="B47" s="28">
        <v>1</v>
      </c>
      <c r="C47" s="86" t="s">
        <v>215</v>
      </c>
      <c r="D47" s="86" t="s">
        <v>216</v>
      </c>
      <c r="E47" s="87" t="s">
        <v>217</v>
      </c>
      <c r="F47" s="87" t="s">
        <v>218</v>
      </c>
      <c r="G47" s="86" t="s">
        <v>219</v>
      </c>
      <c r="H47" s="30">
        <v>55</v>
      </c>
      <c r="I47" s="31" t="s">
        <v>16</v>
      </c>
      <c r="J47" s="32">
        <v>422.01</v>
      </c>
      <c r="K47" s="33">
        <v>1</v>
      </c>
      <c r="L47" s="34">
        <f>IF(OR(H47="",I47&lt;&gt;"SI",I47="NO",J47="",J47=0,K47="",K47=0,X47&lt;&gt;"SI"),0,J47*K47)</f>
        <v>422.01</v>
      </c>
      <c r="M47" s="204">
        <v>41723</v>
      </c>
      <c r="N47" s="204">
        <v>42004</v>
      </c>
      <c r="O47" s="169">
        <f>IF(OR(H47="",I47&lt;&gt;"SI",I47="NO",J47="",J47=0,K47="",K47=0,,M47="",N47=""),"",ROUND((((N47-M47)+1)/30),3))</f>
        <v>9.4</v>
      </c>
      <c r="P47" s="204">
        <v>41750</v>
      </c>
      <c r="Q47" s="204">
        <v>41777</v>
      </c>
      <c r="R47" s="170">
        <f>IF(OR((Q47-P47)=0,P47="",Q47=""),0,(ROUND((((Q47-P47)+1)/30),3)))</f>
        <v>0.93300000000000005</v>
      </c>
      <c r="S47" s="171">
        <f>IF(O47="","",ROUND(SUM(O47)-SUM(R47:R48),3))</f>
        <v>7.1340000000000003</v>
      </c>
      <c r="T47" s="172">
        <f>+IF(C47="","",IF(OR(S47="",S47&lt;=0,I47="",I47="NO",U47="",U47="NO",X47="NO"),"",ROUND(SUM(L47)/S47,3)))</f>
        <v>59.155000000000001</v>
      </c>
      <c r="U47" s="35" t="s">
        <v>16</v>
      </c>
      <c r="V47" s="36"/>
      <c r="W47" s="205"/>
      <c r="X47" s="37" t="str">
        <f t="shared" ref="X47:X56" si="16">+IF(C47="","",IF(AND(H47&lt;&gt;"",I47="SI",J47&lt;&gt;"",J47&gt;0,K47&lt;&gt;"",K47&gt;0,S47&lt;&gt;"",S47&gt;0,U47="SI"),"SI","NO"))</f>
        <v>SI</v>
      </c>
      <c r="Z47" s="173" t="s">
        <v>16</v>
      </c>
      <c r="AB47" s="173" t="s">
        <v>16</v>
      </c>
      <c r="AD47" s="10" t="str">
        <f t="shared" ref="AD47:AD56" si="17">+IF($C$44="","",IF(C47="","",IF(L47&gt;=$H$6,"SI","NO")))</f>
        <v>SI</v>
      </c>
      <c r="AE47" s="92">
        <f>+IF(OR($T$47="",X47="",X47="NO"),"",L47)</f>
        <v>422.01</v>
      </c>
      <c r="AF47" s="92">
        <f>+IF(AE47="","",L47/$S$47)</f>
        <v>59.154751892346503</v>
      </c>
      <c r="AG47" s="174">
        <f>0.1+B44</f>
        <v>3.1</v>
      </c>
      <c r="AH47" s="27" t="s">
        <v>215</v>
      </c>
    </row>
    <row r="48" spans="1:34" s="27" customFormat="1" ht="12.75" x14ac:dyDescent="0.2">
      <c r="A48" s="27" t="str">
        <f t="shared" ref="A48:A56" si="18">+IF(T48="","",B48)</f>
        <v/>
      </c>
      <c r="B48" s="38"/>
      <c r="C48" s="39"/>
      <c r="D48" s="39"/>
      <c r="E48" s="46"/>
      <c r="F48" s="46"/>
      <c r="G48" s="39"/>
      <c r="H48" s="40"/>
      <c r="I48" s="41"/>
      <c r="J48" s="42"/>
      <c r="K48" s="43"/>
      <c r="L48" s="44">
        <f t="shared" ref="L48:L56" si="19">IF(OR(H48="",I48&lt;&gt;"SI",I48="NO",J48="",J48=0,K48="",K48=0,X48&lt;&gt;"SI"),0,J48*K48)</f>
        <v>0</v>
      </c>
      <c r="M48" s="206"/>
      <c r="N48" s="206"/>
      <c r="O48" s="207" t="str">
        <f t="shared" ref="O48:O56" si="20">IF(OR(H48="",I48&lt;&gt;"SI",I48="NO",J48="",J48=0,K48="",K48=0,,M48="",N48=""),"",ROUND((((N48-M48)+1)/30),3))</f>
        <v/>
      </c>
      <c r="P48" s="206">
        <v>41911</v>
      </c>
      <c r="Q48" s="206">
        <v>41950</v>
      </c>
      <c r="R48" s="177">
        <f t="shared" ref="R48:R56" si="21">IF(OR((Q48-P48)=0,P48="",Q48=""),0,(ROUND((((Q48-P48)+1)/30),3)))</f>
        <v>1.333</v>
      </c>
      <c r="S48" s="178" t="str">
        <f t="shared" ref="S48:S56" si="22">IF(O48="","",ROUND(SUM(O48)-SUM(R48),3))</f>
        <v/>
      </c>
      <c r="T48" s="208" t="str">
        <f t="shared" ref="T48:T56" si="23">+IF(C48="","",IF(OR(S48="",S48&lt;=0,I48="",I48="NO",U48="",U48="NO",X48="NO"),"",ROUND(SUM(L48)/S48,3)))</f>
        <v/>
      </c>
      <c r="U48" s="41"/>
      <c r="V48" s="209"/>
      <c r="W48" s="205"/>
      <c r="X48" s="37" t="str">
        <f t="shared" si="16"/>
        <v/>
      </c>
      <c r="Z48" s="173"/>
      <c r="AB48" s="173"/>
      <c r="AD48" s="10" t="str">
        <f t="shared" si="17"/>
        <v/>
      </c>
      <c r="AE48" s="92" t="str">
        <f>+IF(OR($T$48="",X48="",X48="NO"),"",L48)</f>
        <v/>
      </c>
      <c r="AF48" s="92" t="str">
        <f>+IF(AE48="","",L48/$S$48)</f>
        <v/>
      </c>
      <c r="AG48" s="174">
        <f>0.2+B44</f>
        <v>3.2</v>
      </c>
      <c r="AH48" s="27" t="s">
        <v>24</v>
      </c>
    </row>
    <row r="49" spans="1:34" s="27" customFormat="1" ht="84.75" customHeight="1" x14ac:dyDescent="0.2">
      <c r="A49" s="27">
        <f t="shared" si="18"/>
        <v>2</v>
      </c>
      <c r="B49" s="38">
        <v>2</v>
      </c>
      <c r="C49" s="39" t="s">
        <v>24</v>
      </c>
      <c r="D49" s="39" t="s">
        <v>25</v>
      </c>
      <c r="E49" s="46" t="s">
        <v>220</v>
      </c>
      <c r="F49" s="46" t="s">
        <v>221</v>
      </c>
      <c r="G49" s="39" t="s">
        <v>134</v>
      </c>
      <c r="H49" s="40">
        <v>10</v>
      </c>
      <c r="I49" s="41" t="s">
        <v>16</v>
      </c>
      <c r="J49" s="42">
        <v>3126.26</v>
      </c>
      <c r="K49" s="43">
        <v>0.95</v>
      </c>
      <c r="L49" s="44">
        <f t="shared" si="19"/>
        <v>2969.9470000000001</v>
      </c>
      <c r="M49" s="206">
        <v>38701</v>
      </c>
      <c r="N49" s="206">
        <v>39856</v>
      </c>
      <c r="O49" s="207">
        <f t="shared" si="20"/>
        <v>38.533000000000001</v>
      </c>
      <c r="P49" s="206">
        <v>39357</v>
      </c>
      <c r="Q49" s="206">
        <v>39385</v>
      </c>
      <c r="R49" s="177">
        <f t="shared" si="21"/>
        <v>0.96699999999999997</v>
      </c>
      <c r="S49" s="178">
        <f>IF(O49="","",ROUND(SUM(O49)-SUM(R49:R50),3))</f>
        <v>35.533000000000001</v>
      </c>
      <c r="T49" s="208">
        <f t="shared" si="23"/>
        <v>83.582999999999998</v>
      </c>
      <c r="U49" s="41" t="s">
        <v>16</v>
      </c>
      <c r="V49" s="45"/>
      <c r="W49" s="205"/>
      <c r="X49" s="37" t="str">
        <f t="shared" si="16"/>
        <v>SI</v>
      </c>
      <c r="Z49" s="173" t="s">
        <v>16</v>
      </c>
      <c r="AB49" s="173" t="s">
        <v>16</v>
      </c>
      <c r="AD49" s="10" t="str">
        <f t="shared" si="17"/>
        <v>SI</v>
      </c>
      <c r="AE49" s="92">
        <f>+IF(OR($T$49="",X49="",X49="NO"),"",L49)</f>
        <v>2969.9470000000001</v>
      </c>
      <c r="AF49" s="92">
        <f>+IF(AE49="","",L49/$S$49)</f>
        <v>83.582782202459683</v>
      </c>
      <c r="AG49" s="174">
        <f>0.3+B44</f>
        <v>3.3</v>
      </c>
      <c r="AH49" s="27" t="s">
        <v>932</v>
      </c>
    </row>
    <row r="50" spans="1:34" s="27" customFormat="1" ht="12.75" x14ac:dyDescent="0.2">
      <c r="A50" s="27" t="str">
        <f t="shared" si="18"/>
        <v/>
      </c>
      <c r="B50" s="38"/>
      <c r="C50" s="39"/>
      <c r="D50" s="39"/>
      <c r="E50" s="46"/>
      <c r="F50" s="46"/>
      <c r="G50" s="39"/>
      <c r="H50" s="40"/>
      <c r="I50" s="41"/>
      <c r="J50" s="42"/>
      <c r="K50" s="43"/>
      <c r="L50" s="44">
        <f t="shared" si="19"/>
        <v>0</v>
      </c>
      <c r="M50" s="206"/>
      <c r="N50" s="206"/>
      <c r="O50" s="207" t="str">
        <f t="shared" si="20"/>
        <v/>
      </c>
      <c r="P50" s="206">
        <v>39772</v>
      </c>
      <c r="Q50" s="206">
        <v>39832</v>
      </c>
      <c r="R50" s="177">
        <f t="shared" si="21"/>
        <v>2.0329999999999999</v>
      </c>
      <c r="S50" s="178" t="str">
        <f t="shared" si="22"/>
        <v/>
      </c>
      <c r="T50" s="208" t="str">
        <f t="shared" si="23"/>
        <v/>
      </c>
      <c r="U50" s="41"/>
      <c r="V50" s="45"/>
      <c r="W50" s="205"/>
      <c r="X50" s="37" t="str">
        <f t="shared" si="16"/>
        <v/>
      </c>
      <c r="Z50" s="180"/>
      <c r="AB50" s="173"/>
      <c r="AD50" s="10" t="str">
        <f t="shared" si="17"/>
        <v/>
      </c>
      <c r="AE50" s="92" t="str">
        <f>+IF(OR($T$50="",X50="",X50="NO"),"",L50)</f>
        <v/>
      </c>
      <c r="AF50" s="92" t="str">
        <f>+IF(AE50="","",L50/$S$50)</f>
        <v/>
      </c>
      <c r="AG50" s="174"/>
    </row>
    <row r="51" spans="1:34" s="27" customFormat="1" ht="83.25" customHeight="1" x14ac:dyDescent="0.2">
      <c r="A51" s="27">
        <f t="shared" si="18"/>
        <v>3</v>
      </c>
      <c r="B51" s="38">
        <v>3</v>
      </c>
      <c r="C51" s="39" t="s">
        <v>24</v>
      </c>
      <c r="D51" s="39" t="s">
        <v>222</v>
      </c>
      <c r="E51" s="46" t="s">
        <v>223</v>
      </c>
      <c r="F51" s="46" t="s">
        <v>224</v>
      </c>
      <c r="G51" s="39" t="s">
        <v>225</v>
      </c>
      <c r="H51" s="40">
        <v>16</v>
      </c>
      <c r="I51" s="41" t="s">
        <v>16</v>
      </c>
      <c r="J51" s="42">
        <v>3958.6</v>
      </c>
      <c r="K51" s="43">
        <v>0.7</v>
      </c>
      <c r="L51" s="44">
        <f t="shared" si="19"/>
        <v>2771.02</v>
      </c>
      <c r="M51" s="206">
        <v>41646</v>
      </c>
      <c r="N51" s="206">
        <v>42161</v>
      </c>
      <c r="O51" s="207">
        <f t="shared" si="20"/>
        <v>17.2</v>
      </c>
      <c r="P51" s="206">
        <v>41883</v>
      </c>
      <c r="Q51" s="206">
        <v>41901</v>
      </c>
      <c r="R51" s="177">
        <f t="shared" si="21"/>
        <v>0.63300000000000001</v>
      </c>
      <c r="S51" s="178">
        <f>IF(O51="","",ROUND(SUM(O51)-SUM(R51:R52),3))</f>
        <v>12.867000000000001</v>
      </c>
      <c r="T51" s="208">
        <f t="shared" si="23"/>
        <v>215.35900000000001</v>
      </c>
      <c r="U51" s="41" t="s">
        <v>16</v>
      </c>
      <c r="V51" s="45"/>
      <c r="W51" s="205"/>
      <c r="X51" s="37" t="str">
        <f t="shared" si="16"/>
        <v>SI</v>
      </c>
      <c r="Z51" s="181" t="s">
        <v>16</v>
      </c>
      <c r="AB51" s="173" t="s">
        <v>16</v>
      </c>
      <c r="AD51" s="10" t="str">
        <f t="shared" si="17"/>
        <v>SI</v>
      </c>
      <c r="AE51" s="92">
        <f>+IF(OR($T$51="",X51="",X51="NO"),"",L51)</f>
        <v>2771.02</v>
      </c>
      <c r="AF51" s="92">
        <f>+IF(AE51="","",L51/$S$51)</f>
        <v>215.35866946452163</v>
      </c>
      <c r="AG51" s="174"/>
    </row>
    <row r="52" spans="1:34" s="27" customFormat="1" ht="12.75" x14ac:dyDescent="0.2">
      <c r="A52" s="27" t="str">
        <f t="shared" si="18"/>
        <v/>
      </c>
      <c r="B52" s="38"/>
      <c r="C52" s="39"/>
      <c r="D52" s="39"/>
      <c r="E52" s="46"/>
      <c r="F52" s="46"/>
      <c r="G52" s="39"/>
      <c r="H52" s="40"/>
      <c r="I52" s="41"/>
      <c r="J52" s="42"/>
      <c r="K52" s="43"/>
      <c r="L52" s="44">
        <f t="shared" si="19"/>
        <v>0</v>
      </c>
      <c r="M52" s="206"/>
      <c r="N52" s="206"/>
      <c r="O52" s="207" t="str">
        <f t="shared" si="20"/>
        <v/>
      </c>
      <c r="P52" s="206">
        <v>41992</v>
      </c>
      <c r="Q52" s="206">
        <v>42102</v>
      </c>
      <c r="R52" s="177">
        <f t="shared" si="21"/>
        <v>3.7</v>
      </c>
      <c r="S52" s="178" t="str">
        <f t="shared" si="22"/>
        <v/>
      </c>
      <c r="T52" s="208" t="str">
        <f t="shared" si="23"/>
        <v/>
      </c>
      <c r="U52" s="41"/>
      <c r="V52" s="45"/>
      <c r="X52" s="37" t="str">
        <f t="shared" si="16"/>
        <v/>
      </c>
      <c r="Z52" s="181"/>
      <c r="AB52" s="173"/>
      <c r="AD52" s="10" t="str">
        <f t="shared" si="17"/>
        <v/>
      </c>
      <c r="AE52" s="92" t="str">
        <f>+IF(OR($T$52="",X52="",X52="NO"),"",L52)</f>
        <v/>
      </c>
      <c r="AF52" s="92" t="str">
        <f>+IF(AE52="","",L52/$S$52)</f>
        <v/>
      </c>
      <c r="AG52" s="174"/>
    </row>
    <row r="53" spans="1:34" s="27" customFormat="1" ht="12.75" x14ac:dyDescent="0.2">
      <c r="A53" s="27" t="str">
        <f t="shared" si="18"/>
        <v/>
      </c>
      <c r="B53" s="38"/>
      <c r="C53" s="39"/>
      <c r="D53" s="39"/>
      <c r="E53" s="46"/>
      <c r="F53" s="46"/>
      <c r="G53" s="39"/>
      <c r="H53" s="40"/>
      <c r="I53" s="41"/>
      <c r="J53" s="42"/>
      <c r="K53" s="43"/>
      <c r="L53" s="44">
        <f t="shared" si="19"/>
        <v>0</v>
      </c>
      <c r="M53" s="206"/>
      <c r="N53" s="206"/>
      <c r="O53" s="207" t="str">
        <f t="shared" si="20"/>
        <v/>
      </c>
      <c r="P53" s="206"/>
      <c r="Q53" s="206"/>
      <c r="R53" s="177">
        <f t="shared" si="21"/>
        <v>0</v>
      </c>
      <c r="S53" s="178" t="str">
        <f t="shared" si="22"/>
        <v/>
      </c>
      <c r="T53" s="208" t="str">
        <f t="shared" si="23"/>
        <v/>
      </c>
      <c r="U53" s="41"/>
      <c r="V53" s="45"/>
      <c r="X53" s="37" t="str">
        <f t="shared" si="16"/>
        <v/>
      </c>
      <c r="Z53" s="181"/>
      <c r="AB53" s="173"/>
      <c r="AD53" s="10" t="str">
        <f t="shared" si="17"/>
        <v/>
      </c>
      <c r="AE53" s="92" t="str">
        <f>+IF(OR($T$53="",X53="",X53="NO"),"",L53)</f>
        <v/>
      </c>
      <c r="AF53" s="92" t="str">
        <f>+IF(AE53="","",L53/$S$53)</f>
        <v/>
      </c>
      <c r="AG53" s="174"/>
    </row>
    <row r="54" spans="1:34" s="27" customFormat="1" ht="12.75" x14ac:dyDescent="0.2">
      <c r="A54" s="27" t="str">
        <f t="shared" si="18"/>
        <v/>
      </c>
      <c r="B54" s="38"/>
      <c r="C54" s="39"/>
      <c r="D54" s="39"/>
      <c r="E54" s="46"/>
      <c r="F54" s="46"/>
      <c r="G54" s="39"/>
      <c r="H54" s="40"/>
      <c r="I54" s="41"/>
      <c r="J54" s="42"/>
      <c r="K54" s="43"/>
      <c r="L54" s="44">
        <f t="shared" si="19"/>
        <v>0</v>
      </c>
      <c r="M54" s="206"/>
      <c r="N54" s="206"/>
      <c r="O54" s="207" t="str">
        <f t="shared" si="20"/>
        <v/>
      </c>
      <c r="P54" s="206"/>
      <c r="Q54" s="206"/>
      <c r="R54" s="177">
        <f t="shared" si="21"/>
        <v>0</v>
      </c>
      <c r="S54" s="178" t="str">
        <f t="shared" si="22"/>
        <v/>
      </c>
      <c r="T54" s="208" t="str">
        <f t="shared" si="23"/>
        <v/>
      </c>
      <c r="U54" s="41"/>
      <c r="V54" s="45"/>
      <c r="X54" s="37" t="str">
        <f t="shared" si="16"/>
        <v/>
      </c>
      <c r="Z54" s="181"/>
      <c r="AB54" s="173"/>
      <c r="AD54" s="10" t="str">
        <f t="shared" si="17"/>
        <v/>
      </c>
      <c r="AE54" s="92" t="str">
        <f>+IF(OR($T$54="",X54="",X54="NO"),"",L54)</f>
        <v/>
      </c>
      <c r="AF54" s="92" t="str">
        <f>+IF(AE54="","",L54/$S$54)</f>
        <v/>
      </c>
      <c r="AG54" s="174"/>
    </row>
    <row r="55" spans="1:34" s="27" customFormat="1" ht="12.75" x14ac:dyDescent="0.2">
      <c r="A55" s="27" t="str">
        <f t="shared" si="18"/>
        <v/>
      </c>
      <c r="B55" s="38"/>
      <c r="C55" s="39"/>
      <c r="D55" s="39"/>
      <c r="E55" s="46"/>
      <c r="F55" s="46"/>
      <c r="G55" s="39"/>
      <c r="H55" s="40"/>
      <c r="I55" s="41"/>
      <c r="J55" s="42"/>
      <c r="K55" s="43"/>
      <c r="L55" s="44">
        <f t="shared" si="19"/>
        <v>0</v>
      </c>
      <c r="M55" s="206"/>
      <c r="N55" s="206"/>
      <c r="O55" s="207" t="str">
        <f t="shared" si="20"/>
        <v/>
      </c>
      <c r="P55" s="206"/>
      <c r="Q55" s="206"/>
      <c r="R55" s="177">
        <f t="shared" si="21"/>
        <v>0</v>
      </c>
      <c r="S55" s="178" t="str">
        <f t="shared" si="22"/>
        <v/>
      </c>
      <c r="T55" s="208" t="str">
        <f t="shared" si="23"/>
        <v/>
      </c>
      <c r="U55" s="41"/>
      <c r="V55" s="45"/>
      <c r="X55" s="37" t="str">
        <f t="shared" si="16"/>
        <v/>
      </c>
      <c r="Z55" s="181"/>
      <c r="AB55" s="173"/>
      <c r="AD55" s="10" t="str">
        <f t="shared" si="17"/>
        <v/>
      </c>
      <c r="AE55" s="92" t="str">
        <f>+IF(OR($T$55="",X55="",X55="NO"),"",L55)</f>
        <v/>
      </c>
      <c r="AF55" s="92" t="str">
        <f>+IF(AE55="","",L55/$S$55)</f>
        <v/>
      </c>
      <c r="AG55" s="174"/>
    </row>
    <row r="56" spans="1:34" s="27" customFormat="1" ht="13.5" thickBot="1" x14ac:dyDescent="0.25">
      <c r="A56" s="27" t="str">
        <f t="shared" si="18"/>
        <v/>
      </c>
      <c r="B56" s="47"/>
      <c r="C56" s="48"/>
      <c r="D56" s="48"/>
      <c r="E56" s="49"/>
      <c r="F56" s="49"/>
      <c r="G56" s="48"/>
      <c r="H56" s="50"/>
      <c r="I56" s="51"/>
      <c r="J56" s="14"/>
      <c r="K56" s="52"/>
      <c r="L56" s="53">
        <f t="shared" si="19"/>
        <v>0</v>
      </c>
      <c r="M56" s="211"/>
      <c r="N56" s="211"/>
      <c r="O56" s="212" t="str">
        <f t="shared" si="20"/>
        <v/>
      </c>
      <c r="P56" s="211"/>
      <c r="Q56" s="211"/>
      <c r="R56" s="184">
        <f t="shared" si="21"/>
        <v>0</v>
      </c>
      <c r="S56" s="185" t="str">
        <f t="shared" si="22"/>
        <v/>
      </c>
      <c r="T56" s="213" t="str">
        <f t="shared" si="23"/>
        <v/>
      </c>
      <c r="U56" s="51"/>
      <c r="V56" s="54"/>
      <c r="X56" s="55" t="str">
        <f t="shared" si="16"/>
        <v/>
      </c>
      <c r="Z56" s="187"/>
      <c r="AB56" s="188"/>
      <c r="AD56" s="10" t="str">
        <f t="shared" si="17"/>
        <v/>
      </c>
      <c r="AE56" s="92" t="str">
        <f>+IF(OR($T$56="",X56="",X56="NO"),"",L56)</f>
        <v/>
      </c>
      <c r="AF56" s="92" t="str">
        <f>+IF(AE56="","",L56/$S$56)</f>
        <v/>
      </c>
    </row>
    <row r="57" spans="1:34" ht="36" customHeight="1" x14ac:dyDescent="0.2">
      <c r="B57" s="57" t="str">
        <f>"A"&amp;B44</f>
        <v>A3</v>
      </c>
      <c r="C57" s="382" t="str">
        <f>+$C$23</f>
        <v>¿CADA INTEGRANTE DE PROPONENTE PLURAL APORTAN CONTRATO?  (SI; NO; NA)</v>
      </c>
      <c r="D57" s="383"/>
      <c r="E57" s="383"/>
      <c r="F57" s="383"/>
      <c r="G57" s="383"/>
      <c r="H57" s="384"/>
      <c r="I57" s="151" t="str">
        <f>+IF(AG44="","",IF(AG44=1,"NA",IF(AND(AG44=3,(IF(COUNTIFS(C47:C56,AH47,AE47:AE56,"&gt;0")&gt;=1,1,0)+IF(COUNTIFS(C47:C56,AH48,AE47:AE56,"&gt;0")&gt;=1,1,0)+IF(COUNTIFS(C47:C56,AH49,AE47:AE56,"&gt;0")&gt;=1,1,0))&gt;=AG44),"SI",IF(AND(AG44=2,(IF(COUNTIFS(C47:C56,AH47,AE47:AE56,"&gt;0")&gt;=1,1,0)+IF(COUNTIFS(C47:C56,AH48,AE47:AE56,"&gt;0")&gt;=1,1,0))&gt;=AG44),"SI","NO"))))</f>
        <v>SI</v>
      </c>
      <c r="J57" s="59"/>
      <c r="K57" s="27"/>
      <c r="L57" s="27"/>
      <c r="M57" s="27"/>
      <c r="N57" s="27"/>
      <c r="O57" s="27"/>
      <c r="P57" s="385" t="str">
        <f>+$P$23</f>
        <v>FACTURACION MENSUAL TOTAL</v>
      </c>
      <c r="Q57" s="386"/>
      <c r="R57" s="386"/>
      <c r="S57" s="386"/>
      <c r="T57" s="189">
        <f>ROUND(SUM(T47:T56),3)</f>
        <v>358.09699999999998</v>
      </c>
      <c r="U57" s="60"/>
      <c r="V57" s="1"/>
      <c r="W57" s="61"/>
      <c r="X57" s="61"/>
      <c r="Y57" s="61"/>
      <c r="Z57" s="61"/>
      <c r="AA57" s="61"/>
      <c r="AB57" s="61"/>
    </row>
    <row r="58" spans="1:34" ht="38.25" customHeight="1" thickBot="1" x14ac:dyDescent="0.25">
      <c r="B58" s="57" t="str">
        <f>"B"&amp;B44</f>
        <v>B3</v>
      </c>
      <c r="C58" s="387" t="str">
        <f>+C41</f>
        <v>En caso de proponente plural: ¿De la totalidad de los contratos aportados por el proponente plural, el valor ejecutado de uno de ellos deberá ser igual o superior al 30% del P.O.?  (SI; NO; NA)</v>
      </c>
      <c r="D58" s="388"/>
      <c r="E58" s="388"/>
      <c r="F58" s="388"/>
      <c r="G58" s="389"/>
      <c r="H58" s="190">
        <f>+$H$6</f>
        <v>268.14722506074827</v>
      </c>
      <c r="I58" s="191" t="str">
        <f>+IF(AG44="","",IF(AG44=1,"NA",IF(AND(AG44&gt;1,(COUNTIFS(AD47:AD56,"SI",AE47:AE56,"&gt;0"))&gt;=1),"SI","NO")))</f>
        <v>SI</v>
      </c>
      <c r="J58" s="192"/>
      <c r="K58" s="193"/>
      <c r="L58" s="194"/>
      <c r="M58" s="194"/>
      <c r="N58" s="194"/>
      <c r="O58" s="194"/>
      <c r="P58" s="387" t="str">
        <f>+$P$24</f>
        <v>PROMEDIO FACTURACIÓN MENSUAL DEL PROPONENTE (PFMP)</v>
      </c>
      <c r="Q58" s="388"/>
      <c r="R58" s="388"/>
      <c r="S58" s="388"/>
      <c r="T58" s="195">
        <f t="array" ref="T58">IF(T57=0,0,ROUND(T57/(SUM(IF(FREQUENCY(A47:A56,A47:A56)&gt;0,1))),3))</f>
        <v>119.366</v>
      </c>
      <c r="U58" s="214"/>
      <c r="V58" s="1"/>
      <c r="W58" s="61"/>
      <c r="X58" s="61"/>
      <c r="Y58" s="61"/>
      <c r="Z58" s="61"/>
      <c r="AA58" s="61"/>
      <c r="AB58" s="61"/>
    </row>
    <row r="59" spans="1:34" ht="21" customHeight="1" thickBot="1" x14ac:dyDescent="0.25">
      <c r="B59" s="197" t="str">
        <f>"C"&amp;B44</f>
        <v>C3</v>
      </c>
      <c r="C59" s="349" t="str">
        <f>+$C$25</f>
        <v>PROPONENTE CUMPLE CON LAS ACTIVIDADES a) y b)? (SI; NO)</v>
      </c>
      <c r="D59" s="350"/>
      <c r="E59" s="350"/>
      <c r="F59" s="350"/>
      <c r="G59" s="350"/>
      <c r="H59" s="351"/>
      <c r="I59" s="198" t="str">
        <f>IF(C44="","",(IF(AND(COUNTIFS(X47:X56,"SI",Z47:Z56,"SI")&gt;=$Z$8,COUNTIFS(X47:X56,"SI",AB47:AB56,"SI")&gt;=$Z$8),"SI","NO")))</f>
        <v>SI</v>
      </c>
      <c r="J59" s="199"/>
      <c r="K59" s="200"/>
      <c r="L59" s="200"/>
      <c r="M59" s="200"/>
      <c r="N59" s="200"/>
      <c r="P59" s="378" t="str">
        <f>+$P$25</f>
        <v>VALOR PUNTAJE POR EXPERIENCIA DEL PROPONENTE</v>
      </c>
      <c r="Q59" s="379"/>
      <c r="R59" s="379"/>
      <c r="S59" s="380"/>
      <c r="T59" s="201">
        <f>IF(OR(C44="",'ASIGNACION DE PUNTAJES'!$C$5=""),"",VLOOKUP(B44,'ASIGNACION DE PUNTAJES'!$A$15:$G$69,7,FALSE))</f>
        <v>614.62300000000005</v>
      </c>
      <c r="V59" s="202"/>
    </row>
    <row r="60" spans="1:34" ht="9.75" customHeight="1" thickBot="1" x14ac:dyDescent="0.25">
      <c r="M60" s="84"/>
      <c r="N60" s="84"/>
      <c r="O60" s="84"/>
      <c r="V60" s="21"/>
    </row>
    <row r="61" spans="1:34" ht="36.75" customHeight="1" thickBot="1" x14ac:dyDescent="0.25">
      <c r="B61" s="23">
        <f>1+B44</f>
        <v>4</v>
      </c>
      <c r="C61" s="336" t="s">
        <v>29</v>
      </c>
      <c r="D61" s="337"/>
      <c r="E61" s="337"/>
      <c r="F61" s="337"/>
      <c r="G61" s="337"/>
      <c r="H61" s="337"/>
      <c r="I61" s="338"/>
      <c r="J61" s="24" t="str">
        <f>+IF(C61="","","INTEGRANTES")</f>
        <v>INTEGRANTES</v>
      </c>
      <c r="K61" s="339" t="s">
        <v>890</v>
      </c>
      <c r="L61" s="339"/>
      <c r="M61" s="339"/>
      <c r="N61" s="339"/>
      <c r="O61" s="339"/>
      <c r="P61" s="339"/>
      <c r="Q61" s="339"/>
      <c r="R61" s="396" t="str">
        <f>+$R$10</f>
        <v>PROPONENTE No.</v>
      </c>
      <c r="S61" s="397"/>
      <c r="T61" s="25">
        <f>+B61</f>
        <v>4</v>
      </c>
      <c r="U61" s="161" t="str">
        <f>+$U$10</f>
        <v>PFMP</v>
      </c>
      <c r="V61" s="162">
        <f>IF(T75="",0,T75)</f>
        <v>104.703</v>
      </c>
      <c r="X61" s="325" t="s">
        <v>168</v>
      </c>
      <c r="Z61" s="163" t="str">
        <f>+$Z$10</f>
        <v>EXP. ESPECÍFICA 
A:</v>
      </c>
      <c r="AB61" s="163" t="str">
        <f>+$AB$10</f>
        <v>EXP. ESPECÍFICA 
B:</v>
      </c>
      <c r="AG61" s="1">
        <v>1</v>
      </c>
    </row>
    <row r="62" spans="1:34" ht="42" customHeight="1" x14ac:dyDescent="0.2">
      <c r="B62" s="331" t="str">
        <f>+$B$11</f>
        <v>ITEM</v>
      </c>
      <c r="C62" s="318" t="str">
        <f>+$C$11</f>
        <v>PROPONENTE 
/ 
INTEGRANTE OFERENTE PLURAL</v>
      </c>
      <c r="D62" s="333" t="str">
        <f>+$D$11</f>
        <v>INFORMACIÓN DEL CONTRATO</v>
      </c>
      <c r="E62" s="334"/>
      <c r="F62" s="334"/>
      <c r="G62" s="335"/>
      <c r="H62" s="318" t="str">
        <f>+H45</f>
        <v>CONSECUTIVO RUP</v>
      </c>
      <c r="I62" s="318" t="str">
        <f>+$I$11</f>
        <v>¿SE ENCUENTRA INSCRITO EN EL RUP Y CUMPLE CÓDIGOS UNSPSC?</v>
      </c>
      <c r="J62" s="318" t="str">
        <f>+$J$11</f>
        <v xml:space="preserve">VALOR EN RUP (SMMLV) </v>
      </c>
      <c r="K62" s="318" t="str">
        <f>+$K$11</f>
        <v>% PARTIC en el RUP</v>
      </c>
      <c r="L62" s="318" t="str">
        <f>+$L$11</f>
        <v>VALOR DEL CONTRATO TERMINADO (SMMLV) en el   RUP</v>
      </c>
      <c r="M62" s="318" t="str">
        <f>+$M$11</f>
        <v>FECHA DE INICIO</v>
      </c>
      <c r="N62" s="318" t="str">
        <f>+$N$11</f>
        <v>FECHA DE TERMINACION</v>
      </c>
      <c r="O62" s="318" t="str">
        <f>+$O$11</f>
        <v>PLAZO CONTRA-TO (Meses)</v>
      </c>
      <c r="P62" s="390" t="str">
        <f>+$P$11</f>
        <v>Tsusp i</v>
      </c>
      <c r="Q62" s="391"/>
      <c r="R62" s="392"/>
      <c r="S62" s="318" t="str">
        <f>+$S$11</f>
        <v>PLAZO i REAL</v>
      </c>
      <c r="T62" s="318" t="str">
        <f>+$T$11</f>
        <v>FACTURA-CION MENSUAL PROPO-NENTE</v>
      </c>
      <c r="U62" s="318" t="str">
        <f>+$U$11</f>
        <v>VALIDACIÓN DE LA EXPERIENCIA GENERAL
(SI/NO)</v>
      </c>
      <c r="V62" s="393" t="str">
        <f>+$V$11</f>
        <v>OBSERVACIONES</v>
      </c>
      <c r="W62" s="164"/>
      <c r="X62" s="326"/>
      <c r="Z62" s="381" t="str">
        <f>+$Z$11</f>
        <v>Interventoria a la ejecución de obras relacionadas con Colocación de capas granulares (tales como bases y/o sub-bases granulares).</v>
      </c>
      <c r="AB62" s="381" t="str">
        <f>+$AB$11</f>
        <v>Interventoria a la Ejecución de obras de subdrenaje y/o drenaje, en carreteras.</v>
      </c>
    </row>
    <row r="63" spans="1:34" ht="38.25" customHeight="1" thickBot="1" x14ac:dyDescent="0.25">
      <c r="B63" s="395"/>
      <c r="C63" s="348"/>
      <c r="D63" s="165" t="str">
        <f>+$D$12</f>
        <v>ENTIDAD</v>
      </c>
      <c r="E63" s="165" t="str">
        <f>+$E$12</f>
        <v>No. DE CONTRATO</v>
      </c>
      <c r="F63" s="165" t="str">
        <f>+$F$12</f>
        <v>OBJETO</v>
      </c>
      <c r="G63" s="165" t="str">
        <f>+$G$12</f>
        <v>CONTRATISTA</v>
      </c>
      <c r="H63" s="348"/>
      <c r="I63" s="348"/>
      <c r="J63" s="348"/>
      <c r="K63" s="348"/>
      <c r="L63" s="348"/>
      <c r="M63" s="348"/>
      <c r="N63" s="348"/>
      <c r="O63" s="348"/>
      <c r="P63" s="166" t="str">
        <f>+P46</f>
        <v>Finicsuspi</v>
      </c>
      <c r="Q63" s="166" t="str">
        <f>+Q46</f>
        <v xml:space="preserve"> Ftermsuspi </v>
      </c>
      <c r="R63" s="166" t="str">
        <f>+R46</f>
        <v>Tsusp i (meses)</v>
      </c>
      <c r="S63" s="348"/>
      <c r="T63" s="348"/>
      <c r="U63" s="348"/>
      <c r="V63" s="394"/>
      <c r="X63" s="327"/>
      <c r="Z63" s="381"/>
      <c r="AB63" s="381"/>
    </row>
    <row r="64" spans="1:34" s="27" customFormat="1" ht="87" customHeight="1" x14ac:dyDescent="0.2">
      <c r="A64" s="27">
        <f>+IF(T64="","",B64)</f>
        <v>1</v>
      </c>
      <c r="B64" s="28">
        <v>1</v>
      </c>
      <c r="C64" s="86" t="s">
        <v>29</v>
      </c>
      <c r="D64" s="86" t="s">
        <v>226</v>
      </c>
      <c r="E64" s="87" t="s">
        <v>227</v>
      </c>
      <c r="F64" s="87" t="s">
        <v>228</v>
      </c>
      <c r="G64" s="86" t="s">
        <v>29</v>
      </c>
      <c r="H64" s="30">
        <v>6</v>
      </c>
      <c r="I64" s="31" t="s">
        <v>16</v>
      </c>
      <c r="J64" s="32">
        <v>1683.65</v>
      </c>
      <c r="K64" s="33">
        <v>1</v>
      </c>
      <c r="L64" s="34">
        <f>IF(OR(H64="",I64&lt;&gt;"SI",I64="NO",J64="",J64=0,K64="",K64=0,X64&lt;&gt;"SI"),0,J64*K64)</f>
        <v>1683.65</v>
      </c>
      <c r="M64" s="204">
        <v>38457</v>
      </c>
      <c r="N64" s="204">
        <v>39675</v>
      </c>
      <c r="O64" s="169">
        <f>IF(OR(H64="",I64&lt;&gt;"SI",I64="NO",J64="",J64=0,K64="",K64=0,,M64="",N64=""),"",ROUND((((N64-M64)+1)/30),3))</f>
        <v>40.633000000000003</v>
      </c>
      <c r="P64" s="204"/>
      <c r="Q64" s="204"/>
      <c r="R64" s="170">
        <f>IF(OR((Q64-P64)=0,P64="",Q64=""),0,(ROUND((((Q64-P64)+1)/30),3)))</f>
        <v>0</v>
      </c>
      <c r="S64" s="171">
        <f>IF(O64="","",ROUND(SUM(O64)-SUM(R64),3))</f>
        <v>40.633000000000003</v>
      </c>
      <c r="T64" s="172">
        <f>+IF(C64="","",IF(OR(S64="",S64&lt;=0,I64="",I64="NO",U64="",U64="NO",X64="NO"),"",ROUND(SUM(L64)/S64,3)))</f>
        <v>41.436</v>
      </c>
      <c r="U64" s="35" t="s">
        <v>16</v>
      </c>
      <c r="V64" s="36"/>
      <c r="W64" s="205"/>
      <c r="X64" s="37" t="str">
        <f t="shared" ref="X64:X73" si="24">+IF(C64="","",IF(AND(H64&lt;&gt;"",I64="SI",J64&lt;&gt;"",J64&gt;0,K64&lt;&gt;"",K64&gt;0,S64&lt;&gt;"",S64&gt;0,U64="SI"),"SI","NO"))</f>
        <v>SI</v>
      </c>
      <c r="Z64" s="173" t="s">
        <v>16</v>
      </c>
      <c r="AB64" s="173" t="s">
        <v>16</v>
      </c>
      <c r="AD64" s="10" t="str">
        <f t="shared" ref="AD64:AD73" si="25">+IF($C$61="","",IF(C64="","",IF(L64&gt;=$H$6,"SI","NO")))</f>
        <v>SI</v>
      </c>
      <c r="AE64" s="92">
        <f>+IF(OR($T$64="",X64="",X64="NO"),"",L64)</f>
        <v>1683.65</v>
      </c>
      <c r="AF64" s="92">
        <f>+IF(AE64="","",L64/$S$64)</f>
        <v>41.435532695100044</v>
      </c>
      <c r="AG64" s="174">
        <f>0.1+B61</f>
        <v>4.0999999999999996</v>
      </c>
      <c r="AH64" s="27" t="s">
        <v>932</v>
      </c>
    </row>
    <row r="65" spans="1:34" s="27" customFormat="1" ht="108.75" customHeight="1" x14ac:dyDescent="0.2">
      <c r="A65" s="27">
        <f t="shared" ref="A65:A73" si="26">+IF(T65="","",B65)</f>
        <v>2</v>
      </c>
      <c r="B65" s="38">
        <v>2</v>
      </c>
      <c r="C65" s="39" t="s">
        <v>29</v>
      </c>
      <c r="D65" s="39" t="s">
        <v>30</v>
      </c>
      <c r="E65" s="46" t="s">
        <v>229</v>
      </c>
      <c r="F65" s="46" t="s">
        <v>230</v>
      </c>
      <c r="G65" s="39" t="s">
        <v>29</v>
      </c>
      <c r="H65" s="40">
        <v>7</v>
      </c>
      <c r="I65" s="41" t="s">
        <v>16</v>
      </c>
      <c r="J65" s="42">
        <v>1589.69</v>
      </c>
      <c r="K65" s="43">
        <v>1</v>
      </c>
      <c r="L65" s="44">
        <f t="shared" ref="L65:L73" si="27">IF(OR(H65="",I65&lt;&gt;"SI",I65="NO",J65="",J65=0,K65="",K65=0,X65&lt;&gt;"SI"),0,J65*K65)</f>
        <v>1589.69</v>
      </c>
      <c r="M65" s="206">
        <v>39407</v>
      </c>
      <c r="N65" s="206">
        <v>39854</v>
      </c>
      <c r="O65" s="207">
        <f t="shared" ref="O65:O73" si="28">IF(OR(H65="",I65&lt;&gt;"SI",I65="NO",J65="",J65=0,K65="",K65=0,,M65="",N65=""),"",ROUND((((N65-M65)+1)/30),3))</f>
        <v>14.933</v>
      </c>
      <c r="P65" s="206">
        <v>39818</v>
      </c>
      <c r="Q65" s="206">
        <v>39839</v>
      </c>
      <c r="R65" s="177">
        <f t="shared" ref="R65:R73" si="29">IF(OR((Q65-P65)=0,P65="",Q65=""),0,(ROUND((((Q65-P65)+1)/30),3)))</f>
        <v>0.73299999999999998</v>
      </c>
      <c r="S65" s="178">
        <f t="shared" ref="S65:S73" si="30">IF(O65="","",ROUND(SUM(O65)-SUM(R65),3))</f>
        <v>14.2</v>
      </c>
      <c r="T65" s="208">
        <f t="shared" ref="T65:T73" si="31">+IF(C65="","",IF(OR(S65="",S65&lt;=0,I65="",I65="NO",U65="",U65="NO",X65="NO"),"",ROUND(SUM(L65)/S65,3)))</f>
        <v>111.95</v>
      </c>
      <c r="U65" s="41" t="s">
        <v>16</v>
      </c>
      <c r="V65" s="209"/>
      <c r="W65" s="205"/>
      <c r="X65" s="37" t="str">
        <f t="shared" si="24"/>
        <v>SI</v>
      </c>
      <c r="Z65" s="173" t="s">
        <v>16</v>
      </c>
      <c r="AB65" s="173" t="s">
        <v>16</v>
      </c>
      <c r="AD65" s="10" t="str">
        <f t="shared" si="25"/>
        <v>SI</v>
      </c>
      <c r="AE65" s="92">
        <f>+IF(OR($T$65="",X65="",X65="NO"),"",L65)</f>
        <v>1589.69</v>
      </c>
      <c r="AF65" s="92">
        <f>+IF(AE65="","",L65/$S$65)</f>
        <v>111.95</v>
      </c>
      <c r="AG65" s="174">
        <f>0.2+B61</f>
        <v>4.2</v>
      </c>
      <c r="AH65" s="27" t="s">
        <v>932</v>
      </c>
    </row>
    <row r="66" spans="1:34" s="27" customFormat="1" ht="131.25" customHeight="1" x14ac:dyDescent="0.2">
      <c r="A66" s="27">
        <f t="shared" si="26"/>
        <v>3</v>
      </c>
      <c r="B66" s="38">
        <v>3</v>
      </c>
      <c r="C66" s="39" t="s">
        <v>29</v>
      </c>
      <c r="D66" s="39" t="s">
        <v>231</v>
      </c>
      <c r="E66" s="46" t="s">
        <v>232</v>
      </c>
      <c r="F66" s="46" t="s">
        <v>233</v>
      </c>
      <c r="G66" s="39" t="s">
        <v>29</v>
      </c>
      <c r="H66" s="40">
        <v>106</v>
      </c>
      <c r="I66" s="41" t="s">
        <v>16</v>
      </c>
      <c r="J66" s="42">
        <v>1119.75</v>
      </c>
      <c r="K66" s="43">
        <v>1</v>
      </c>
      <c r="L66" s="44">
        <f t="shared" si="27"/>
        <v>1119.75</v>
      </c>
      <c r="M66" s="206">
        <v>41901</v>
      </c>
      <c r="N66" s="206">
        <v>42109</v>
      </c>
      <c r="O66" s="207">
        <f t="shared" si="28"/>
        <v>6.9669999999999996</v>
      </c>
      <c r="P66" s="206"/>
      <c r="Q66" s="206"/>
      <c r="R66" s="177">
        <f t="shared" si="29"/>
        <v>0</v>
      </c>
      <c r="S66" s="178">
        <f t="shared" si="30"/>
        <v>6.9669999999999996</v>
      </c>
      <c r="T66" s="208">
        <f t="shared" si="31"/>
        <v>160.72200000000001</v>
      </c>
      <c r="U66" s="41" t="s">
        <v>16</v>
      </c>
      <c r="V66" s="215" t="s">
        <v>234</v>
      </c>
      <c r="W66" s="205"/>
      <c r="X66" s="37" t="str">
        <f t="shared" si="24"/>
        <v>SI</v>
      </c>
      <c r="Z66" s="173" t="s">
        <v>16</v>
      </c>
      <c r="AB66" s="173" t="s">
        <v>16</v>
      </c>
      <c r="AD66" s="10" t="str">
        <f t="shared" si="25"/>
        <v>SI</v>
      </c>
      <c r="AE66" s="92">
        <f>+IF(OR($T$66="",X66="",X66="NO"),"",L66)</f>
        <v>1119.75</v>
      </c>
      <c r="AF66" s="92">
        <f>+IF(AE66="","",L66/$S$66)</f>
        <v>160.72197502511841</v>
      </c>
      <c r="AG66" s="174">
        <f>0.3+B61</f>
        <v>4.3</v>
      </c>
      <c r="AH66" s="27" t="s">
        <v>932</v>
      </c>
    </row>
    <row r="67" spans="1:34" s="27" customFormat="1" ht="12.75" x14ac:dyDescent="0.2">
      <c r="A67" s="27" t="str">
        <f t="shared" si="26"/>
        <v/>
      </c>
      <c r="B67" s="38"/>
      <c r="C67" s="39"/>
      <c r="D67" s="39"/>
      <c r="E67" s="46"/>
      <c r="F67" s="46"/>
      <c r="G67" s="39"/>
      <c r="H67" s="40"/>
      <c r="I67" s="41"/>
      <c r="J67" s="42"/>
      <c r="K67" s="43"/>
      <c r="L67" s="44">
        <f t="shared" si="27"/>
        <v>0</v>
      </c>
      <c r="M67" s="206"/>
      <c r="N67" s="206"/>
      <c r="O67" s="207" t="str">
        <f t="shared" si="28"/>
        <v/>
      </c>
      <c r="P67" s="206"/>
      <c r="Q67" s="206"/>
      <c r="R67" s="177">
        <f t="shared" si="29"/>
        <v>0</v>
      </c>
      <c r="S67" s="178" t="str">
        <f t="shared" si="30"/>
        <v/>
      </c>
      <c r="T67" s="208" t="str">
        <f t="shared" si="31"/>
        <v/>
      </c>
      <c r="U67" s="41"/>
      <c r="V67" s="45"/>
      <c r="W67" s="210"/>
      <c r="X67" s="37" t="str">
        <f t="shared" si="24"/>
        <v/>
      </c>
      <c r="Z67" s="180"/>
      <c r="AB67" s="173"/>
      <c r="AD67" s="10" t="str">
        <f t="shared" si="25"/>
        <v/>
      </c>
      <c r="AE67" s="92" t="str">
        <f>+IF(OR($T$67="",X67="",X67="NO"),"",L67)</f>
        <v/>
      </c>
      <c r="AF67" s="92" t="str">
        <f>+IF(AE67="","",L67/$S$67)</f>
        <v/>
      </c>
      <c r="AG67" s="174"/>
    </row>
    <row r="68" spans="1:34" s="27" customFormat="1" ht="12.75" x14ac:dyDescent="0.2">
      <c r="A68" s="27" t="str">
        <f t="shared" si="26"/>
        <v/>
      </c>
      <c r="B68" s="38"/>
      <c r="C68" s="39"/>
      <c r="D68" s="39"/>
      <c r="E68" s="46"/>
      <c r="F68" s="46"/>
      <c r="G68" s="39"/>
      <c r="H68" s="40"/>
      <c r="I68" s="41"/>
      <c r="J68" s="42"/>
      <c r="K68" s="43"/>
      <c r="L68" s="44">
        <f t="shared" si="27"/>
        <v>0</v>
      </c>
      <c r="M68" s="206"/>
      <c r="N68" s="206"/>
      <c r="O68" s="207" t="str">
        <f t="shared" si="28"/>
        <v/>
      </c>
      <c r="P68" s="206"/>
      <c r="Q68" s="206"/>
      <c r="R68" s="177">
        <f t="shared" si="29"/>
        <v>0</v>
      </c>
      <c r="S68" s="178" t="str">
        <f t="shared" si="30"/>
        <v/>
      </c>
      <c r="T68" s="208" t="str">
        <f t="shared" si="31"/>
        <v/>
      </c>
      <c r="U68" s="41"/>
      <c r="V68" s="45"/>
      <c r="X68" s="37" t="str">
        <f t="shared" si="24"/>
        <v/>
      </c>
      <c r="Z68" s="181"/>
      <c r="AB68" s="173"/>
      <c r="AD68" s="10" t="str">
        <f t="shared" si="25"/>
        <v/>
      </c>
      <c r="AE68" s="92" t="str">
        <f>+IF(OR($T$68="",X68="",X68="NO"),"",L68)</f>
        <v/>
      </c>
      <c r="AF68" s="92" t="str">
        <f>+IF(AE68="","",L68/$S$68)</f>
        <v/>
      </c>
      <c r="AG68" s="174"/>
    </row>
    <row r="69" spans="1:34" s="27" customFormat="1" ht="12.75" x14ac:dyDescent="0.2">
      <c r="A69" s="27" t="str">
        <f t="shared" si="26"/>
        <v/>
      </c>
      <c r="B69" s="38"/>
      <c r="C69" s="39"/>
      <c r="D69" s="39"/>
      <c r="E69" s="46"/>
      <c r="F69" s="46"/>
      <c r="G69" s="39"/>
      <c r="H69" s="40"/>
      <c r="I69" s="41"/>
      <c r="J69" s="42"/>
      <c r="K69" s="43"/>
      <c r="L69" s="44">
        <f t="shared" si="27"/>
        <v>0</v>
      </c>
      <c r="M69" s="206"/>
      <c r="N69" s="206"/>
      <c r="O69" s="207" t="str">
        <f t="shared" si="28"/>
        <v/>
      </c>
      <c r="P69" s="206"/>
      <c r="Q69" s="206"/>
      <c r="R69" s="177">
        <f t="shared" si="29"/>
        <v>0</v>
      </c>
      <c r="S69" s="178" t="str">
        <f t="shared" si="30"/>
        <v/>
      </c>
      <c r="T69" s="208" t="str">
        <f t="shared" si="31"/>
        <v/>
      </c>
      <c r="U69" s="41"/>
      <c r="V69" s="45"/>
      <c r="X69" s="37" t="str">
        <f t="shared" si="24"/>
        <v/>
      </c>
      <c r="Z69" s="181"/>
      <c r="AB69" s="173"/>
      <c r="AD69" s="10" t="str">
        <f t="shared" si="25"/>
        <v/>
      </c>
      <c r="AE69" s="92" t="str">
        <f>+IF(OR($T$69="",X69="",X69="NO"),"",L69)</f>
        <v/>
      </c>
      <c r="AF69" s="92" t="str">
        <f>+IF(AE69="","",L69/$S$69)</f>
        <v/>
      </c>
      <c r="AG69" s="174"/>
    </row>
    <row r="70" spans="1:34" s="27" customFormat="1" ht="12.75" x14ac:dyDescent="0.2">
      <c r="A70" s="27" t="str">
        <f t="shared" si="26"/>
        <v/>
      </c>
      <c r="B70" s="38"/>
      <c r="C70" s="39"/>
      <c r="D70" s="39"/>
      <c r="E70" s="46"/>
      <c r="F70" s="46"/>
      <c r="G70" s="39"/>
      <c r="H70" s="40"/>
      <c r="I70" s="41"/>
      <c r="J70" s="42"/>
      <c r="K70" s="43"/>
      <c r="L70" s="44">
        <f t="shared" si="27"/>
        <v>0</v>
      </c>
      <c r="M70" s="206"/>
      <c r="N70" s="206"/>
      <c r="O70" s="207" t="str">
        <f t="shared" si="28"/>
        <v/>
      </c>
      <c r="P70" s="206"/>
      <c r="Q70" s="206"/>
      <c r="R70" s="177">
        <f t="shared" si="29"/>
        <v>0</v>
      </c>
      <c r="S70" s="178" t="str">
        <f t="shared" si="30"/>
        <v/>
      </c>
      <c r="T70" s="208" t="str">
        <f t="shared" si="31"/>
        <v/>
      </c>
      <c r="U70" s="41"/>
      <c r="V70" s="45"/>
      <c r="X70" s="37" t="str">
        <f t="shared" si="24"/>
        <v/>
      </c>
      <c r="Z70" s="181"/>
      <c r="AB70" s="173"/>
      <c r="AD70" s="10" t="str">
        <f t="shared" si="25"/>
        <v/>
      </c>
      <c r="AE70" s="92" t="str">
        <f>+IF(OR($T$70="",X70="",X70="NO"),"",L70)</f>
        <v/>
      </c>
      <c r="AF70" s="92" t="str">
        <f>+IF(AE70="","",L70/$S$70)</f>
        <v/>
      </c>
      <c r="AG70" s="174"/>
    </row>
    <row r="71" spans="1:34" s="27" customFormat="1" ht="12.75" x14ac:dyDescent="0.2">
      <c r="A71" s="27" t="str">
        <f t="shared" si="26"/>
        <v/>
      </c>
      <c r="B71" s="38"/>
      <c r="C71" s="39"/>
      <c r="D71" s="39"/>
      <c r="E71" s="46"/>
      <c r="F71" s="46"/>
      <c r="G71" s="39"/>
      <c r="H71" s="40"/>
      <c r="I71" s="41"/>
      <c r="J71" s="42"/>
      <c r="K71" s="43"/>
      <c r="L71" s="44">
        <f t="shared" si="27"/>
        <v>0</v>
      </c>
      <c r="M71" s="206"/>
      <c r="N71" s="206"/>
      <c r="O71" s="207" t="str">
        <f t="shared" si="28"/>
        <v/>
      </c>
      <c r="P71" s="206"/>
      <c r="Q71" s="206"/>
      <c r="R71" s="177">
        <f t="shared" si="29"/>
        <v>0</v>
      </c>
      <c r="S71" s="178" t="str">
        <f t="shared" si="30"/>
        <v/>
      </c>
      <c r="T71" s="208" t="str">
        <f t="shared" si="31"/>
        <v/>
      </c>
      <c r="U71" s="41"/>
      <c r="V71" s="45"/>
      <c r="X71" s="37" t="str">
        <f t="shared" si="24"/>
        <v/>
      </c>
      <c r="Z71" s="181"/>
      <c r="AB71" s="173"/>
      <c r="AD71" s="10" t="str">
        <f t="shared" si="25"/>
        <v/>
      </c>
      <c r="AE71" s="92" t="str">
        <f>+IF(OR($T$71="",X71="",X71="NO"),"",L71)</f>
        <v/>
      </c>
      <c r="AF71" s="92" t="str">
        <f>+IF(AE71="","",L71/$S$71)</f>
        <v/>
      </c>
      <c r="AG71" s="174"/>
    </row>
    <row r="72" spans="1:34" s="27" customFormat="1" ht="12.75" x14ac:dyDescent="0.2">
      <c r="A72" s="27" t="str">
        <f t="shared" si="26"/>
        <v/>
      </c>
      <c r="B72" s="38"/>
      <c r="C72" s="39"/>
      <c r="D72" s="39"/>
      <c r="E72" s="46"/>
      <c r="F72" s="46"/>
      <c r="G72" s="39"/>
      <c r="H72" s="40"/>
      <c r="I72" s="41"/>
      <c r="J72" s="42"/>
      <c r="K72" s="43"/>
      <c r="L72" s="44">
        <f t="shared" si="27"/>
        <v>0</v>
      </c>
      <c r="M72" s="206"/>
      <c r="N72" s="206"/>
      <c r="O72" s="207" t="str">
        <f t="shared" si="28"/>
        <v/>
      </c>
      <c r="P72" s="206"/>
      <c r="Q72" s="206"/>
      <c r="R72" s="177">
        <f t="shared" si="29"/>
        <v>0</v>
      </c>
      <c r="S72" s="178" t="str">
        <f t="shared" si="30"/>
        <v/>
      </c>
      <c r="T72" s="208" t="str">
        <f t="shared" si="31"/>
        <v/>
      </c>
      <c r="U72" s="41"/>
      <c r="V72" s="45"/>
      <c r="X72" s="37" t="str">
        <f t="shared" si="24"/>
        <v/>
      </c>
      <c r="Z72" s="181"/>
      <c r="AB72" s="173"/>
      <c r="AD72" s="10" t="str">
        <f t="shared" si="25"/>
        <v/>
      </c>
      <c r="AE72" s="92" t="str">
        <f>+IF(OR($T$72="",X72="",X72="NO"),"",L72)</f>
        <v/>
      </c>
      <c r="AF72" s="92" t="str">
        <f>+IF(AE72="","",L72/$S$72)</f>
        <v/>
      </c>
      <c r="AG72" s="174"/>
    </row>
    <row r="73" spans="1:34" s="27" customFormat="1" ht="13.5" thickBot="1" x14ac:dyDescent="0.25">
      <c r="A73" s="27" t="str">
        <f t="shared" si="26"/>
        <v/>
      </c>
      <c r="B73" s="47"/>
      <c r="C73" s="48"/>
      <c r="D73" s="48"/>
      <c r="E73" s="49"/>
      <c r="F73" s="49"/>
      <c r="G73" s="48"/>
      <c r="H73" s="50"/>
      <c r="I73" s="51"/>
      <c r="J73" s="14"/>
      <c r="K73" s="52"/>
      <c r="L73" s="53">
        <f t="shared" si="27"/>
        <v>0</v>
      </c>
      <c r="M73" s="211"/>
      <c r="N73" s="211"/>
      <c r="O73" s="212" t="str">
        <f t="shared" si="28"/>
        <v/>
      </c>
      <c r="P73" s="211"/>
      <c r="Q73" s="211"/>
      <c r="R73" s="184">
        <f t="shared" si="29"/>
        <v>0</v>
      </c>
      <c r="S73" s="185" t="str">
        <f t="shared" si="30"/>
        <v/>
      </c>
      <c r="T73" s="213" t="str">
        <f t="shared" si="31"/>
        <v/>
      </c>
      <c r="U73" s="51"/>
      <c r="V73" s="54"/>
      <c r="X73" s="55" t="str">
        <f t="shared" si="24"/>
        <v/>
      </c>
      <c r="Z73" s="187"/>
      <c r="AB73" s="188"/>
      <c r="AD73" s="10" t="str">
        <f t="shared" si="25"/>
        <v/>
      </c>
      <c r="AE73" s="92" t="str">
        <f>+IF(OR($T$73="",X73="",X73="NO"),"",L73)</f>
        <v/>
      </c>
      <c r="AF73" s="92" t="str">
        <f>+IF(AE73="","",L73/$S$73)</f>
        <v/>
      </c>
    </row>
    <row r="74" spans="1:34" ht="36" customHeight="1" x14ac:dyDescent="0.2">
      <c r="B74" s="57" t="str">
        <f>"A"&amp;B61</f>
        <v>A4</v>
      </c>
      <c r="C74" s="382" t="str">
        <f>+$C$23</f>
        <v>¿CADA INTEGRANTE DE PROPONENTE PLURAL APORTAN CONTRATO?  (SI; NO; NA)</v>
      </c>
      <c r="D74" s="383"/>
      <c r="E74" s="383"/>
      <c r="F74" s="383"/>
      <c r="G74" s="383"/>
      <c r="H74" s="384"/>
      <c r="I74" s="151" t="str">
        <f>+IF(AG61="","",IF(AG61=1,"NA",IF(AND(AG61=3,(IF(COUNTIFS(C64:C73,AH64,AE64:AE73,"&gt;0")&gt;=1,1,0)+IF(COUNTIFS(C64:C73,AH65,AE64:AE73,"&gt;0")&gt;=1,1,0)+IF(COUNTIFS(C64:C73,AH66,AE64:AE73,"&gt;0")&gt;=1,1,0))&gt;=AG61),"SI",IF(AND(AG61=2,(IF(COUNTIFS(C64:C73,AH64,AE64:AE73,"&gt;0")&gt;=1,1,0)+IF(COUNTIFS(C64:C73,AH65,AE64:AE73,"&gt;0")&gt;=1,1,0))&gt;=AG61),"SI","NO"))))</f>
        <v>NA</v>
      </c>
      <c r="J74" s="59"/>
      <c r="K74" s="27"/>
      <c r="L74" s="27"/>
      <c r="M74" s="27"/>
      <c r="N74" s="27"/>
      <c r="O74" s="27"/>
      <c r="P74" s="385" t="str">
        <f>+$P$23</f>
        <v>FACTURACION MENSUAL TOTAL</v>
      </c>
      <c r="Q74" s="386"/>
      <c r="R74" s="386"/>
      <c r="S74" s="386"/>
      <c r="T74" s="189">
        <f>ROUND(SUM(T64:T73),3)</f>
        <v>314.108</v>
      </c>
      <c r="U74" s="60"/>
      <c r="V74" s="1"/>
      <c r="W74" s="61"/>
      <c r="X74" s="61"/>
      <c r="Y74" s="61"/>
      <c r="Z74" s="61"/>
      <c r="AA74" s="61"/>
      <c r="AB74" s="61"/>
    </row>
    <row r="75" spans="1:34" ht="38.25" customHeight="1" thickBot="1" x14ac:dyDescent="0.25">
      <c r="B75" s="57" t="str">
        <f>"B"&amp;B61</f>
        <v>B4</v>
      </c>
      <c r="C75" s="387" t="str">
        <f>+C58</f>
        <v>En caso de proponente plural: ¿De la totalidad de los contratos aportados por el proponente plural, el valor ejecutado de uno de ellos deberá ser igual o superior al 30% del P.O.?  (SI; NO; NA)</v>
      </c>
      <c r="D75" s="388"/>
      <c r="E75" s="388"/>
      <c r="F75" s="388"/>
      <c r="G75" s="389"/>
      <c r="H75" s="190">
        <f>+$H$6</f>
        <v>268.14722506074827</v>
      </c>
      <c r="I75" s="191" t="str">
        <f>+IF(AG61="","",IF(AG61=1,"NA",IF(AND(AG61&gt;1,(COUNTIFS(AD64:AD73,"SI",AE64:AE73,"&gt;0"))&gt;=1),"SI","NO")))</f>
        <v>NA</v>
      </c>
      <c r="J75" s="192"/>
      <c r="K75" s="193"/>
      <c r="L75" s="194"/>
      <c r="M75" s="194"/>
      <c r="N75" s="194"/>
      <c r="O75" s="194"/>
      <c r="P75" s="387" t="str">
        <f>+$P$24</f>
        <v>PROMEDIO FACTURACIÓN MENSUAL DEL PROPONENTE (PFMP)</v>
      </c>
      <c r="Q75" s="388"/>
      <c r="R75" s="388"/>
      <c r="S75" s="388"/>
      <c r="T75" s="195">
        <f t="array" ref="T75">IF(T74=0,0,ROUND(T74/(SUM(IF(FREQUENCY(A64:A73,A64:A73)&gt;0,1))),3))</f>
        <v>104.703</v>
      </c>
      <c r="U75" s="214"/>
      <c r="V75" s="1"/>
      <c r="W75" s="61"/>
      <c r="X75" s="61"/>
      <c r="Y75" s="61"/>
      <c r="Z75" s="61"/>
      <c r="AA75" s="61"/>
      <c r="AB75" s="61"/>
    </row>
    <row r="76" spans="1:34" ht="21" customHeight="1" thickBot="1" x14ac:dyDescent="0.25">
      <c r="B76" s="197" t="str">
        <f>"C"&amp;B61</f>
        <v>C4</v>
      </c>
      <c r="C76" s="349" t="str">
        <f>+$C$25</f>
        <v>PROPONENTE CUMPLE CON LAS ACTIVIDADES a) y b)? (SI; NO)</v>
      </c>
      <c r="D76" s="350"/>
      <c r="E76" s="350"/>
      <c r="F76" s="350"/>
      <c r="G76" s="350"/>
      <c r="H76" s="351"/>
      <c r="I76" s="198" t="str">
        <f>IF(C61="","",(IF(AND(COUNTIFS(X64:X73,"SI",Z64:Z73,"SI")&gt;=$Z$8,COUNTIFS(X64:X73,"SI",AB64:AB73,"SI")&gt;=$Z$8),"SI","NO")))</f>
        <v>SI</v>
      </c>
      <c r="J76" s="199"/>
      <c r="K76" s="200"/>
      <c r="L76" s="200"/>
      <c r="M76" s="200"/>
      <c r="N76" s="200"/>
      <c r="P76" s="378" t="str">
        <f>+$P$25</f>
        <v>VALOR PUNTAJE POR EXPERIENCIA DEL PROPONENTE</v>
      </c>
      <c r="Q76" s="379"/>
      <c r="R76" s="379"/>
      <c r="S76" s="380"/>
      <c r="T76" s="201">
        <f>IF(OR(C61="",'ASIGNACION DE PUNTAJES'!$C$5=""),"",VLOOKUP(B61,'ASIGNACION DE PUNTAJES'!$A$15:$G$69,7,FALSE))</f>
        <v>539.12199999999996</v>
      </c>
      <c r="V76" s="202"/>
    </row>
    <row r="77" spans="1:34" ht="9.75" customHeight="1" thickBot="1" x14ac:dyDescent="0.25">
      <c r="M77" s="84"/>
      <c r="N77" s="84"/>
      <c r="O77" s="84"/>
      <c r="V77" s="21"/>
    </row>
    <row r="78" spans="1:34" ht="36.75" customHeight="1" thickBot="1" x14ac:dyDescent="0.25">
      <c r="B78" s="23">
        <f>1+B61</f>
        <v>5</v>
      </c>
      <c r="C78" s="336" t="s">
        <v>891</v>
      </c>
      <c r="D78" s="337"/>
      <c r="E78" s="337"/>
      <c r="F78" s="337"/>
      <c r="G78" s="337"/>
      <c r="H78" s="337"/>
      <c r="I78" s="338"/>
      <c r="J78" s="24" t="str">
        <f>+IF(C78="","","INTEGRANTES")</f>
        <v>INTEGRANTES</v>
      </c>
      <c r="K78" s="339" t="s">
        <v>892</v>
      </c>
      <c r="L78" s="339"/>
      <c r="M78" s="339"/>
      <c r="N78" s="339"/>
      <c r="O78" s="339"/>
      <c r="P78" s="339"/>
      <c r="Q78" s="339"/>
      <c r="R78" s="396" t="str">
        <f>+$R$10</f>
        <v>PROPONENTE No.</v>
      </c>
      <c r="S78" s="397"/>
      <c r="T78" s="25">
        <f>+B78</f>
        <v>5</v>
      </c>
      <c r="U78" s="161" t="str">
        <f>+$U$10</f>
        <v>PFMP</v>
      </c>
      <c r="V78" s="162">
        <f>IF(T92="",0,T92)</f>
        <v>127.56699999999999</v>
      </c>
      <c r="X78" s="325" t="s">
        <v>168</v>
      </c>
      <c r="Z78" s="163" t="str">
        <f>+$Z$10</f>
        <v>EXP. ESPECÍFICA 
A:</v>
      </c>
      <c r="AB78" s="163" t="str">
        <f>+$AB$10</f>
        <v>EXP. ESPECÍFICA 
B:</v>
      </c>
      <c r="AG78" s="1">
        <v>2</v>
      </c>
    </row>
    <row r="79" spans="1:34" ht="42" customHeight="1" x14ac:dyDescent="0.2">
      <c r="B79" s="331" t="str">
        <f>+$B$11</f>
        <v>ITEM</v>
      </c>
      <c r="C79" s="318" t="str">
        <f>+$C$11</f>
        <v>PROPONENTE 
/ 
INTEGRANTE OFERENTE PLURAL</v>
      </c>
      <c r="D79" s="333" t="str">
        <f>+$D$11</f>
        <v>INFORMACIÓN DEL CONTRATO</v>
      </c>
      <c r="E79" s="334"/>
      <c r="F79" s="334"/>
      <c r="G79" s="335"/>
      <c r="H79" s="318" t="str">
        <f>+H62</f>
        <v>CONSECUTIVO RUP</v>
      </c>
      <c r="I79" s="318" t="str">
        <f>+$I$11</f>
        <v>¿SE ENCUENTRA INSCRITO EN EL RUP Y CUMPLE CÓDIGOS UNSPSC?</v>
      </c>
      <c r="J79" s="318" t="str">
        <f>+$J$11</f>
        <v xml:space="preserve">VALOR EN RUP (SMMLV) </v>
      </c>
      <c r="K79" s="318" t="str">
        <f>+$K$11</f>
        <v>% PARTIC en el RUP</v>
      </c>
      <c r="L79" s="318" t="str">
        <f>+$L$11</f>
        <v>VALOR DEL CONTRATO TERMINADO (SMMLV) en el   RUP</v>
      </c>
      <c r="M79" s="318" t="str">
        <f>+$M$11</f>
        <v>FECHA DE INICIO</v>
      </c>
      <c r="N79" s="318" t="str">
        <f>+$N$11</f>
        <v>FECHA DE TERMINACION</v>
      </c>
      <c r="O79" s="318" t="str">
        <f>+$O$11</f>
        <v>PLAZO CONTRA-TO (Meses)</v>
      </c>
      <c r="P79" s="390" t="str">
        <f>+$P$11</f>
        <v>Tsusp i</v>
      </c>
      <c r="Q79" s="391"/>
      <c r="R79" s="392"/>
      <c r="S79" s="318" t="str">
        <f>+$S$11</f>
        <v>PLAZO i REAL</v>
      </c>
      <c r="T79" s="318" t="str">
        <f>+$T$11</f>
        <v>FACTURA-CION MENSUAL PROPO-NENTE</v>
      </c>
      <c r="U79" s="318" t="str">
        <f>+$U$11</f>
        <v>VALIDACIÓN DE LA EXPERIENCIA GENERAL
(SI/NO)</v>
      </c>
      <c r="V79" s="393" t="str">
        <f>+$V$11</f>
        <v>OBSERVACIONES</v>
      </c>
      <c r="W79" s="164"/>
      <c r="X79" s="326"/>
      <c r="Z79" s="381" t="str">
        <f>+$Z$11</f>
        <v>Interventoria a la ejecución de obras relacionadas con Colocación de capas granulares (tales como bases y/o sub-bases granulares).</v>
      </c>
      <c r="AB79" s="381" t="str">
        <f>+$AB$11</f>
        <v>Interventoria a la Ejecución de obras de subdrenaje y/o drenaje, en carreteras.</v>
      </c>
    </row>
    <row r="80" spans="1:34" ht="38.25" customHeight="1" thickBot="1" x14ac:dyDescent="0.25">
      <c r="B80" s="332"/>
      <c r="C80" s="319"/>
      <c r="D80" s="26" t="str">
        <f>+$D$12</f>
        <v>ENTIDAD</v>
      </c>
      <c r="E80" s="26" t="str">
        <f>+$E$12</f>
        <v>No. DE CONTRATO</v>
      </c>
      <c r="F80" s="26" t="str">
        <f>+$F$12</f>
        <v>OBJETO</v>
      </c>
      <c r="G80" s="26" t="str">
        <f>+$G$12</f>
        <v>CONTRATISTA</v>
      </c>
      <c r="H80" s="319"/>
      <c r="I80" s="319"/>
      <c r="J80" s="319"/>
      <c r="K80" s="319"/>
      <c r="L80" s="319"/>
      <c r="M80" s="319"/>
      <c r="N80" s="319"/>
      <c r="O80" s="319"/>
      <c r="P80" s="203" t="str">
        <f>+P63</f>
        <v>Finicsuspi</v>
      </c>
      <c r="Q80" s="203" t="str">
        <f>+Q63</f>
        <v xml:space="preserve"> Ftermsuspi </v>
      </c>
      <c r="R80" s="203" t="str">
        <f>+R63</f>
        <v>Tsusp i (meses)</v>
      </c>
      <c r="S80" s="319"/>
      <c r="T80" s="319"/>
      <c r="U80" s="319"/>
      <c r="V80" s="400"/>
      <c r="X80" s="327"/>
      <c r="Z80" s="381"/>
      <c r="AB80" s="381"/>
    </row>
    <row r="81" spans="1:34" s="27" customFormat="1" ht="78.75" customHeight="1" x14ac:dyDescent="0.2">
      <c r="A81" s="27">
        <f>+IF(T81="","",B81)</f>
        <v>1</v>
      </c>
      <c r="B81" s="28">
        <v>1</v>
      </c>
      <c r="C81" s="86" t="s">
        <v>33</v>
      </c>
      <c r="D81" s="86" t="s">
        <v>235</v>
      </c>
      <c r="E81" s="87" t="s">
        <v>236</v>
      </c>
      <c r="F81" s="87" t="s">
        <v>237</v>
      </c>
      <c r="G81" s="86" t="s">
        <v>238</v>
      </c>
      <c r="H81" s="30">
        <v>24</v>
      </c>
      <c r="I81" s="31" t="s">
        <v>16</v>
      </c>
      <c r="J81" s="32">
        <v>629.14</v>
      </c>
      <c r="K81" s="33">
        <v>1</v>
      </c>
      <c r="L81" s="34">
        <f>IF(OR(H81="",I81&lt;&gt;"SI",I81="NO",J81="",J81=0,K81="",K81=0,X81&lt;&gt;"SI"),0,J81*K81)</f>
        <v>629.14</v>
      </c>
      <c r="M81" s="204">
        <v>40903</v>
      </c>
      <c r="N81" s="204">
        <v>41238</v>
      </c>
      <c r="O81" s="169">
        <f>IF(OR(H81="",I81&lt;&gt;"SI",I81="NO",J81="",J81=0,K81="",K81=0,,M81="",N81=""),"",ROUND((((N81-M81)+1)/30),3))</f>
        <v>11.2</v>
      </c>
      <c r="P81" s="204"/>
      <c r="Q81" s="204"/>
      <c r="R81" s="170">
        <f>IF(OR((Q81-P81)=0,P81="",Q81=""),0,(ROUND((((Q81-P81)+1)/30),3)))</f>
        <v>0</v>
      </c>
      <c r="S81" s="171">
        <f>IF(O81="","",ROUND(SUM(O81)-SUM(R81),3))</f>
        <v>11.2</v>
      </c>
      <c r="T81" s="172">
        <f>+IF(C81="","",IF(OR(S81="",S81&lt;=0,I81="",I81="NO",U81="",U81="NO",X81="NO"),"",ROUND(SUM(L81)/S81,3)))</f>
        <v>56.173000000000002</v>
      </c>
      <c r="U81" s="35" t="s">
        <v>16</v>
      </c>
      <c r="V81" s="36"/>
      <c r="W81" s="205"/>
      <c r="X81" s="37" t="str">
        <f t="shared" ref="X81:X90" si="32">+IF(C81="","",IF(AND(H81&lt;&gt;"",I81="SI",J81&lt;&gt;"",J81&gt;0,K81&lt;&gt;"",K81&gt;0,S81&lt;&gt;"",S81&gt;0,U81="SI"),"SI","NO"))</f>
        <v>SI</v>
      </c>
      <c r="Z81" s="173" t="s">
        <v>16</v>
      </c>
      <c r="AB81" s="173" t="s">
        <v>16</v>
      </c>
      <c r="AD81" s="10" t="str">
        <f t="shared" ref="AD81:AD90" si="33">+IF($C$78="","",IF(C81="","",IF(L81&gt;=$H$6,"SI","NO")))</f>
        <v>SI</v>
      </c>
      <c r="AE81" s="92">
        <f>+IF(OR($T$81="",X81="",X81="NO"),"",L81)</f>
        <v>629.14</v>
      </c>
      <c r="AF81" s="92">
        <f>+IF(AE81="","",L81/$S$81)</f>
        <v>56.173214285714288</v>
      </c>
      <c r="AG81" s="174">
        <f>0.1+B78</f>
        <v>5.0999999999999996</v>
      </c>
      <c r="AH81" s="27" t="s">
        <v>33</v>
      </c>
    </row>
    <row r="82" spans="1:34" s="27" customFormat="1" ht="102" customHeight="1" x14ac:dyDescent="0.2">
      <c r="A82" s="27">
        <f t="shared" ref="A82:A90" si="34">+IF(T82="","",B82)</f>
        <v>2</v>
      </c>
      <c r="B82" s="38">
        <v>2</v>
      </c>
      <c r="C82" s="39" t="s">
        <v>239</v>
      </c>
      <c r="D82" s="39" t="s">
        <v>240</v>
      </c>
      <c r="E82" s="46" t="s">
        <v>241</v>
      </c>
      <c r="F82" s="46" t="s">
        <v>242</v>
      </c>
      <c r="G82" s="39" t="s">
        <v>243</v>
      </c>
      <c r="H82" s="40">
        <v>148</v>
      </c>
      <c r="I82" s="41" t="s">
        <v>16</v>
      </c>
      <c r="J82" s="42">
        <v>5205.45</v>
      </c>
      <c r="K82" s="43">
        <v>0.71</v>
      </c>
      <c r="L82" s="44">
        <f t="shared" ref="L82:L90" si="35">IF(OR(H82="",I82&lt;&gt;"SI",I82="NO",J82="",J82=0,K82="",K82=0,X82&lt;&gt;"SI"),0,J82*K82)</f>
        <v>3695.8694999999998</v>
      </c>
      <c r="M82" s="206">
        <v>41942</v>
      </c>
      <c r="N82" s="206">
        <v>42825</v>
      </c>
      <c r="O82" s="207">
        <f t="shared" ref="O82:O90" si="36">IF(OR(H82="",I82&lt;&gt;"SI",I82="NO",J82="",J82=0,K82="",K82=0,,M82="",N82=""),"",ROUND((((N82-M82)+1)/30),3))</f>
        <v>29.466999999999999</v>
      </c>
      <c r="P82" s="206">
        <v>42479</v>
      </c>
      <c r="Q82" s="206">
        <v>42667</v>
      </c>
      <c r="R82" s="177">
        <f t="shared" ref="R82:R90" si="37">IF(OR((Q82-P82)=0,P82="",Q82=""),0,(ROUND((((Q82-P82)+1)/30),3)))</f>
        <v>6.3</v>
      </c>
      <c r="S82" s="178">
        <f>IF(O82="","",ROUND(SUM(O82)-SUM(R82:R83),3))</f>
        <v>22.134</v>
      </c>
      <c r="T82" s="208">
        <f t="shared" ref="T82:T90" si="38">+IF(C82="","",IF(OR(S82="",S82&lt;=0,I82="",I82="NO",U82="",U82="NO",X82="NO"),"",ROUND(SUM(L82)/S82,3)))</f>
        <v>166.977</v>
      </c>
      <c r="U82" s="41" t="s">
        <v>16</v>
      </c>
      <c r="V82" s="215" t="s">
        <v>244</v>
      </c>
      <c r="W82" s="205"/>
      <c r="X82" s="37" t="str">
        <f t="shared" si="32"/>
        <v>SI</v>
      </c>
      <c r="Z82" s="173" t="s">
        <v>16</v>
      </c>
      <c r="AB82" s="173" t="s">
        <v>16</v>
      </c>
      <c r="AD82" s="10" t="str">
        <f t="shared" si="33"/>
        <v>SI</v>
      </c>
      <c r="AE82" s="92">
        <f>+IF(OR($T$82="",X82="",X82="NO"),"",L82)</f>
        <v>3695.8694999999998</v>
      </c>
      <c r="AF82" s="92">
        <f>+IF(AE82="","",L82/$S$82)</f>
        <v>166.97702629438871</v>
      </c>
      <c r="AG82" s="174">
        <f>0.2+B78</f>
        <v>5.2</v>
      </c>
      <c r="AH82" s="27" t="s">
        <v>239</v>
      </c>
    </row>
    <row r="83" spans="1:34" s="27" customFormat="1" ht="12.75" x14ac:dyDescent="0.2">
      <c r="A83" s="27" t="str">
        <f t="shared" si="34"/>
        <v/>
      </c>
      <c r="B83" s="38"/>
      <c r="C83" s="39"/>
      <c r="D83" s="39"/>
      <c r="E83" s="46"/>
      <c r="F83" s="46"/>
      <c r="G83" s="39"/>
      <c r="H83" s="40"/>
      <c r="I83" s="41"/>
      <c r="J83" s="42"/>
      <c r="K83" s="43"/>
      <c r="L83" s="44">
        <f t="shared" si="35"/>
        <v>0</v>
      </c>
      <c r="M83" s="206"/>
      <c r="N83" s="206"/>
      <c r="O83" s="207" t="str">
        <f t="shared" si="36"/>
        <v/>
      </c>
      <c r="P83" s="206">
        <v>42727</v>
      </c>
      <c r="Q83" s="206">
        <v>42757</v>
      </c>
      <c r="R83" s="177">
        <f t="shared" si="37"/>
        <v>1.0329999999999999</v>
      </c>
      <c r="S83" s="178" t="str">
        <f t="shared" ref="S83:S90" si="39">IF(O83="","",ROUND(SUM(O83)-SUM(R83),3))</f>
        <v/>
      </c>
      <c r="T83" s="208" t="str">
        <f t="shared" si="38"/>
        <v/>
      </c>
      <c r="U83" s="41"/>
      <c r="V83" s="45"/>
      <c r="W83" s="205"/>
      <c r="X83" s="37" t="str">
        <f t="shared" si="32"/>
        <v/>
      </c>
      <c r="Z83" s="173"/>
      <c r="AB83" s="173"/>
      <c r="AD83" s="10" t="str">
        <f t="shared" si="33"/>
        <v/>
      </c>
      <c r="AE83" s="92" t="str">
        <f>+IF(OR($T$83="",X83="",X83="NO"),"",L83)</f>
        <v/>
      </c>
      <c r="AF83" s="92" t="str">
        <f>+IF(AE83="","",L83/$S$83)</f>
        <v/>
      </c>
      <c r="AG83" s="174">
        <f>0.3+B78</f>
        <v>5.3</v>
      </c>
      <c r="AH83" s="27" t="s">
        <v>932</v>
      </c>
    </row>
    <row r="84" spans="1:34" s="27" customFormat="1" ht="80.25" customHeight="1" x14ac:dyDescent="0.2">
      <c r="A84" s="27">
        <f t="shared" si="34"/>
        <v>3</v>
      </c>
      <c r="B84" s="38">
        <v>3</v>
      </c>
      <c r="C84" s="39" t="s">
        <v>239</v>
      </c>
      <c r="D84" s="39" t="s">
        <v>245</v>
      </c>
      <c r="E84" s="46" t="s">
        <v>246</v>
      </c>
      <c r="F84" s="46" t="s">
        <v>247</v>
      </c>
      <c r="G84" s="39" t="s">
        <v>248</v>
      </c>
      <c r="H84" s="40">
        <v>38</v>
      </c>
      <c r="I84" s="41" t="s">
        <v>16</v>
      </c>
      <c r="J84" s="42">
        <v>8681.1299999999992</v>
      </c>
      <c r="K84" s="43">
        <v>0.495</v>
      </c>
      <c r="L84" s="44">
        <f t="shared" si="35"/>
        <v>4297.1593499999999</v>
      </c>
      <c r="M84" s="206">
        <v>40176</v>
      </c>
      <c r="N84" s="206">
        <v>40983</v>
      </c>
      <c r="O84" s="207">
        <f t="shared" si="36"/>
        <v>26.933</v>
      </c>
      <c r="P84" s="206"/>
      <c r="Q84" s="206"/>
      <c r="R84" s="177">
        <f t="shared" si="37"/>
        <v>0</v>
      </c>
      <c r="S84" s="178">
        <f t="shared" si="39"/>
        <v>26.933</v>
      </c>
      <c r="T84" s="208">
        <f t="shared" si="38"/>
        <v>159.55000000000001</v>
      </c>
      <c r="U84" s="41" t="s">
        <v>16</v>
      </c>
      <c r="V84" s="45"/>
      <c r="W84" s="205"/>
      <c r="X84" s="37" t="str">
        <f t="shared" si="32"/>
        <v>SI</v>
      </c>
      <c r="Z84" s="180" t="s">
        <v>16</v>
      </c>
      <c r="AB84" s="173" t="s">
        <v>16</v>
      </c>
      <c r="AD84" s="10" t="str">
        <f t="shared" si="33"/>
        <v>SI</v>
      </c>
      <c r="AE84" s="92">
        <f>+IF(OR($T$84="",X84="",X84="NO"),"",L84)</f>
        <v>4297.1593499999999</v>
      </c>
      <c r="AF84" s="92">
        <f>+IF(AE84="","",L84/$S$84)</f>
        <v>159.54997029666208</v>
      </c>
      <c r="AG84" s="174"/>
    </row>
    <row r="85" spans="1:34" s="27" customFormat="1" ht="12.75" x14ac:dyDescent="0.2">
      <c r="A85" s="27" t="str">
        <f t="shared" si="34"/>
        <v/>
      </c>
      <c r="B85" s="38"/>
      <c r="C85" s="39"/>
      <c r="D85" s="39"/>
      <c r="E85" s="46"/>
      <c r="F85" s="46"/>
      <c r="G85" s="39"/>
      <c r="H85" s="40"/>
      <c r="I85" s="41"/>
      <c r="J85" s="42"/>
      <c r="K85" s="43"/>
      <c r="L85" s="44">
        <f t="shared" si="35"/>
        <v>0</v>
      </c>
      <c r="M85" s="206"/>
      <c r="N85" s="206"/>
      <c r="O85" s="207" t="str">
        <f t="shared" si="36"/>
        <v/>
      </c>
      <c r="P85" s="206"/>
      <c r="Q85" s="206"/>
      <c r="R85" s="177">
        <f t="shared" si="37"/>
        <v>0</v>
      </c>
      <c r="S85" s="178" t="str">
        <f t="shared" si="39"/>
        <v/>
      </c>
      <c r="T85" s="208" t="str">
        <f t="shared" si="38"/>
        <v/>
      </c>
      <c r="U85" s="41"/>
      <c r="V85" s="45"/>
      <c r="X85" s="37" t="str">
        <f t="shared" si="32"/>
        <v/>
      </c>
      <c r="Z85" s="181"/>
      <c r="AB85" s="173"/>
      <c r="AD85" s="10" t="str">
        <f t="shared" si="33"/>
        <v/>
      </c>
      <c r="AE85" s="92" t="str">
        <f>+IF(OR($T$85="",X85="",X85="NO"),"",L85)</f>
        <v/>
      </c>
      <c r="AF85" s="92" t="str">
        <f>+IF(AE85="","",L85/$S$85)</f>
        <v/>
      </c>
      <c r="AG85" s="174"/>
    </row>
    <row r="86" spans="1:34" s="27" customFormat="1" ht="12.75" x14ac:dyDescent="0.2">
      <c r="A86" s="27" t="str">
        <f t="shared" si="34"/>
        <v/>
      </c>
      <c r="B86" s="38"/>
      <c r="C86" s="39"/>
      <c r="D86" s="39"/>
      <c r="E86" s="46"/>
      <c r="F86" s="46"/>
      <c r="G86" s="39"/>
      <c r="H86" s="40"/>
      <c r="I86" s="41"/>
      <c r="J86" s="42"/>
      <c r="K86" s="43"/>
      <c r="L86" s="44">
        <f t="shared" si="35"/>
        <v>0</v>
      </c>
      <c r="M86" s="206"/>
      <c r="N86" s="206"/>
      <c r="O86" s="207" t="str">
        <f t="shared" si="36"/>
        <v/>
      </c>
      <c r="P86" s="206"/>
      <c r="Q86" s="206"/>
      <c r="R86" s="177">
        <f t="shared" si="37"/>
        <v>0</v>
      </c>
      <c r="S86" s="178" t="str">
        <f t="shared" si="39"/>
        <v/>
      </c>
      <c r="T86" s="208" t="str">
        <f t="shared" si="38"/>
        <v/>
      </c>
      <c r="U86" s="41"/>
      <c r="V86" s="45"/>
      <c r="X86" s="37" t="str">
        <f t="shared" si="32"/>
        <v/>
      </c>
      <c r="Z86" s="181"/>
      <c r="AB86" s="173"/>
      <c r="AD86" s="10" t="str">
        <f t="shared" si="33"/>
        <v/>
      </c>
      <c r="AE86" s="92" t="str">
        <f>+IF(OR($T$86="",X86="",X86="NO"),"",L86)</f>
        <v/>
      </c>
      <c r="AF86" s="92" t="str">
        <f>+IF(AE86="","",L86/$S$86)</f>
        <v/>
      </c>
      <c r="AG86" s="174"/>
    </row>
    <row r="87" spans="1:34" s="27" customFormat="1" ht="12.75" x14ac:dyDescent="0.2">
      <c r="A87" s="27" t="str">
        <f t="shared" si="34"/>
        <v/>
      </c>
      <c r="B87" s="38"/>
      <c r="C87" s="39"/>
      <c r="D87" s="39"/>
      <c r="E87" s="46"/>
      <c r="F87" s="46"/>
      <c r="G87" s="39"/>
      <c r="H87" s="40"/>
      <c r="I87" s="41"/>
      <c r="J87" s="42"/>
      <c r="K87" s="43"/>
      <c r="L87" s="44">
        <f t="shared" si="35"/>
        <v>0</v>
      </c>
      <c r="M87" s="206"/>
      <c r="N87" s="206"/>
      <c r="O87" s="207" t="str">
        <f t="shared" si="36"/>
        <v/>
      </c>
      <c r="P87" s="206"/>
      <c r="Q87" s="206"/>
      <c r="R87" s="177">
        <f t="shared" si="37"/>
        <v>0</v>
      </c>
      <c r="S87" s="178" t="str">
        <f t="shared" si="39"/>
        <v/>
      </c>
      <c r="T87" s="208" t="str">
        <f t="shared" si="38"/>
        <v/>
      </c>
      <c r="U87" s="41"/>
      <c r="V87" s="45"/>
      <c r="X87" s="37" t="str">
        <f t="shared" si="32"/>
        <v/>
      </c>
      <c r="Z87" s="181"/>
      <c r="AB87" s="173"/>
      <c r="AD87" s="10" t="str">
        <f t="shared" si="33"/>
        <v/>
      </c>
      <c r="AE87" s="92" t="str">
        <f>+IF(OR($T$87="",X87="",X87="NO"),"",L87)</f>
        <v/>
      </c>
      <c r="AF87" s="92" t="str">
        <f>+IF(AE87="","",L87/$S$87)</f>
        <v/>
      </c>
      <c r="AG87" s="174"/>
    </row>
    <row r="88" spans="1:34" s="27" customFormat="1" ht="12.75" x14ac:dyDescent="0.2">
      <c r="B88" s="38"/>
      <c r="C88" s="39"/>
      <c r="D88" s="39"/>
      <c r="E88" s="46"/>
      <c r="F88" s="46"/>
      <c r="G88" s="39"/>
      <c r="H88" s="40"/>
      <c r="I88" s="41"/>
      <c r="J88" s="42"/>
      <c r="K88" s="43"/>
      <c r="L88" s="44">
        <f t="shared" si="35"/>
        <v>0</v>
      </c>
      <c r="M88" s="206"/>
      <c r="N88" s="206"/>
      <c r="O88" s="207" t="str">
        <f t="shared" si="36"/>
        <v/>
      </c>
      <c r="P88" s="206"/>
      <c r="Q88" s="206"/>
      <c r="R88" s="177">
        <f t="shared" si="37"/>
        <v>0</v>
      </c>
      <c r="S88" s="178" t="str">
        <f t="shared" si="39"/>
        <v/>
      </c>
      <c r="T88" s="208" t="str">
        <f t="shared" si="38"/>
        <v/>
      </c>
      <c r="U88" s="41"/>
      <c r="V88" s="45"/>
      <c r="X88" s="37" t="str">
        <f t="shared" si="32"/>
        <v/>
      </c>
      <c r="Z88" s="181"/>
      <c r="AB88" s="173"/>
      <c r="AD88" s="10" t="str">
        <f t="shared" si="33"/>
        <v/>
      </c>
      <c r="AE88" s="92" t="str">
        <f>+IF(OR($T$87="",X88="",X88="NO"),"",L88)</f>
        <v/>
      </c>
      <c r="AF88" s="92" t="str">
        <f>+IF(AE88="","",L88/$S$87)</f>
        <v/>
      </c>
      <c r="AG88" s="174"/>
    </row>
    <row r="89" spans="1:34" s="27" customFormat="1" ht="12.75" x14ac:dyDescent="0.2">
      <c r="A89" s="27" t="str">
        <f t="shared" si="34"/>
        <v/>
      </c>
      <c r="B89" s="38"/>
      <c r="C89" s="39"/>
      <c r="D89" s="39"/>
      <c r="E89" s="46"/>
      <c r="F89" s="46"/>
      <c r="G89" s="39"/>
      <c r="H89" s="40"/>
      <c r="I89" s="41"/>
      <c r="J89" s="42"/>
      <c r="K89" s="43"/>
      <c r="L89" s="44">
        <f t="shared" si="35"/>
        <v>0</v>
      </c>
      <c r="M89" s="206"/>
      <c r="N89" s="206"/>
      <c r="O89" s="207" t="str">
        <f t="shared" si="36"/>
        <v/>
      </c>
      <c r="P89" s="206"/>
      <c r="Q89" s="206"/>
      <c r="R89" s="177">
        <f t="shared" si="37"/>
        <v>0</v>
      </c>
      <c r="S89" s="178" t="str">
        <f t="shared" si="39"/>
        <v/>
      </c>
      <c r="T89" s="208" t="str">
        <f t="shared" si="38"/>
        <v/>
      </c>
      <c r="U89" s="41"/>
      <c r="V89" s="45"/>
      <c r="X89" s="37" t="str">
        <f t="shared" si="32"/>
        <v/>
      </c>
      <c r="Z89" s="181"/>
      <c r="AB89" s="173"/>
      <c r="AD89" s="10" t="str">
        <f t="shared" si="33"/>
        <v/>
      </c>
      <c r="AE89" s="92" t="str">
        <f>+IF(OR($T$89="",X89="",X89="NO"),"",L89)</f>
        <v/>
      </c>
      <c r="AF89" s="92" t="str">
        <f>+IF(AE89="","",L89/$S$89)</f>
        <v/>
      </c>
      <c r="AG89" s="174"/>
    </row>
    <row r="90" spans="1:34" s="27" customFormat="1" ht="13.5" thickBot="1" x14ac:dyDescent="0.25">
      <c r="A90" s="27" t="str">
        <f t="shared" si="34"/>
        <v/>
      </c>
      <c r="B90" s="47"/>
      <c r="C90" s="48"/>
      <c r="D90" s="48"/>
      <c r="E90" s="49"/>
      <c r="F90" s="49"/>
      <c r="G90" s="48"/>
      <c r="H90" s="50"/>
      <c r="I90" s="51"/>
      <c r="J90" s="14"/>
      <c r="K90" s="52"/>
      <c r="L90" s="53">
        <f t="shared" si="35"/>
        <v>0</v>
      </c>
      <c r="M90" s="211"/>
      <c r="N90" s="211"/>
      <c r="O90" s="212" t="str">
        <f t="shared" si="36"/>
        <v/>
      </c>
      <c r="P90" s="211"/>
      <c r="Q90" s="211"/>
      <c r="R90" s="184">
        <f t="shared" si="37"/>
        <v>0</v>
      </c>
      <c r="S90" s="185" t="str">
        <f t="shared" si="39"/>
        <v/>
      </c>
      <c r="T90" s="213" t="str">
        <f t="shared" si="38"/>
        <v/>
      </c>
      <c r="U90" s="51"/>
      <c r="V90" s="54"/>
      <c r="X90" s="55" t="str">
        <f t="shared" si="32"/>
        <v/>
      </c>
      <c r="Z90" s="187"/>
      <c r="AB90" s="188"/>
      <c r="AD90" s="10" t="str">
        <f t="shared" si="33"/>
        <v/>
      </c>
      <c r="AE90" s="92" t="str">
        <f>+IF(OR($T$90="",X90="",X90="NO"),"",L90)</f>
        <v/>
      </c>
      <c r="AF90" s="92" t="str">
        <f>+IF(AE90="","",L90/$S$90)</f>
        <v/>
      </c>
    </row>
    <row r="91" spans="1:34" ht="36" customHeight="1" x14ac:dyDescent="0.2">
      <c r="B91" s="57" t="str">
        <f>"A"&amp;B78</f>
        <v>A5</v>
      </c>
      <c r="C91" s="382" t="str">
        <f>+$C$23</f>
        <v>¿CADA INTEGRANTE DE PROPONENTE PLURAL APORTAN CONTRATO?  (SI; NO; NA)</v>
      </c>
      <c r="D91" s="383"/>
      <c r="E91" s="383"/>
      <c r="F91" s="383"/>
      <c r="G91" s="383"/>
      <c r="H91" s="384"/>
      <c r="I91" s="151" t="str">
        <f>+IF(AG78="","",IF(AG78=1,"NA",IF(AND(AG78=3,(IF(COUNTIFS(C81:C90,AH81,AE81:AE90,"&gt;0")&gt;=1,1,0)+IF(COUNTIFS(C81:C90,AH82,AE81:AE90,"&gt;0")&gt;=1,1,0)+IF(COUNTIFS(C81:C90,AH83,AE81:AE90,"&gt;0")&gt;=1,1,0))&gt;=AG78),"SI",IF(AND(AG78=2,(IF(COUNTIFS(C81:C90,AH81,AE81:AE90,"&gt;0")&gt;=1,1,0)+IF(COUNTIFS(C81:C90,AH82,AE81:AE90,"&gt;0")&gt;=1,1,0))&gt;=AG78),"SI","NO"))))</f>
        <v>SI</v>
      </c>
      <c r="J91" s="216"/>
      <c r="K91" s="27"/>
      <c r="L91" s="27"/>
      <c r="M91" s="27"/>
      <c r="N91" s="27"/>
      <c r="O91" s="27"/>
      <c r="P91" s="385" t="str">
        <f>+$P$23</f>
        <v>FACTURACION MENSUAL TOTAL</v>
      </c>
      <c r="Q91" s="386"/>
      <c r="R91" s="386"/>
      <c r="S91" s="386"/>
      <c r="T91" s="189">
        <f>ROUND(SUM(T81:T90),3)</f>
        <v>382.7</v>
      </c>
      <c r="U91" s="60"/>
      <c r="V91" s="1"/>
      <c r="W91" s="61"/>
      <c r="X91" s="61"/>
      <c r="Y91" s="61"/>
      <c r="Z91" s="61"/>
      <c r="AA91" s="61"/>
      <c r="AB91" s="61"/>
    </row>
    <row r="92" spans="1:34" ht="38.25" customHeight="1" thickBot="1" x14ac:dyDescent="0.25">
      <c r="B92" s="57" t="str">
        <f>"B"&amp;B78</f>
        <v>B5</v>
      </c>
      <c r="C92" s="387" t="str">
        <f>+C75</f>
        <v>En caso de proponente plural: ¿De la totalidad de los contratos aportados por el proponente plural, el valor ejecutado de uno de ellos deberá ser igual o superior al 30% del P.O.?  (SI; NO; NA)</v>
      </c>
      <c r="D92" s="388"/>
      <c r="E92" s="388"/>
      <c r="F92" s="388"/>
      <c r="G92" s="389"/>
      <c r="H92" s="190">
        <f>+$H$6</f>
        <v>268.14722506074827</v>
      </c>
      <c r="I92" s="191" t="str">
        <f>+IF(AG78="","",IF(AG78=1,"NA",IF(AND(AG78&gt;1,(COUNTIFS(AD81:AD90,"SI",AE81:AE90,"&gt;0"))&gt;=1),"SI","NO")))</f>
        <v>SI</v>
      </c>
      <c r="J92" s="192"/>
      <c r="K92" s="193"/>
      <c r="L92" s="194"/>
      <c r="M92" s="194"/>
      <c r="N92" s="194"/>
      <c r="O92" s="194"/>
      <c r="P92" s="387" t="str">
        <f>+$P$24</f>
        <v>PROMEDIO FACTURACIÓN MENSUAL DEL PROPONENTE (PFMP)</v>
      </c>
      <c r="Q92" s="388"/>
      <c r="R92" s="388"/>
      <c r="S92" s="388"/>
      <c r="T92" s="195">
        <f t="array" ref="T92">IF(T91=0,0,ROUND(T91/(SUM(IF(FREQUENCY(A81:A90,A81:A90)&gt;0,1))),3))</f>
        <v>127.56699999999999</v>
      </c>
      <c r="U92" s="199"/>
      <c r="V92" s="1"/>
      <c r="W92" s="61"/>
      <c r="X92" s="61"/>
      <c r="Y92" s="61"/>
      <c r="Z92" s="61"/>
      <c r="AA92" s="61"/>
      <c r="AB92" s="61"/>
    </row>
    <row r="93" spans="1:34" ht="21" customHeight="1" thickBot="1" x14ac:dyDescent="0.25">
      <c r="B93" s="197" t="str">
        <f>"C"&amp;B78</f>
        <v>C5</v>
      </c>
      <c r="C93" s="349" t="str">
        <f>+$C$25</f>
        <v>PROPONENTE CUMPLE CON LAS ACTIVIDADES a) y b)? (SI; NO)</v>
      </c>
      <c r="D93" s="350"/>
      <c r="E93" s="350"/>
      <c r="F93" s="350"/>
      <c r="G93" s="350"/>
      <c r="H93" s="351"/>
      <c r="I93" s="198" t="str">
        <f>IF(C78="","",(IF(AND(COUNTIFS(X81:X90,"SI",Z81:Z90,"SI")&gt;=$Z$8,COUNTIFS(X81:X90,"SI",AB81:AB90,"SI")&gt;=$Z$8),"SI","NO")))</f>
        <v>SI</v>
      </c>
      <c r="J93" s="199"/>
      <c r="K93" s="200"/>
      <c r="L93" s="200"/>
      <c r="M93" s="200"/>
      <c r="N93" s="200"/>
      <c r="P93" s="378" t="str">
        <f>+$P$25</f>
        <v>VALOR PUNTAJE POR EXPERIENCIA DEL PROPONENTE</v>
      </c>
      <c r="Q93" s="379"/>
      <c r="R93" s="379"/>
      <c r="S93" s="380"/>
      <c r="T93" s="201">
        <f>IF(OR(C78="",'ASIGNACION DE PUNTAJES'!$C$5=""),"",VLOOKUP(B78,'ASIGNACION DE PUNTAJES'!$A$15:$G$69,7,FALSE))</f>
        <v>656.85</v>
      </c>
      <c r="V93" s="202"/>
    </row>
    <row r="94" spans="1:34" ht="9.75" customHeight="1" thickBot="1" x14ac:dyDescent="0.25">
      <c r="M94" s="84"/>
      <c r="N94" s="84"/>
      <c r="O94" s="84"/>
      <c r="V94" s="21"/>
    </row>
    <row r="95" spans="1:34" ht="36.75" customHeight="1" thickBot="1" x14ac:dyDescent="0.25">
      <c r="B95" s="23">
        <f>1+B78</f>
        <v>6</v>
      </c>
      <c r="C95" s="336" t="s">
        <v>38</v>
      </c>
      <c r="D95" s="337"/>
      <c r="E95" s="337"/>
      <c r="F95" s="337"/>
      <c r="G95" s="337"/>
      <c r="H95" s="337"/>
      <c r="I95" s="338"/>
      <c r="J95" s="24" t="str">
        <f>+IF(C95="","","INTEGRANTES")</f>
        <v>INTEGRANTES</v>
      </c>
      <c r="K95" s="339" t="s">
        <v>890</v>
      </c>
      <c r="L95" s="339"/>
      <c r="M95" s="339"/>
      <c r="N95" s="339"/>
      <c r="O95" s="339"/>
      <c r="P95" s="339"/>
      <c r="Q95" s="339"/>
      <c r="R95" s="396" t="str">
        <f>+$R$10</f>
        <v>PROPONENTE No.</v>
      </c>
      <c r="S95" s="397"/>
      <c r="T95" s="25">
        <f>+B95</f>
        <v>6</v>
      </c>
      <c r="U95" s="161" t="str">
        <f>+$U$10</f>
        <v>PFMP</v>
      </c>
      <c r="V95" s="162">
        <f>IF(T109="",0,T109)</f>
        <v>134.005</v>
      </c>
      <c r="X95" s="325" t="s">
        <v>168</v>
      </c>
      <c r="Z95" s="163" t="str">
        <f>+$Z$10</f>
        <v>EXP. ESPECÍFICA 
A:</v>
      </c>
      <c r="AB95" s="163" t="str">
        <f>+$AB$10</f>
        <v>EXP. ESPECÍFICA 
B:</v>
      </c>
      <c r="AG95" s="1">
        <v>1</v>
      </c>
    </row>
    <row r="96" spans="1:34" ht="42" customHeight="1" x14ac:dyDescent="0.2">
      <c r="B96" s="331" t="str">
        <f>+$B$11</f>
        <v>ITEM</v>
      </c>
      <c r="C96" s="318" t="str">
        <f>+$C$11</f>
        <v>PROPONENTE 
/ 
INTEGRANTE OFERENTE PLURAL</v>
      </c>
      <c r="D96" s="333" t="str">
        <f>+$D$11</f>
        <v>INFORMACIÓN DEL CONTRATO</v>
      </c>
      <c r="E96" s="334"/>
      <c r="F96" s="334"/>
      <c r="G96" s="335"/>
      <c r="H96" s="318" t="str">
        <f>+H79</f>
        <v>CONSECUTIVO RUP</v>
      </c>
      <c r="I96" s="318" t="str">
        <f>+$I$11</f>
        <v>¿SE ENCUENTRA INSCRITO EN EL RUP Y CUMPLE CÓDIGOS UNSPSC?</v>
      </c>
      <c r="J96" s="318" t="str">
        <f>+$J$11</f>
        <v xml:space="preserve">VALOR EN RUP (SMMLV) </v>
      </c>
      <c r="K96" s="318" t="str">
        <f>+$K$11</f>
        <v>% PARTIC en el RUP</v>
      </c>
      <c r="L96" s="318" t="str">
        <f>+$L$11</f>
        <v>VALOR DEL CONTRATO TERMINADO (SMMLV) en el   RUP</v>
      </c>
      <c r="M96" s="318" t="str">
        <f>+$M$11</f>
        <v>FECHA DE INICIO</v>
      </c>
      <c r="N96" s="318" t="str">
        <f>+$N$11</f>
        <v>FECHA DE TERMINACION</v>
      </c>
      <c r="O96" s="318" t="str">
        <f>+$O$11</f>
        <v>PLAZO CONTRA-TO (Meses)</v>
      </c>
      <c r="P96" s="390" t="str">
        <f>+$P$11</f>
        <v>Tsusp i</v>
      </c>
      <c r="Q96" s="391"/>
      <c r="R96" s="392"/>
      <c r="S96" s="318" t="str">
        <f>+$S$11</f>
        <v>PLAZO i REAL</v>
      </c>
      <c r="T96" s="318" t="str">
        <f>+$T$11</f>
        <v>FACTURA-CION MENSUAL PROPO-NENTE</v>
      </c>
      <c r="U96" s="318" t="str">
        <f>+$U$11</f>
        <v>VALIDACIÓN DE LA EXPERIENCIA GENERAL
(SI/NO)</v>
      </c>
      <c r="V96" s="393" t="str">
        <f>+$V$11</f>
        <v>OBSERVACIONES</v>
      </c>
      <c r="W96" s="164"/>
      <c r="X96" s="326"/>
      <c r="Z96" s="381" t="str">
        <f>+$Z$11</f>
        <v>Interventoria a la ejecución de obras relacionadas con Colocación de capas granulares (tales como bases y/o sub-bases granulares).</v>
      </c>
      <c r="AB96" s="381" t="str">
        <f>+$AB$11</f>
        <v>Interventoria a la Ejecución de obras de subdrenaje y/o drenaje, en carreteras.</v>
      </c>
    </row>
    <row r="97" spans="1:34" ht="38.25" customHeight="1" thickBot="1" x14ac:dyDescent="0.25">
      <c r="B97" s="395"/>
      <c r="C97" s="348"/>
      <c r="D97" s="165" t="str">
        <f>+$D$12</f>
        <v>ENTIDAD</v>
      </c>
      <c r="E97" s="165" t="str">
        <f>+$E$12</f>
        <v>No. DE CONTRATO</v>
      </c>
      <c r="F97" s="165" t="str">
        <f>+$F$12</f>
        <v>OBJETO</v>
      </c>
      <c r="G97" s="165" t="str">
        <f>+$G$12</f>
        <v>CONTRATISTA</v>
      </c>
      <c r="H97" s="348"/>
      <c r="I97" s="348"/>
      <c r="J97" s="348"/>
      <c r="K97" s="348"/>
      <c r="L97" s="348"/>
      <c r="M97" s="348"/>
      <c r="N97" s="348"/>
      <c r="O97" s="348"/>
      <c r="P97" s="166" t="str">
        <f>+P80</f>
        <v>Finicsuspi</v>
      </c>
      <c r="Q97" s="166" t="str">
        <f>+Q80</f>
        <v xml:space="preserve"> Ftermsuspi </v>
      </c>
      <c r="R97" s="166" t="str">
        <f>+R80</f>
        <v>Tsusp i (meses)</v>
      </c>
      <c r="S97" s="348"/>
      <c r="T97" s="348"/>
      <c r="U97" s="348"/>
      <c r="V97" s="394"/>
      <c r="X97" s="327"/>
      <c r="Z97" s="381"/>
      <c r="AB97" s="381"/>
    </row>
    <row r="98" spans="1:34" s="27" customFormat="1" ht="70.5" customHeight="1" x14ac:dyDescent="0.2">
      <c r="A98" s="27">
        <f>+IF(T98="","",B98)</f>
        <v>1</v>
      </c>
      <c r="B98" s="28">
        <v>1</v>
      </c>
      <c r="C98" s="86" t="s">
        <v>38</v>
      </c>
      <c r="D98" s="86" t="s">
        <v>39</v>
      </c>
      <c r="E98" s="87" t="s">
        <v>249</v>
      </c>
      <c r="F98" s="87" t="s">
        <v>250</v>
      </c>
      <c r="G98" s="86" t="s">
        <v>38</v>
      </c>
      <c r="H98" s="30">
        <v>121</v>
      </c>
      <c r="I98" s="31" t="s">
        <v>16</v>
      </c>
      <c r="J98" s="32">
        <v>2643.93</v>
      </c>
      <c r="K98" s="33">
        <v>1</v>
      </c>
      <c r="L98" s="34">
        <f>IF(OR(H98="",I98&lt;&gt;"SI",I98="NO",J98="",J98=0,K98="",K98=0,X98&lt;&gt;"SI"),0,J98*K98)</f>
        <v>2643.93</v>
      </c>
      <c r="M98" s="204">
        <v>42600</v>
      </c>
      <c r="N98" s="204">
        <v>43220</v>
      </c>
      <c r="O98" s="169">
        <f>IF(OR(H98="",I98&lt;&gt;"SI",I98="NO",J98="",J98=0,K98="",K98=0,,M98="",N98=""),"",ROUND((((N98-M98)+1)/30),3))</f>
        <v>20.7</v>
      </c>
      <c r="P98" s="204"/>
      <c r="Q98" s="204"/>
      <c r="R98" s="170">
        <f>IF(OR((Q98-P98)=0,P98="",Q98=""),0,(ROUND((((Q98-P98)+1)/30),3)))</f>
        <v>0</v>
      </c>
      <c r="S98" s="171">
        <f>IF(O98="","",ROUND(SUM(O98)-SUM(R98),3))</f>
        <v>20.7</v>
      </c>
      <c r="T98" s="172">
        <f>+IF(C98="","",IF(OR(S98="",S98&lt;=0,I98="",I98="NO",U98="",U98="NO",X98="NO"),"",ROUND(SUM(L98)/S98,3)))</f>
        <v>127.726</v>
      </c>
      <c r="U98" s="35" t="s">
        <v>16</v>
      </c>
      <c r="V98" s="36"/>
      <c r="W98" s="205"/>
      <c r="X98" s="37" t="str">
        <f t="shared" ref="X98:X107" si="40">+IF(C98="","",IF(AND(H98&lt;&gt;"",I98="SI",J98&lt;&gt;"",J98&gt;0,K98&lt;&gt;"",K98&gt;0,S98&lt;&gt;"",S98&gt;0,U98="SI"),"SI","NO"))</f>
        <v>SI</v>
      </c>
      <c r="Z98" s="173" t="s">
        <v>16</v>
      </c>
      <c r="AB98" s="173" t="s">
        <v>16</v>
      </c>
      <c r="AD98" s="10" t="str">
        <f t="shared" ref="AD98:AD107" si="41">+IF($C$95="","",IF(C98="","",IF(L98&gt;=$H$6,"SI","NO")))</f>
        <v>SI</v>
      </c>
      <c r="AE98" s="92">
        <f>+IF(OR($T$98="",X98="",X98="NO"),"",L98)</f>
        <v>2643.93</v>
      </c>
      <c r="AF98" s="92">
        <f>+IF(AE98="","",L98/$S$98)</f>
        <v>127.72608695652174</v>
      </c>
      <c r="AG98" s="174">
        <f>0.1+B95</f>
        <v>6.1</v>
      </c>
      <c r="AH98" s="27" t="s">
        <v>932</v>
      </c>
    </row>
    <row r="99" spans="1:34" s="27" customFormat="1" ht="72.75" customHeight="1" x14ac:dyDescent="0.2">
      <c r="A99" s="27">
        <f t="shared" ref="A99:A107" si="42">+IF(T99="","",B99)</f>
        <v>2</v>
      </c>
      <c r="B99" s="38">
        <v>2</v>
      </c>
      <c r="C99" s="39" t="s">
        <v>38</v>
      </c>
      <c r="D99" s="39" t="s">
        <v>39</v>
      </c>
      <c r="E99" s="46" t="s">
        <v>251</v>
      </c>
      <c r="F99" s="46" t="s">
        <v>252</v>
      </c>
      <c r="G99" s="39" t="s">
        <v>38</v>
      </c>
      <c r="H99" s="40">
        <v>118</v>
      </c>
      <c r="I99" s="41" t="s">
        <v>16</v>
      </c>
      <c r="J99" s="42">
        <v>562.45000000000005</v>
      </c>
      <c r="K99" s="43">
        <v>1</v>
      </c>
      <c r="L99" s="44">
        <f t="shared" ref="L99:L107" si="43">IF(OR(H99="",I99&lt;&gt;"SI",I99="NO",J99="",J99=0,K99="",K99=0,X99&lt;&gt;"SI"),0,J99*K99)</f>
        <v>562.45000000000005</v>
      </c>
      <c r="M99" s="206">
        <v>42678</v>
      </c>
      <c r="N99" s="206">
        <v>43008</v>
      </c>
      <c r="O99" s="207">
        <f t="shared" ref="O99:O107" si="44">IF(OR(H99="",I99&lt;&gt;"SI",I99="NO",J99="",J99=0,K99="",K99=0,,M99="",N99=""),"",ROUND((((N99-M99)+1)/30),3))</f>
        <v>11.032999999999999</v>
      </c>
      <c r="P99" s="206"/>
      <c r="Q99" s="206"/>
      <c r="R99" s="177">
        <f t="shared" ref="R99:R107" si="45">IF(OR((Q99-P99)=0,P99="",Q99=""),0,(ROUND((((Q99-P99)+1)/30),3)))</f>
        <v>0</v>
      </c>
      <c r="S99" s="178">
        <f t="shared" ref="S99:S107" si="46">IF(O99="","",ROUND(SUM(O99)-SUM(R99),3))</f>
        <v>11.032999999999999</v>
      </c>
      <c r="T99" s="208">
        <f t="shared" ref="T99:T107" si="47">+IF(C99="","",IF(OR(S99="",S99&lt;=0,I99="",I99="NO",U99="",U99="NO",X99="NO"),"",ROUND(SUM(L99)/S99,3)))</f>
        <v>50.978999999999999</v>
      </c>
      <c r="U99" s="41" t="s">
        <v>16</v>
      </c>
      <c r="V99" s="209"/>
      <c r="W99" s="205"/>
      <c r="X99" s="37" t="str">
        <f t="shared" si="40"/>
        <v>SI</v>
      </c>
      <c r="Z99" s="173" t="s">
        <v>16</v>
      </c>
      <c r="AB99" s="173" t="s">
        <v>16</v>
      </c>
      <c r="AD99" s="10" t="str">
        <f t="shared" si="41"/>
        <v>SI</v>
      </c>
      <c r="AE99" s="92">
        <f>+IF(OR($T$99="",X99="",X99="NO"),"",L99)</f>
        <v>562.45000000000005</v>
      </c>
      <c r="AF99" s="92">
        <f>+IF(AE99="","",L99/$S$99)</f>
        <v>50.978881537206568</v>
      </c>
      <c r="AG99" s="174">
        <f>0.2+B95</f>
        <v>6.2</v>
      </c>
      <c r="AH99" s="27" t="s">
        <v>932</v>
      </c>
    </row>
    <row r="100" spans="1:34" s="27" customFormat="1" ht="186.75" customHeight="1" x14ac:dyDescent="0.2">
      <c r="A100" s="27">
        <f t="shared" si="42"/>
        <v>3</v>
      </c>
      <c r="B100" s="38">
        <v>3</v>
      </c>
      <c r="C100" s="39" t="s">
        <v>38</v>
      </c>
      <c r="D100" s="39" t="s">
        <v>39</v>
      </c>
      <c r="E100" s="46" t="s">
        <v>253</v>
      </c>
      <c r="F100" s="46" t="s">
        <v>254</v>
      </c>
      <c r="G100" s="39" t="s">
        <v>38</v>
      </c>
      <c r="H100" s="40">
        <v>114</v>
      </c>
      <c r="I100" s="41" t="s">
        <v>16</v>
      </c>
      <c r="J100" s="42">
        <v>5448.74</v>
      </c>
      <c r="K100" s="43">
        <v>1</v>
      </c>
      <c r="L100" s="44">
        <f t="shared" si="43"/>
        <v>5448.74</v>
      </c>
      <c r="M100" s="206">
        <v>42109</v>
      </c>
      <c r="N100" s="206">
        <v>42840</v>
      </c>
      <c r="O100" s="207">
        <f t="shared" si="44"/>
        <v>24.4</v>
      </c>
      <c r="P100" s="206"/>
      <c r="Q100" s="206"/>
      <c r="R100" s="177">
        <f t="shared" si="45"/>
        <v>0</v>
      </c>
      <c r="S100" s="178">
        <f t="shared" si="46"/>
        <v>24.4</v>
      </c>
      <c r="T100" s="208">
        <f t="shared" si="47"/>
        <v>223.309</v>
      </c>
      <c r="U100" s="41" t="s">
        <v>16</v>
      </c>
      <c r="V100" s="45"/>
      <c r="W100" s="205"/>
      <c r="X100" s="37" t="str">
        <f t="shared" si="40"/>
        <v>SI</v>
      </c>
      <c r="Z100" s="173" t="s">
        <v>16</v>
      </c>
      <c r="AB100" s="173" t="s">
        <v>16</v>
      </c>
      <c r="AD100" s="10" t="str">
        <f t="shared" si="41"/>
        <v>SI</v>
      </c>
      <c r="AE100" s="92">
        <f>+IF(OR($T$100="",X100="",X100="NO"),"",L100)</f>
        <v>5448.74</v>
      </c>
      <c r="AF100" s="92">
        <f>+IF(AE100="","",L100/$S$100)</f>
        <v>223.30901639344262</v>
      </c>
      <c r="AG100" s="174">
        <f>0.3+B95</f>
        <v>6.3</v>
      </c>
      <c r="AH100" s="27" t="s">
        <v>932</v>
      </c>
    </row>
    <row r="101" spans="1:34" s="27" customFormat="1" ht="12.75" x14ac:dyDescent="0.2">
      <c r="A101" s="27" t="str">
        <f t="shared" si="42"/>
        <v/>
      </c>
      <c r="B101" s="38"/>
      <c r="C101" s="39"/>
      <c r="D101" s="39"/>
      <c r="E101" s="46"/>
      <c r="F101" s="46"/>
      <c r="G101" s="39"/>
      <c r="H101" s="40"/>
      <c r="I101" s="41"/>
      <c r="J101" s="42"/>
      <c r="K101" s="43"/>
      <c r="L101" s="44">
        <f t="shared" si="43"/>
        <v>0</v>
      </c>
      <c r="M101" s="206"/>
      <c r="N101" s="206"/>
      <c r="O101" s="207" t="str">
        <f t="shared" si="44"/>
        <v/>
      </c>
      <c r="P101" s="206"/>
      <c r="Q101" s="206"/>
      <c r="R101" s="177">
        <f t="shared" si="45"/>
        <v>0</v>
      </c>
      <c r="S101" s="178" t="str">
        <f t="shared" si="46"/>
        <v/>
      </c>
      <c r="T101" s="208" t="str">
        <f t="shared" si="47"/>
        <v/>
      </c>
      <c r="U101" s="41"/>
      <c r="V101" s="45"/>
      <c r="W101" s="210"/>
      <c r="X101" s="37" t="str">
        <f t="shared" si="40"/>
        <v/>
      </c>
      <c r="Z101" s="180"/>
      <c r="AB101" s="173"/>
      <c r="AD101" s="10" t="str">
        <f t="shared" si="41"/>
        <v/>
      </c>
      <c r="AE101" s="92" t="str">
        <f>+IF(OR($T$101="",X101="",X101="NO"),"",L101)</f>
        <v/>
      </c>
      <c r="AF101" s="92" t="str">
        <f>+IF(AE101="","",L101/$S$101)</f>
        <v/>
      </c>
      <c r="AG101" s="174"/>
    </row>
    <row r="102" spans="1:34" s="27" customFormat="1" ht="12.75" x14ac:dyDescent="0.2">
      <c r="A102" s="27" t="str">
        <f t="shared" si="42"/>
        <v/>
      </c>
      <c r="B102" s="38"/>
      <c r="C102" s="39"/>
      <c r="D102" s="39"/>
      <c r="E102" s="46"/>
      <c r="F102" s="46"/>
      <c r="G102" s="39"/>
      <c r="H102" s="40"/>
      <c r="I102" s="41"/>
      <c r="J102" s="42"/>
      <c r="K102" s="43"/>
      <c r="L102" s="44">
        <f t="shared" si="43"/>
        <v>0</v>
      </c>
      <c r="M102" s="206"/>
      <c r="N102" s="206"/>
      <c r="O102" s="207" t="str">
        <f t="shared" si="44"/>
        <v/>
      </c>
      <c r="P102" s="206"/>
      <c r="Q102" s="206"/>
      <c r="R102" s="177">
        <f t="shared" si="45"/>
        <v>0</v>
      </c>
      <c r="S102" s="178" t="str">
        <f t="shared" si="46"/>
        <v/>
      </c>
      <c r="T102" s="208" t="str">
        <f t="shared" si="47"/>
        <v/>
      </c>
      <c r="U102" s="41"/>
      <c r="V102" s="45"/>
      <c r="X102" s="37" t="str">
        <f t="shared" si="40"/>
        <v/>
      </c>
      <c r="Z102" s="181"/>
      <c r="AB102" s="173"/>
      <c r="AD102" s="10" t="str">
        <f t="shared" si="41"/>
        <v/>
      </c>
      <c r="AE102" s="92" t="str">
        <f>+IF(OR($T$102="",X102="",X102="NO"),"",L102)</f>
        <v/>
      </c>
      <c r="AF102" s="92" t="str">
        <f>+IF(AE102="","",L102/$S$102)</f>
        <v/>
      </c>
      <c r="AG102" s="174"/>
    </row>
    <row r="103" spans="1:34" s="27" customFormat="1" ht="12.75" x14ac:dyDescent="0.2">
      <c r="A103" s="27" t="str">
        <f t="shared" si="42"/>
        <v/>
      </c>
      <c r="B103" s="38"/>
      <c r="C103" s="39"/>
      <c r="D103" s="39"/>
      <c r="E103" s="46"/>
      <c r="F103" s="46"/>
      <c r="G103" s="39"/>
      <c r="H103" s="40"/>
      <c r="I103" s="41"/>
      <c r="J103" s="42"/>
      <c r="K103" s="43"/>
      <c r="L103" s="44">
        <f t="shared" si="43"/>
        <v>0</v>
      </c>
      <c r="M103" s="206"/>
      <c r="N103" s="206"/>
      <c r="O103" s="207" t="str">
        <f t="shared" si="44"/>
        <v/>
      </c>
      <c r="P103" s="206"/>
      <c r="Q103" s="206"/>
      <c r="R103" s="177">
        <f t="shared" si="45"/>
        <v>0</v>
      </c>
      <c r="S103" s="178" t="str">
        <f t="shared" si="46"/>
        <v/>
      </c>
      <c r="T103" s="208" t="str">
        <f t="shared" si="47"/>
        <v/>
      </c>
      <c r="U103" s="41"/>
      <c r="V103" s="45"/>
      <c r="X103" s="37" t="str">
        <f t="shared" si="40"/>
        <v/>
      </c>
      <c r="Z103" s="181"/>
      <c r="AB103" s="173"/>
      <c r="AD103" s="10" t="str">
        <f t="shared" si="41"/>
        <v/>
      </c>
      <c r="AE103" s="92" t="str">
        <f>+IF(OR($T$103="",X103="",X103="NO"),"",L103)</f>
        <v/>
      </c>
      <c r="AF103" s="92" t="str">
        <f>+IF(AE103="","",L103/$S$103)</f>
        <v/>
      </c>
      <c r="AG103" s="174"/>
    </row>
    <row r="104" spans="1:34" s="27" customFormat="1" ht="12.75" x14ac:dyDescent="0.2">
      <c r="A104" s="27" t="str">
        <f t="shared" si="42"/>
        <v/>
      </c>
      <c r="B104" s="38"/>
      <c r="C104" s="39"/>
      <c r="D104" s="39"/>
      <c r="E104" s="46"/>
      <c r="F104" s="46"/>
      <c r="G104" s="39"/>
      <c r="H104" s="40"/>
      <c r="I104" s="41"/>
      <c r="J104" s="42"/>
      <c r="K104" s="43"/>
      <c r="L104" s="44">
        <f t="shared" si="43"/>
        <v>0</v>
      </c>
      <c r="M104" s="206"/>
      <c r="N104" s="206"/>
      <c r="O104" s="207" t="str">
        <f t="shared" si="44"/>
        <v/>
      </c>
      <c r="P104" s="206"/>
      <c r="Q104" s="206"/>
      <c r="R104" s="177">
        <f t="shared" si="45"/>
        <v>0</v>
      </c>
      <c r="S104" s="178" t="str">
        <f t="shared" si="46"/>
        <v/>
      </c>
      <c r="T104" s="208" t="str">
        <f t="shared" si="47"/>
        <v/>
      </c>
      <c r="U104" s="41"/>
      <c r="V104" s="45"/>
      <c r="X104" s="37" t="str">
        <f t="shared" si="40"/>
        <v/>
      </c>
      <c r="Z104" s="181"/>
      <c r="AB104" s="173"/>
      <c r="AD104" s="10" t="str">
        <f t="shared" si="41"/>
        <v/>
      </c>
      <c r="AE104" s="92" t="str">
        <f>+IF(OR($T$104="",X104="",X104="NO"),"",L104)</f>
        <v/>
      </c>
      <c r="AF104" s="92" t="str">
        <f>+IF(AE104="","",L104/$S$104)</f>
        <v/>
      </c>
      <c r="AG104" s="174"/>
    </row>
    <row r="105" spans="1:34" s="27" customFormat="1" ht="12.75" x14ac:dyDescent="0.2">
      <c r="A105" s="27" t="str">
        <f t="shared" si="42"/>
        <v/>
      </c>
      <c r="B105" s="38"/>
      <c r="C105" s="39"/>
      <c r="D105" s="39"/>
      <c r="E105" s="46"/>
      <c r="F105" s="46"/>
      <c r="G105" s="39"/>
      <c r="H105" s="40"/>
      <c r="I105" s="41"/>
      <c r="J105" s="42"/>
      <c r="K105" s="43"/>
      <c r="L105" s="44">
        <f t="shared" si="43"/>
        <v>0</v>
      </c>
      <c r="M105" s="206"/>
      <c r="N105" s="206"/>
      <c r="O105" s="207" t="str">
        <f t="shared" si="44"/>
        <v/>
      </c>
      <c r="P105" s="206"/>
      <c r="Q105" s="206"/>
      <c r="R105" s="177">
        <f t="shared" si="45"/>
        <v>0</v>
      </c>
      <c r="S105" s="178" t="str">
        <f t="shared" si="46"/>
        <v/>
      </c>
      <c r="T105" s="208" t="str">
        <f t="shared" si="47"/>
        <v/>
      </c>
      <c r="U105" s="41"/>
      <c r="V105" s="45"/>
      <c r="X105" s="37" t="str">
        <f t="shared" si="40"/>
        <v/>
      </c>
      <c r="Z105" s="181"/>
      <c r="AB105" s="173"/>
      <c r="AD105" s="10" t="str">
        <f t="shared" si="41"/>
        <v/>
      </c>
      <c r="AE105" s="92" t="str">
        <f>+IF(OR($T$105="",X105="",X105="NO"),"",L105)</f>
        <v/>
      </c>
      <c r="AF105" s="92" t="str">
        <f>+IF(AE105="","",L105/$S$105)</f>
        <v/>
      </c>
      <c r="AG105" s="174"/>
    </row>
    <row r="106" spans="1:34" s="27" customFormat="1" ht="12.75" x14ac:dyDescent="0.2">
      <c r="A106" s="27" t="str">
        <f t="shared" si="42"/>
        <v/>
      </c>
      <c r="B106" s="38"/>
      <c r="C106" s="39"/>
      <c r="D106" s="39"/>
      <c r="E106" s="46"/>
      <c r="F106" s="46"/>
      <c r="G106" s="39"/>
      <c r="H106" s="40"/>
      <c r="I106" s="41"/>
      <c r="J106" s="42"/>
      <c r="K106" s="43"/>
      <c r="L106" s="44">
        <f t="shared" si="43"/>
        <v>0</v>
      </c>
      <c r="M106" s="206"/>
      <c r="N106" s="206"/>
      <c r="O106" s="207" t="str">
        <f t="shared" si="44"/>
        <v/>
      </c>
      <c r="P106" s="206"/>
      <c r="Q106" s="206"/>
      <c r="R106" s="177">
        <f t="shared" si="45"/>
        <v>0</v>
      </c>
      <c r="S106" s="178" t="str">
        <f t="shared" si="46"/>
        <v/>
      </c>
      <c r="T106" s="208" t="str">
        <f t="shared" si="47"/>
        <v/>
      </c>
      <c r="U106" s="41"/>
      <c r="V106" s="45"/>
      <c r="X106" s="37" t="str">
        <f t="shared" si="40"/>
        <v/>
      </c>
      <c r="Z106" s="181"/>
      <c r="AB106" s="173"/>
      <c r="AD106" s="10" t="str">
        <f t="shared" si="41"/>
        <v/>
      </c>
      <c r="AE106" s="92" t="str">
        <f>+IF(OR($T$106="",X106="",X106="NO"),"",L106)</f>
        <v/>
      </c>
      <c r="AF106" s="92" t="str">
        <f>+IF(AE106="","",L106/$S$106)</f>
        <v/>
      </c>
      <c r="AG106" s="174"/>
    </row>
    <row r="107" spans="1:34" s="27" customFormat="1" ht="13.5" thickBot="1" x14ac:dyDescent="0.25">
      <c r="A107" s="27" t="str">
        <f t="shared" si="42"/>
        <v/>
      </c>
      <c r="B107" s="47"/>
      <c r="C107" s="48"/>
      <c r="D107" s="48"/>
      <c r="E107" s="49"/>
      <c r="F107" s="49"/>
      <c r="G107" s="48"/>
      <c r="H107" s="50"/>
      <c r="I107" s="51"/>
      <c r="J107" s="14"/>
      <c r="K107" s="52"/>
      <c r="L107" s="53">
        <f t="shared" si="43"/>
        <v>0</v>
      </c>
      <c r="M107" s="211"/>
      <c r="N107" s="211"/>
      <c r="O107" s="212" t="str">
        <f t="shared" si="44"/>
        <v/>
      </c>
      <c r="P107" s="211"/>
      <c r="Q107" s="211"/>
      <c r="R107" s="184">
        <f t="shared" si="45"/>
        <v>0</v>
      </c>
      <c r="S107" s="185" t="str">
        <f t="shared" si="46"/>
        <v/>
      </c>
      <c r="T107" s="213" t="str">
        <f t="shared" si="47"/>
        <v/>
      </c>
      <c r="U107" s="51"/>
      <c r="V107" s="54"/>
      <c r="X107" s="55" t="str">
        <f t="shared" si="40"/>
        <v/>
      </c>
      <c r="Z107" s="187"/>
      <c r="AB107" s="188"/>
      <c r="AD107" s="10" t="str">
        <f t="shared" si="41"/>
        <v/>
      </c>
      <c r="AE107" s="92" t="str">
        <f>+IF(OR($T$107="",X107="",X107="NO"),"",L107)</f>
        <v/>
      </c>
      <c r="AF107" s="92" t="str">
        <f>+IF(AE107="","",L107/$S$107)</f>
        <v/>
      </c>
    </row>
    <row r="108" spans="1:34" ht="36" customHeight="1" x14ac:dyDescent="0.2">
      <c r="B108" s="57" t="str">
        <f>"A"&amp;B95</f>
        <v>A6</v>
      </c>
      <c r="C108" s="382" t="str">
        <f>+$C$23</f>
        <v>¿CADA INTEGRANTE DE PROPONENTE PLURAL APORTAN CONTRATO?  (SI; NO; NA)</v>
      </c>
      <c r="D108" s="383"/>
      <c r="E108" s="383"/>
      <c r="F108" s="383"/>
      <c r="G108" s="383"/>
      <c r="H108" s="384"/>
      <c r="I108" s="217" t="str">
        <f>+IF(AG95="","",IF(AG95=1,"NA",IF(AND(AG95=3,(IF(COUNTIFS(C98:C107,AH98,AE98:AE107,"&gt;0")&gt;=1,1,0)+IF(COUNTIFS(C98:C107,AH99,AE98:AE107,"&gt;0")&gt;=1,1,0)+IF(COUNTIFS(C98:C107,AH100,AE98:AE107,"&gt;0")&gt;=1,1,0))&gt;=AG95),"SI",IF(AND(AG95=2,(IF(COUNTIFS(C98:C107,AH98,AE98:AE107,"&gt;0")&gt;=1,1,0)+IF(COUNTIFS(C98:C107,AH99,AE98:AE107,"&gt;0")&gt;=1,1,0))&gt;=AG95),"SI","NO"))))</f>
        <v>NA</v>
      </c>
      <c r="J108" s="59"/>
      <c r="K108" s="27"/>
      <c r="L108" s="27"/>
      <c r="M108" s="27"/>
      <c r="N108" s="27"/>
      <c r="O108" s="27"/>
      <c r="P108" s="385" t="str">
        <f>+$P$23</f>
        <v>FACTURACION MENSUAL TOTAL</v>
      </c>
      <c r="Q108" s="386"/>
      <c r="R108" s="386"/>
      <c r="S108" s="386"/>
      <c r="T108" s="189">
        <f>ROUND(SUM(T98:T107),3)</f>
        <v>402.01400000000001</v>
      </c>
      <c r="U108" s="60"/>
      <c r="V108" s="1"/>
      <c r="W108" s="61"/>
      <c r="X108" s="61"/>
      <c r="Y108" s="61"/>
      <c r="Z108" s="61"/>
      <c r="AA108" s="61"/>
      <c r="AB108" s="61"/>
    </row>
    <row r="109" spans="1:34" ht="38.25" customHeight="1" thickBot="1" x14ac:dyDescent="0.25">
      <c r="B109" s="57" t="str">
        <f>"B"&amp;B95</f>
        <v>B6</v>
      </c>
      <c r="C109" s="387" t="str">
        <f>+C92</f>
        <v>En caso de proponente plural: ¿De la totalidad de los contratos aportados por el proponente plural, el valor ejecutado de uno de ellos deberá ser igual o superior al 30% del P.O.?  (SI; NO; NA)</v>
      </c>
      <c r="D109" s="388"/>
      <c r="E109" s="388"/>
      <c r="F109" s="388"/>
      <c r="G109" s="389"/>
      <c r="H109" s="190">
        <f>+$H$6</f>
        <v>268.14722506074827</v>
      </c>
      <c r="I109" s="191" t="str">
        <f>+IF(AG95="","",IF(AG95=1,"NA",IF(AND(AG95&gt;1,(COUNTIFS(AD98:AD107,"SI",AE98:AE107,"&gt;0"))&gt;=1),"SI","NO")))</f>
        <v>NA</v>
      </c>
      <c r="J109" s="192"/>
      <c r="K109" s="193"/>
      <c r="L109" s="194"/>
      <c r="M109" s="194"/>
      <c r="N109" s="194"/>
      <c r="O109" s="194"/>
      <c r="P109" s="387" t="str">
        <f>+$P$24</f>
        <v>PROMEDIO FACTURACIÓN MENSUAL DEL PROPONENTE (PFMP)</v>
      </c>
      <c r="Q109" s="388"/>
      <c r="R109" s="388"/>
      <c r="S109" s="388"/>
      <c r="T109" s="195">
        <f t="array" ref="T109">IF(T108=0,0,ROUND(T108/(SUM(IF(FREQUENCY(A98:A107,A98:A107)&gt;0,1))),3))</f>
        <v>134.005</v>
      </c>
      <c r="U109" s="214"/>
      <c r="V109" s="1"/>
      <c r="W109" s="61"/>
      <c r="X109" s="61"/>
      <c r="Y109" s="61"/>
      <c r="Z109" s="61"/>
      <c r="AA109" s="61"/>
      <c r="AB109" s="61"/>
    </row>
    <row r="110" spans="1:34" ht="21" customHeight="1" thickBot="1" x14ac:dyDescent="0.25">
      <c r="B110" s="197" t="str">
        <f>"C"&amp;B95</f>
        <v>C6</v>
      </c>
      <c r="C110" s="349" t="str">
        <f>+$C$25</f>
        <v>PROPONENTE CUMPLE CON LAS ACTIVIDADES a) y b)? (SI; NO)</v>
      </c>
      <c r="D110" s="350"/>
      <c r="E110" s="350"/>
      <c r="F110" s="350"/>
      <c r="G110" s="350"/>
      <c r="H110" s="351"/>
      <c r="I110" s="198" t="str">
        <f>IF(C95="","",(IF(AND(COUNTIFS(X98:X107,"SI",Z98:Z107,"SI")&gt;=$Z$8,COUNTIFS(X98:X107,"SI",AB98:AB107,"SI")&gt;=$Z$8),"SI","NO")))</f>
        <v>SI</v>
      </c>
      <c r="J110" s="199"/>
      <c r="K110" s="200"/>
      <c r="L110" s="200"/>
      <c r="M110" s="200"/>
      <c r="N110" s="200"/>
      <c r="P110" s="378" t="str">
        <f>+$P$25</f>
        <v>VALOR PUNTAJE POR EXPERIENCIA DEL PROPONENTE</v>
      </c>
      <c r="Q110" s="379"/>
      <c r="R110" s="379"/>
      <c r="S110" s="380"/>
      <c r="T110" s="201">
        <f>IF(OR(C95="",'ASIGNACION DE PUNTAJES'!$C$5=""),"",VLOOKUP(B95,'ASIGNACION DE PUNTAJES'!$A$15:$G$69,7,FALSE))</f>
        <v>690</v>
      </c>
      <c r="V110" s="202"/>
    </row>
    <row r="111" spans="1:34" ht="9.75" customHeight="1" thickBot="1" x14ac:dyDescent="0.25">
      <c r="M111" s="84"/>
      <c r="N111" s="84"/>
      <c r="O111" s="84"/>
      <c r="V111" s="21"/>
    </row>
    <row r="112" spans="1:34" ht="36.75" customHeight="1" thickBot="1" x14ac:dyDescent="0.25">
      <c r="B112" s="23">
        <f>1+B95</f>
        <v>7</v>
      </c>
      <c r="C112" s="336" t="s">
        <v>42</v>
      </c>
      <c r="D112" s="337"/>
      <c r="E112" s="337"/>
      <c r="F112" s="337"/>
      <c r="G112" s="337"/>
      <c r="H112" s="337"/>
      <c r="I112" s="338"/>
      <c r="J112" s="24" t="str">
        <f>+IF(C112="","","INTEGRANTES")</f>
        <v>INTEGRANTES</v>
      </c>
      <c r="K112" s="339" t="s">
        <v>890</v>
      </c>
      <c r="L112" s="339"/>
      <c r="M112" s="339"/>
      <c r="N112" s="339"/>
      <c r="O112" s="339"/>
      <c r="P112" s="339"/>
      <c r="Q112" s="339"/>
      <c r="R112" s="396" t="str">
        <f>+$R$10</f>
        <v>PROPONENTE No.</v>
      </c>
      <c r="S112" s="397"/>
      <c r="T112" s="25">
        <f>+B112</f>
        <v>7</v>
      </c>
      <c r="U112" s="161" t="str">
        <f>+$U$10</f>
        <v>PFMP</v>
      </c>
      <c r="V112" s="162">
        <f>IF(T126="",0,T126)</f>
        <v>120.21299999999999</v>
      </c>
      <c r="X112" s="325" t="s">
        <v>168</v>
      </c>
      <c r="Z112" s="163" t="str">
        <f>+$Z$10</f>
        <v>EXP. ESPECÍFICA 
A:</v>
      </c>
      <c r="AB112" s="163" t="str">
        <f>+$AB$10</f>
        <v>EXP. ESPECÍFICA 
B:</v>
      </c>
      <c r="AG112" s="1">
        <v>1</v>
      </c>
    </row>
    <row r="113" spans="1:34" ht="42" customHeight="1" x14ac:dyDescent="0.2">
      <c r="B113" s="331" t="str">
        <f>+$B$11</f>
        <v>ITEM</v>
      </c>
      <c r="C113" s="318" t="str">
        <f>+$C$11</f>
        <v>PROPONENTE 
/ 
INTEGRANTE OFERENTE PLURAL</v>
      </c>
      <c r="D113" s="333" t="str">
        <f>+$D$11</f>
        <v>INFORMACIÓN DEL CONTRATO</v>
      </c>
      <c r="E113" s="334"/>
      <c r="F113" s="334"/>
      <c r="G113" s="335"/>
      <c r="H113" s="318" t="str">
        <f>+H96</f>
        <v>CONSECUTIVO RUP</v>
      </c>
      <c r="I113" s="318" t="str">
        <f>+$I$11</f>
        <v>¿SE ENCUENTRA INSCRITO EN EL RUP Y CUMPLE CÓDIGOS UNSPSC?</v>
      </c>
      <c r="J113" s="318" t="str">
        <f>+$J$11</f>
        <v xml:space="preserve">VALOR EN RUP (SMMLV) </v>
      </c>
      <c r="K113" s="318" t="str">
        <f>+$K$11</f>
        <v>% PARTIC en el RUP</v>
      </c>
      <c r="L113" s="318" t="str">
        <f>+$L$11</f>
        <v>VALOR DEL CONTRATO TERMINADO (SMMLV) en el   RUP</v>
      </c>
      <c r="M113" s="318" t="str">
        <f>+$M$11</f>
        <v>FECHA DE INICIO</v>
      </c>
      <c r="N113" s="318" t="str">
        <f>+$N$11</f>
        <v>FECHA DE TERMINACION</v>
      </c>
      <c r="O113" s="318" t="str">
        <f>+$O$11</f>
        <v>PLAZO CONTRA-TO (Meses)</v>
      </c>
      <c r="P113" s="390" t="str">
        <f>+$P$11</f>
        <v>Tsusp i</v>
      </c>
      <c r="Q113" s="391"/>
      <c r="R113" s="392"/>
      <c r="S113" s="318" t="str">
        <f>+$S$11</f>
        <v>PLAZO i REAL</v>
      </c>
      <c r="T113" s="318" t="str">
        <f>+$T$11</f>
        <v>FACTURA-CION MENSUAL PROPO-NENTE</v>
      </c>
      <c r="U113" s="318" t="str">
        <f>+$U$11</f>
        <v>VALIDACIÓN DE LA EXPERIENCIA GENERAL
(SI/NO)</v>
      </c>
      <c r="V113" s="393" t="str">
        <f>+$V$11</f>
        <v>OBSERVACIONES</v>
      </c>
      <c r="W113" s="164"/>
      <c r="X113" s="326"/>
      <c r="Z113" s="381" t="str">
        <f>+$Z$11</f>
        <v>Interventoria a la ejecución de obras relacionadas con Colocación de capas granulares (tales como bases y/o sub-bases granulares).</v>
      </c>
      <c r="AB113" s="381" t="str">
        <f>+$AB$11</f>
        <v>Interventoria a la Ejecución de obras de subdrenaje y/o drenaje, en carreteras.</v>
      </c>
    </row>
    <row r="114" spans="1:34" ht="38.25" customHeight="1" thickBot="1" x14ac:dyDescent="0.25">
      <c r="B114" s="395"/>
      <c r="C114" s="348"/>
      <c r="D114" s="165" t="str">
        <f>+$D$12</f>
        <v>ENTIDAD</v>
      </c>
      <c r="E114" s="165" t="str">
        <f>+$E$12</f>
        <v>No. DE CONTRATO</v>
      </c>
      <c r="F114" s="165" t="str">
        <f>+$F$12</f>
        <v>OBJETO</v>
      </c>
      <c r="G114" s="165" t="str">
        <f>+$G$12</f>
        <v>CONTRATISTA</v>
      </c>
      <c r="H114" s="348"/>
      <c r="I114" s="348"/>
      <c r="J114" s="348"/>
      <c r="K114" s="348"/>
      <c r="L114" s="348"/>
      <c r="M114" s="348"/>
      <c r="N114" s="348"/>
      <c r="O114" s="348"/>
      <c r="P114" s="166" t="str">
        <f>+P97</f>
        <v>Finicsuspi</v>
      </c>
      <c r="Q114" s="166" t="str">
        <f>+Q97</f>
        <v xml:space="preserve"> Ftermsuspi </v>
      </c>
      <c r="R114" s="166" t="str">
        <f>+R97</f>
        <v>Tsusp i (meses)</v>
      </c>
      <c r="S114" s="348"/>
      <c r="T114" s="348"/>
      <c r="U114" s="348"/>
      <c r="V114" s="394"/>
      <c r="X114" s="327"/>
      <c r="Z114" s="381"/>
      <c r="AB114" s="381"/>
    </row>
    <row r="115" spans="1:34" s="27" customFormat="1" ht="140.25" customHeight="1" x14ac:dyDescent="0.2">
      <c r="A115" s="27">
        <f>+IF(T115="","",B115)</f>
        <v>1</v>
      </c>
      <c r="B115" s="28">
        <v>1</v>
      </c>
      <c r="C115" s="86" t="s">
        <v>42</v>
      </c>
      <c r="D115" s="86" t="s">
        <v>255</v>
      </c>
      <c r="E115" s="87" t="s">
        <v>256</v>
      </c>
      <c r="F115" s="87" t="s">
        <v>257</v>
      </c>
      <c r="G115" s="86" t="s">
        <v>258</v>
      </c>
      <c r="H115" s="30">
        <v>8</v>
      </c>
      <c r="I115" s="31" t="s">
        <v>16</v>
      </c>
      <c r="J115" s="32">
        <v>2236.7600000000002</v>
      </c>
      <c r="K115" s="33">
        <v>1</v>
      </c>
      <c r="L115" s="34">
        <f>IF(OR(H115="",I115&lt;&gt;"SI",I115="NO",J115="",J115=0,K115="",K115=0,X115&lt;&gt;"SI"),0,J115*K115)</f>
        <v>2236.7600000000002</v>
      </c>
      <c r="M115" s="204">
        <v>35177</v>
      </c>
      <c r="N115" s="204">
        <v>35563</v>
      </c>
      <c r="O115" s="169">
        <f>IF(OR(H115="",I115&lt;&gt;"SI",I115="NO",J115="",J115=0,K115="",K115=0,,M115="",N115=""),"",ROUND((((N115-M115)+1)/30),3))</f>
        <v>12.9</v>
      </c>
      <c r="P115" s="204"/>
      <c r="Q115" s="204"/>
      <c r="R115" s="170">
        <f>IF(OR((Q115-P115)=0,P115="",Q115=""),0,(ROUND((((Q115-P115)+1)/30),3)))</f>
        <v>0</v>
      </c>
      <c r="S115" s="171">
        <f>IF(O115="","",ROUND(SUM(O115)-SUM(R115),3))</f>
        <v>12.9</v>
      </c>
      <c r="T115" s="172">
        <f>+IF(C115="","",IF(OR(S115="",S115&lt;=0,I115="",I115="NO",U115="",U115="NO",X115="NO"),"",ROUND(SUM(L115)/S115,3)))</f>
        <v>173.392</v>
      </c>
      <c r="U115" s="35" t="s">
        <v>16</v>
      </c>
      <c r="V115" s="36"/>
      <c r="W115" s="205"/>
      <c r="X115" s="37" t="str">
        <f t="shared" ref="X115:X124" si="48">+IF(C115="","",IF(AND(H115&lt;&gt;"",I115="SI",J115&lt;&gt;"",J115&gt;0,K115&lt;&gt;"",K115&gt;0,S115&lt;&gt;"",S115&gt;0,U115="SI"),"SI","NO"))</f>
        <v>SI</v>
      </c>
      <c r="Z115" s="173" t="s">
        <v>211</v>
      </c>
      <c r="AB115" s="173" t="s">
        <v>211</v>
      </c>
      <c r="AD115" s="10" t="str">
        <f>+IF($C$112="","",IF(C115="","",IF(L115&gt;=$H$6,"SI","NO")))</f>
        <v>SI</v>
      </c>
      <c r="AE115" s="92">
        <f>+IF(OR($T$115="",X115="",X115="NO"),"",L115)</f>
        <v>2236.7600000000002</v>
      </c>
      <c r="AF115" s="92">
        <f>+IF(AE115="","",L115/$S$115)</f>
        <v>173.39224806201551</v>
      </c>
      <c r="AG115" s="174">
        <f>0.1+B112</f>
        <v>7.1</v>
      </c>
      <c r="AH115" s="27" t="s">
        <v>932</v>
      </c>
    </row>
    <row r="116" spans="1:34" s="27" customFormat="1" ht="89.25" customHeight="1" x14ac:dyDescent="0.2">
      <c r="A116" s="27">
        <f>+IF(T116="","",B116)</f>
        <v>2</v>
      </c>
      <c r="B116" s="38">
        <v>2</v>
      </c>
      <c r="C116" s="39" t="s">
        <v>42</v>
      </c>
      <c r="D116" s="39" t="s">
        <v>259</v>
      </c>
      <c r="E116" s="46" t="s">
        <v>260</v>
      </c>
      <c r="F116" s="46" t="s">
        <v>261</v>
      </c>
      <c r="G116" s="39" t="s">
        <v>262</v>
      </c>
      <c r="H116" s="40">
        <v>76</v>
      </c>
      <c r="I116" s="41" t="s">
        <v>16</v>
      </c>
      <c r="J116" s="42">
        <v>21741.25</v>
      </c>
      <c r="K116" s="43">
        <v>0.2</v>
      </c>
      <c r="L116" s="44">
        <f t="shared" ref="L116:L124" si="49">IF(OR(H116="",I116&lt;&gt;"SI",I116="NO",J116="",J116=0,K116="",K116=0,X116&lt;&gt;"SI"),0,J116*K116)</f>
        <v>4348.25</v>
      </c>
      <c r="M116" s="206">
        <v>40079</v>
      </c>
      <c r="N116" s="206">
        <v>42094</v>
      </c>
      <c r="O116" s="207">
        <f t="shared" ref="O116:O124" si="50">IF(OR(H116="",I116&lt;&gt;"SI",I116="NO",J116="",J116=0,K116="",K116=0,,M116="",N116=""),"",ROUND((((N116-M116)+1)/30),3))</f>
        <v>67.2</v>
      </c>
      <c r="P116" s="206">
        <v>41898</v>
      </c>
      <c r="Q116" s="206">
        <v>41943</v>
      </c>
      <c r="R116" s="177">
        <f t="shared" ref="R116:R124" si="51">IF(OR((Q116-P116)=0,P116="",Q116=""),0,(ROUND((((Q116-P116)+1)/30),3)))</f>
        <v>1.5329999999999999</v>
      </c>
      <c r="S116" s="178">
        <f>IF(O116="","",ROUND(SUM(O116)-SUM(R116:R117),3))</f>
        <v>64.867000000000004</v>
      </c>
      <c r="T116" s="208">
        <f t="shared" ref="T116:T124" si="52">+IF(C116="","",IF(OR(S116="",S116&lt;=0,I116="",I116="NO",U116="",U116="NO",X116="NO"),"",ROUND(SUM(L116)/S116,3)))</f>
        <v>67.033000000000001</v>
      </c>
      <c r="U116" s="41" t="s">
        <v>16</v>
      </c>
      <c r="V116" s="209"/>
      <c r="W116" s="205"/>
      <c r="X116" s="37" t="str">
        <f t="shared" si="48"/>
        <v>SI</v>
      </c>
      <c r="Z116" s="173" t="s">
        <v>16</v>
      </c>
      <c r="AB116" s="173" t="s">
        <v>16</v>
      </c>
      <c r="AD116" s="10" t="str">
        <f>+IF($C$112="","",IF(C116="","",IF(L116&gt;=$H$6,"SI","NO")))</f>
        <v>SI</v>
      </c>
      <c r="AE116" s="92">
        <f>+IF(OR($T$115="",X116="",X116="NO"),"",L116)</f>
        <v>4348.25</v>
      </c>
      <c r="AF116" s="92">
        <f>+IF(AE116="","",L116/$S$115)</f>
        <v>337.0736434108527</v>
      </c>
      <c r="AG116" s="174">
        <f>0.2+B112</f>
        <v>7.2</v>
      </c>
      <c r="AH116" s="27" t="s">
        <v>932</v>
      </c>
    </row>
    <row r="117" spans="1:34" s="27" customFormat="1" ht="12.75" x14ac:dyDescent="0.2">
      <c r="A117" s="27" t="str">
        <f t="shared" ref="A117:A124" si="53">+IF(T117="","",B117)</f>
        <v/>
      </c>
      <c r="B117" s="38"/>
      <c r="C117" s="39"/>
      <c r="D117" s="39"/>
      <c r="E117" s="46"/>
      <c r="F117" s="46"/>
      <c r="G117" s="39"/>
      <c r="H117" s="40"/>
      <c r="I117" s="41"/>
      <c r="J117" s="42"/>
      <c r="K117" s="43"/>
      <c r="L117" s="44">
        <f t="shared" si="49"/>
        <v>0</v>
      </c>
      <c r="M117" s="206"/>
      <c r="N117" s="206"/>
      <c r="O117" s="207" t="str">
        <f t="shared" si="50"/>
        <v/>
      </c>
      <c r="P117" s="206">
        <v>41944</v>
      </c>
      <c r="Q117" s="206">
        <v>41967</v>
      </c>
      <c r="R117" s="177">
        <f t="shared" si="51"/>
        <v>0.8</v>
      </c>
      <c r="S117" s="178" t="str">
        <f t="shared" ref="S117:S124" si="54">IF(O117="","",ROUND(SUM(O117)-SUM(R117),3))</f>
        <v/>
      </c>
      <c r="T117" s="208" t="str">
        <f t="shared" si="52"/>
        <v/>
      </c>
      <c r="U117" s="41"/>
      <c r="V117" s="45"/>
      <c r="W117" s="205"/>
      <c r="X117" s="37" t="str">
        <f t="shared" si="48"/>
        <v/>
      </c>
      <c r="Z117" s="173"/>
      <c r="AB117" s="173"/>
      <c r="AD117" s="10" t="str">
        <f t="shared" ref="AD117:AD124" si="55">+IF($C$112="","",IF(C117="","",IF(L117&gt;=$H$6,"SI","NO")))</f>
        <v/>
      </c>
      <c r="AE117" s="92" t="str">
        <f>+IF(OR($T$117="",X117="",X117="NO"),"",L117)</f>
        <v/>
      </c>
      <c r="AF117" s="92" t="str">
        <f>+IF(AE117="","",L117/$S$117)</f>
        <v/>
      </c>
      <c r="AG117" s="174">
        <f>0.3+B112</f>
        <v>7.3</v>
      </c>
      <c r="AH117" s="27" t="s">
        <v>932</v>
      </c>
    </row>
    <row r="118" spans="1:34" s="27" customFormat="1" ht="12.75" x14ac:dyDescent="0.2">
      <c r="A118" s="27" t="str">
        <f t="shared" si="53"/>
        <v/>
      </c>
      <c r="B118" s="38"/>
      <c r="C118" s="39"/>
      <c r="D118" s="39"/>
      <c r="E118" s="46"/>
      <c r="F118" s="46"/>
      <c r="G118" s="39"/>
      <c r="H118" s="40"/>
      <c r="I118" s="41"/>
      <c r="J118" s="42"/>
      <c r="K118" s="43"/>
      <c r="L118" s="44">
        <f t="shared" si="49"/>
        <v>0</v>
      </c>
      <c r="M118" s="206"/>
      <c r="N118" s="206"/>
      <c r="O118" s="207" t="str">
        <f t="shared" si="50"/>
        <v/>
      </c>
      <c r="P118" s="206"/>
      <c r="Q118" s="206"/>
      <c r="R118" s="177">
        <f t="shared" si="51"/>
        <v>0</v>
      </c>
      <c r="S118" s="178" t="str">
        <f t="shared" si="54"/>
        <v/>
      </c>
      <c r="T118" s="208" t="str">
        <f t="shared" si="52"/>
        <v/>
      </c>
      <c r="U118" s="41"/>
      <c r="V118" s="45"/>
      <c r="W118" s="210"/>
      <c r="X118" s="37" t="str">
        <f t="shared" si="48"/>
        <v/>
      </c>
      <c r="Z118" s="180"/>
      <c r="AB118" s="173"/>
      <c r="AD118" s="10" t="str">
        <f t="shared" si="55"/>
        <v/>
      </c>
      <c r="AE118" s="92" t="str">
        <f>+IF(OR($T$118="",X118="",X118="NO"),"",L118)</f>
        <v/>
      </c>
      <c r="AF118" s="92" t="str">
        <f>+IF(AE118="","",L118/$S$118)</f>
        <v/>
      </c>
      <c r="AG118" s="174"/>
    </row>
    <row r="119" spans="1:34" s="27" customFormat="1" ht="12.75" x14ac:dyDescent="0.2">
      <c r="A119" s="27" t="str">
        <f t="shared" si="53"/>
        <v/>
      </c>
      <c r="B119" s="38"/>
      <c r="C119" s="39"/>
      <c r="D119" s="39"/>
      <c r="E119" s="46"/>
      <c r="F119" s="46"/>
      <c r="G119" s="39"/>
      <c r="H119" s="40"/>
      <c r="I119" s="41"/>
      <c r="J119" s="42"/>
      <c r="K119" s="43"/>
      <c r="L119" s="44">
        <f t="shared" si="49"/>
        <v>0</v>
      </c>
      <c r="M119" s="206"/>
      <c r="N119" s="206"/>
      <c r="O119" s="207" t="str">
        <f t="shared" si="50"/>
        <v/>
      </c>
      <c r="P119" s="206"/>
      <c r="Q119" s="206"/>
      <c r="R119" s="177">
        <f t="shared" si="51"/>
        <v>0</v>
      </c>
      <c r="S119" s="178" t="str">
        <f t="shared" si="54"/>
        <v/>
      </c>
      <c r="T119" s="208" t="str">
        <f t="shared" si="52"/>
        <v/>
      </c>
      <c r="U119" s="41"/>
      <c r="V119" s="45"/>
      <c r="X119" s="37" t="str">
        <f t="shared" si="48"/>
        <v/>
      </c>
      <c r="Z119" s="181"/>
      <c r="AB119" s="173"/>
      <c r="AD119" s="10" t="str">
        <f t="shared" si="55"/>
        <v/>
      </c>
      <c r="AE119" s="92" t="str">
        <f>+IF(OR($T$119="",X119="",X119="NO"),"",L119)</f>
        <v/>
      </c>
      <c r="AF119" s="92" t="str">
        <f>+IF(AE119="","",L119/$S$119)</f>
        <v/>
      </c>
      <c r="AG119" s="174"/>
    </row>
    <row r="120" spans="1:34" s="27" customFormat="1" ht="12.75" x14ac:dyDescent="0.2">
      <c r="A120" s="27" t="str">
        <f t="shared" si="53"/>
        <v/>
      </c>
      <c r="B120" s="38"/>
      <c r="C120" s="39"/>
      <c r="D120" s="39"/>
      <c r="E120" s="46"/>
      <c r="F120" s="46"/>
      <c r="G120" s="39"/>
      <c r="H120" s="40"/>
      <c r="I120" s="41"/>
      <c r="J120" s="42"/>
      <c r="K120" s="43"/>
      <c r="L120" s="44">
        <f t="shared" si="49"/>
        <v>0</v>
      </c>
      <c r="M120" s="206"/>
      <c r="N120" s="206"/>
      <c r="O120" s="207" t="str">
        <f t="shared" si="50"/>
        <v/>
      </c>
      <c r="P120" s="206"/>
      <c r="Q120" s="206"/>
      <c r="R120" s="177">
        <f t="shared" si="51"/>
        <v>0</v>
      </c>
      <c r="S120" s="178" t="str">
        <f t="shared" si="54"/>
        <v/>
      </c>
      <c r="T120" s="208" t="str">
        <f t="shared" si="52"/>
        <v/>
      </c>
      <c r="U120" s="41"/>
      <c r="V120" s="45"/>
      <c r="X120" s="37" t="str">
        <f t="shared" si="48"/>
        <v/>
      </c>
      <c r="Z120" s="181"/>
      <c r="AB120" s="173"/>
      <c r="AD120" s="10" t="str">
        <f t="shared" si="55"/>
        <v/>
      </c>
      <c r="AE120" s="92" t="str">
        <f>+IF(OR($T$120="",X120="",X120="NO"),"",L120)</f>
        <v/>
      </c>
      <c r="AF120" s="92" t="str">
        <f>+IF(AE120="","",L120/$S$120)</f>
        <v/>
      </c>
      <c r="AG120" s="174"/>
    </row>
    <row r="121" spans="1:34" s="27" customFormat="1" ht="12.75" x14ac:dyDescent="0.2">
      <c r="A121" s="27" t="str">
        <f t="shared" si="53"/>
        <v/>
      </c>
      <c r="B121" s="38"/>
      <c r="C121" s="39"/>
      <c r="D121" s="39"/>
      <c r="E121" s="46"/>
      <c r="F121" s="46"/>
      <c r="G121" s="39"/>
      <c r="H121" s="40"/>
      <c r="I121" s="41"/>
      <c r="J121" s="42"/>
      <c r="K121" s="43"/>
      <c r="L121" s="44">
        <f t="shared" si="49"/>
        <v>0</v>
      </c>
      <c r="M121" s="206"/>
      <c r="N121" s="206"/>
      <c r="O121" s="207" t="str">
        <f t="shared" si="50"/>
        <v/>
      </c>
      <c r="P121" s="206"/>
      <c r="Q121" s="206"/>
      <c r="R121" s="177">
        <f t="shared" si="51"/>
        <v>0</v>
      </c>
      <c r="S121" s="178" t="str">
        <f t="shared" si="54"/>
        <v/>
      </c>
      <c r="T121" s="208" t="str">
        <f t="shared" si="52"/>
        <v/>
      </c>
      <c r="U121" s="41"/>
      <c r="V121" s="45"/>
      <c r="X121" s="37" t="str">
        <f t="shared" si="48"/>
        <v/>
      </c>
      <c r="Z121" s="181"/>
      <c r="AB121" s="173"/>
      <c r="AD121" s="10" t="str">
        <f t="shared" si="55"/>
        <v/>
      </c>
      <c r="AE121" s="92" t="str">
        <f>+IF(OR($T$121="",X121="",X121="NO"),"",L121)</f>
        <v/>
      </c>
      <c r="AF121" s="92" t="str">
        <f>+IF(AE121="","",L121/$S$121)</f>
        <v/>
      </c>
      <c r="AG121" s="174"/>
    </row>
    <row r="122" spans="1:34" s="27" customFormat="1" ht="12.75" x14ac:dyDescent="0.2">
      <c r="A122" s="27" t="str">
        <f t="shared" si="53"/>
        <v/>
      </c>
      <c r="B122" s="38"/>
      <c r="C122" s="39"/>
      <c r="D122" s="39"/>
      <c r="E122" s="46"/>
      <c r="F122" s="46"/>
      <c r="G122" s="39"/>
      <c r="H122" s="40"/>
      <c r="I122" s="41"/>
      <c r="J122" s="42"/>
      <c r="K122" s="43"/>
      <c r="L122" s="44">
        <f t="shared" si="49"/>
        <v>0</v>
      </c>
      <c r="M122" s="206"/>
      <c r="N122" s="206"/>
      <c r="O122" s="207" t="str">
        <f t="shared" si="50"/>
        <v/>
      </c>
      <c r="P122" s="206"/>
      <c r="Q122" s="206"/>
      <c r="R122" s="177">
        <f t="shared" si="51"/>
        <v>0</v>
      </c>
      <c r="S122" s="178" t="str">
        <f t="shared" si="54"/>
        <v/>
      </c>
      <c r="T122" s="208" t="str">
        <f t="shared" si="52"/>
        <v/>
      </c>
      <c r="U122" s="41"/>
      <c r="V122" s="45"/>
      <c r="X122" s="37" t="str">
        <f t="shared" si="48"/>
        <v/>
      </c>
      <c r="Z122" s="181"/>
      <c r="AB122" s="173"/>
      <c r="AD122" s="10" t="str">
        <f t="shared" si="55"/>
        <v/>
      </c>
      <c r="AE122" s="92" t="str">
        <f>+IF(OR($T$122="",X122="",X122="NO"),"",L122)</f>
        <v/>
      </c>
      <c r="AF122" s="92" t="str">
        <f>+IF(AE122="","",L122/$S$122)</f>
        <v/>
      </c>
      <c r="AG122" s="174"/>
    </row>
    <row r="123" spans="1:34" s="27" customFormat="1" ht="12.75" x14ac:dyDescent="0.2">
      <c r="A123" s="27" t="str">
        <f t="shared" si="53"/>
        <v/>
      </c>
      <c r="B123" s="38"/>
      <c r="C123" s="39"/>
      <c r="D123" s="39"/>
      <c r="E123" s="46"/>
      <c r="F123" s="46"/>
      <c r="G123" s="39"/>
      <c r="H123" s="40"/>
      <c r="I123" s="41"/>
      <c r="J123" s="42"/>
      <c r="K123" s="43"/>
      <c r="L123" s="44">
        <f t="shared" si="49"/>
        <v>0</v>
      </c>
      <c r="M123" s="206"/>
      <c r="N123" s="206"/>
      <c r="O123" s="207" t="str">
        <f t="shared" si="50"/>
        <v/>
      </c>
      <c r="P123" s="206"/>
      <c r="Q123" s="206"/>
      <c r="R123" s="177">
        <f t="shared" si="51"/>
        <v>0</v>
      </c>
      <c r="S123" s="178" t="str">
        <f t="shared" si="54"/>
        <v/>
      </c>
      <c r="T123" s="208" t="str">
        <f t="shared" si="52"/>
        <v/>
      </c>
      <c r="U123" s="41"/>
      <c r="V123" s="45"/>
      <c r="X123" s="37" t="str">
        <f t="shared" si="48"/>
        <v/>
      </c>
      <c r="Z123" s="181"/>
      <c r="AB123" s="173"/>
      <c r="AD123" s="10" t="str">
        <f t="shared" si="55"/>
        <v/>
      </c>
      <c r="AE123" s="92" t="str">
        <f>+IF(OR($T$123="",X123="",X123="NO"),"",L123)</f>
        <v/>
      </c>
      <c r="AF123" s="92" t="str">
        <f>+IF(AE123="","",L123/$S$123)</f>
        <v/>
      </c>
      <c r="AG123" s="174"/>
    </row>
    <row r="124" spans="1:34" s="27" customFormat="1" ht="13.5" thickBot="1" x14ac:dyDescent="0.25">
      <c r="A124" s="27" t="str">
        <f t="shared" si="53"/>
        <v/>
      </c>
      <c r="B124" s="47"/>
      <c r="C124" s="48"/>
      <c r="D124" s="48"/>
      <c r="E124" s="49"/>
      <c r="F124" s="49"/>
      <c r="G124" s="48"/>
      <c r="H124" s="50"/>
      <c r="I124" s="51"/>
      <c r="J124" s="14"/>
      <c r="K124" s="52"/>
      <c r="L124" s="53">
        <f t="shared" si="49"/>
        <v>0</v>
      </c>
      <c r="M124" s="211"/>
      <c r="N124" s="211"/>
      <c r="O124" s="212" t="str">
        <f t="shared" si="50"/>
        <v/>
      </c>
      <c r="P124" s="211"/>
      <c r="Q124" s="211"/>
      <c r="R124" s="184">
        <f t="shared" si="51"/>
        <v>0</v>
      </c>
      <c r="S124" s="185" t="str">
        <f t="shared" si="54"/>
        <v/>
      </c>
      <c r="T124" s="213" t="str">
        <f t="shared" si="52"/>
        <v/>
      </c>
      <c r="U124" s="51"/>
      <c r="V124" s="54"/>
      <c r="X124" s="55" t="str">
        <f t="shared" si="48"/>
        <v/>
      </c>
      <c r="Z124" s="187"/>
      <c r="AB124" s="188"/>
      <c r="AD124" s="10" t="str">
        <f t="shared" si="55"/>
        <v/>
      </c>
      <c r="AE124" s="92" t="str">
        <f>+IF(OR($T$124="",X124="",X124="NO"),"",L124)</f>
        <v/>
      </c>
      <c r="AF124" s="92" t="str">
        <f>+IF(AE124="","",L124/$S$124)</f>
        <v/>
      </c>
    </row>
    <row r="125" spans="1:34" ht="36" customHeight="1" x14ac:dyDescent="0.2">
      <c r="B125" s="57" t="str">
        <f>"A"&amp;B112</f>
        <v>A7</v>
      </c>
      <c r="C125" s="382" t="str">
        <f>+$C$23</f>
        <v>¿CADA INTEGRANTE DE PROPONENTE PLURAL APORTAN CONTRATO?  (SI; NO; NA)</v>
      </c>
      <c r="D125" s="383"/>
      <c r="E125" s="383"/>
      <c r="F125" s="383"/>
      <c r="G125" s="383"/>
      <c r="H125" s="384"/>
      <c r="I125" s="217" t="str">
        <f>+IF(AG112="","",IF(AG112=1,"NA",IF(AND(AG112=3,(IF(COUNTIFS(C115:C124,AH115,AE115:AE124,"&gt;0")&gt;=1,1,0)+IF(COUNTIFS(C115:C124,AH117,AE115:AE124,"&gt;0")&gt;=1,1,0)+IF(COUNTIFS(C115:C124,AH118,AE115:AE124,"&gt;0")&gt;=1,1,0))&gt;=AG112),"SI",IF(AND(AG112=2,(IF(COUNTIFS(C115:C124,AH115,AE115:AE124,"&gt;0")&gt;=1,1,0)+IF(COUNTIFS(C115:C124,AH117,AE115:AE124,"&gt;0")&gt;=1,1,0))&gt;=AG112),"SI","NO"))))</f>
        <v>NA</v>
      </c>
      <c r="J125" s="59"/>
      <c r="K125" s="27"/>
      <c r="L125" s="27"/>
      <c r="M125" s="27"/>
      <c r="N125" s="27"/>
      <c r="O125" s="27"/>
      <c r="P125" s="385" t="str">
        <f>+$P$23</f>
        <v>FACTURACION MENSUAL TOTAL</v>
      </c>
      <c r="Q125" s="386"/>
      <c r="R125" s="386"/>
      <c r="S125" s="386"/>
      <c r="T125" s="189">
        <f>ROUND(SUM(T115:T124),3)</f>
        <v>240.42500000000001</v>
      </c>
      <c r="U125" s="60"/>
      <c r="V125" s="1"/>
      <c r="W125" s="61"/>
      <c r="X125" s="61"/>
      <c r="Y125" s="61"/>
      <c r="Z125" s="61"/>
      <c r="AA125" s="61"/>
      <c r="AB125" s="61"/>
    </row>
    <row r="126" spans="1:34" ht="38.25" customHeight="1" thickBot="1" x14ac:dyDescent="0.25">
      <c r="B126" s="57" t="str">
        <f>"B"&amp;B112</f>
        <v>B7</v>
      </c>
      <c r="C126" s="387" t="str">
        <f>+C109</f>
        <v>En caso de proponente plural: ¿De la totalidad de los contratos aportados por el proponente plural, el valor ejecutado de uno de ellos deberá ser igual o superior al 30% del P.O.?  (SI; NO; NA)</v>
      </c>
      <c r="D126" s="388"/>
      <c r="E126" s="388"/>
      <c r="F126" s="388"/>
      <c r="G126" s="389"/>
      <c r="H126" s="190">
        <f>+$H$6</f>
        <v>268.14722506074827</v>
      </c>
      <c r="I126" s="191" t="str">
        <f>+IF(AG112="","",IF(AG112=1,"NA",IF(AND(AG112&gt;1,(COUNTIFS(AD115:AD124,"SI",AE115:AE124,"&gt;0"))&gt;=1),"SI","NO")))</f>
        <v>NA</v>
      </c>
      <c r="J126" s="192"/>
      <c r="K126" s="193"/>
      <c r="L126" s="194"/>
      <c r="M126" s="194"/>
      <c r="N126" s="194"/>
      <c r="O126" s="194"/>
      <c r="P126" s="387" t="str">
        <f>+$P$24</f>
        <v>PROMEDIO FACTURACIÓN MENSUAL DEL PROPONENTE (PFMP)</v>
      </c>
      <c r="Q126" s="388"/>
      <c r="R126" s="388"/>
      <c r="S126" s="388"/>
      <c r="T126" s="195">
        <f t="array" ref="T126">IF(T125=0,0,ROUND(T125/(SUM(IF(FREQUENCY(A115:A124,A115:A124)&gt;0,1))),3))</f>
        <v>120.21299999999999</v>
      </c>
      <c r="U126" s="214"/>
      <c r="V126" s="1"/>
      <c r="W126" s="61"/>
      <c r="X126" s="61"/>
      <c r="Y126" s="61"/>
      <c r="Z126" s="61"/>
      <c r="AA126" s="61"/>
      <c r="AB126" s="61"/>
    </row>
    <row r="127" spans="1:34" ht="21" customHeight="1" thickBot="1" x14ac:dyDescent="0.25">
      <c r="B127" s="197" t="str">
        <f>"C"&amp;B112</f>
        <v>C7</v>
      </c>
      <c r="C127" s="349" t="str">
        <f>+$C$25</f>
        <v>PROPONENTE CUMPLE CON LAS ACTIVIDADES a) y b)? (SI; NO)</v>
      </c>
      <c r="D127" s="350"/>
      <c r="E127" s="350"/>
      <c r="F127" s="350"/>
      <c r="G127" s="350"/>
      <c r="H127" s="351"/>
      <c r="I127" s="198" t="str">
        <f>IF(C112="","",(IF(AND(COUNTIFS(X115:X124,"SI",Z115:Z124,"SI")&gt;=$Z$8,COUNTIFS(X115:X124,"SI",AB115:AB124,"SI")&gt;=$Z$8),"SI","NO")))</f>
        <v>SI</v>
      </c>
      <c r="J127" s="199"/>
      <c r="K127" s="200"/>
      <c r="L127" s="200"/>
      <c r="M127" s="200"/>
      <c r="N127" s="200"/>
      <c r="P127" s="378" t="str">
        <f>+$P$25</f>
        <v>VALOR PUNTAJE POR EXPERIENCIA DEL PROPONENTE</v>
      </c>
      <c r="Q127" s="379"/>
      <c r="R127" s="379"/>
      <c r="S127" s="380"/>
      <c r="T127" s="201">
        <f>IF(OR(C112="",'ASIGNACION DE PUNTAJES'!$C$5=""),"",VLOOKUP(B112,'ASIGNACION DE PUNTAJES'!$A$15:$G$69,7,FALSE))</f>
        <v>618.98400000000004</v>
      </c>
      <c r="V127" s="202"/>
    </row>
    <row r="128" spans="1:34" ht="9.75" customHeight="1" thickBot="1" x14ac:dyDescent="0.25">
      <c r="M128" s="84"/>
      <c r="N128" s="84"/>
      <c r="O128" s="84"/>
      <c r="V128" s="21"/>
    </row>
    <row r="129" spans="1:34" ht="36.75" customHeight="1" thickBot="1" x14ac:dyDescent="0.25">
      <c r="B129" s="23">
        <f>1+B112</f>
        <v>8</v>
      </c>
      <c r="C129" s="336" t="s">
        <v>893</v>
      </c>
      <c r="D129" s="337"/>
      <c r="E129" s="337"/>
      <c r="F129" s="337"/>
      <c r="G129" s="337"/>
      <c r="H129" s="337"/>
      <c r="I129" s="338"/>
      <c r="J129" s="24" t="str">
        <f>+IF(C129="","","INTEGRANTES")</f>
        <v>INTEGRANTES</v>
      </c>
      <c r="K129" s="339" t="s">
        <v>894</v>
      </c>
      <c r="L129" s="339"/>
      <c r="M129" s="339"/>
      <c r="N129" s="339"/>
      <c r="O129" s="339"/>
      <c r="P129" s="339"/>
      <c r="Q129" s="339"/>
      <c r="R129" s="396" t="str">
        <f>+$R$10</f>
        <v>PROPONENTE No.</v>
      </c>
      <c r="S129" s="397"/>
      <c r="T129" s="25">
        <f>+B129</f>
        <v>8</v>
      </c>
      <c r="U129" s="161" t="str">
        <f>+$U$10</f>
        <v>PFMP</v>
      </c>
      <c r="V129" s="162">
        <f>IF(T143="",0,T143)</f>
        <v>126.623</v>
      </c>
      <c r="X129" s="325" t="s">
        <v>168</v>
      </c>
      <c r="Z129" s="163" t="str">
        <f>+$Z$10</f>
        <v>EXP. ESPECÍFICA 
A:</v>
      </c>
      <c r="AB129" s="163" t="str">
        <f>+$AB$10</f>
        <v>EXP. ESPECÍFICA 
B:</v>
      </c>
      <c r="AG129" s="1">
        <v>2</v>
      </c>
    </row>
    <row r="130" spans="1:34" ht="42" customHeight="1" x14ac:dyDescent="0.2">
      <c r="B130" s="331" t="str">
        <f>+$B$11</f>
        <v>ITEM</v>
      </c>
      <c r="C130" s="318" t="str">
        <f>+$C$11</f>
        <v>PROPONENTE 
/ 
INTEGRANTE OFERENTE PLURAL</v>
      </c>
      <c r="D130" s="333" t="str">
        <f>+$D$11</f>
        <v>INFORMACIÓN DEL CONTRATO</v>
      </c>
      <c r="E130" s="334"/>
      <c r="F130" s="334"/>
      <c r="G130" s="335"/>
      <c r="H130" s="318" t="str">
        <f>+H113</f>
        <v>CONSECUTIVO RUP</v>
      </c>
      <c r="I130" s="318" t="str">
        <f>+$I$11</f>
        <v>¿SE ENCUENTRA INSCRITO EN EL RUP Y CUMPLE CÓDIGOS UNSPSC?</v>
      </c>
      <c r="J130" s="318" t="str">
        <f>+$J$11</f>
        <v xml:space="preserve">VALOR EN RUP (SMMLV) </v>
      </c>
      <c r="K130" s="318" t="str">
        <f>+$K$11</f>
        <v>% PARTIC en el RUP</v>
      </c>
      <c r="L130" s="318" t="str">
        <f>+$L$11</f>
        <v>VALOR DEL CONTRATO TERMINADO (SMMLV) en el   RUP</v>
      </c>
      <c r="M130" s="318" t="str">
        <f>+$M$11</f>
        <v>FECHA DE INICIO</v>
      </c>
      <c r="N130" s="318" t="str">
        <f>+$N$11</f>
        <v>FECHA DE TERMINACION</v>
      </c>
      <c r="O130" s="318" t="str">
        <f>+$O$11</f>
        <v>PLAZO CONTRA-TO (Meses)</v>
      </c>
      <c r="P130" s="390" t="str">
        <f>+$P$11</f>
        <v>Tsusp i</v>
      </c>
      <c r="Q130" s="391"/>
      <c r="R130" s="392"/>
      <c r="S130" s="318" t="str">
        <f>+$S$11</f>
        <v>PLAZO i REAL</v>
      </c>
      <c r="T130" s="318" t="str">
        <f>+$T$11</f>
        <v>FACTURA-CION MENSUAL PROPO-NENTE</v>
      </c>
      <c r="U130" s="318" t="str">
        <f>+$U$11</f>
        <v>VALIDACIÓN DE LA EXPERIENCIA GENERAL
(SI/NO)</v>
      </c>
      <c r="V130" s="393" t="str">
        <f>+$V$11</f>
        <v>OBSERVACIONES</v>
      </c>
      <c r="W130" s="164"/>
      <c r="X130" s="326"/>
      <c r="Z130" s="381" t="str">
        <f>+$Z$11</f>
        <v>Interventoria a la ejecución de obras relacionadas con Colocación de capas granulares (tales como bases y/o sub-bases granulares).</v>
      </c>
      <c r="AB130" s="381" t="str">
        <f>+$AB$11</f>
        <v>Interventoria a la Ejecución de obras de subdrenaje y/o drenaje, en carreteras.</v>
      </c>
    </row>
    <row r="131" spans="1:34" ht="38.25" customHeight="1" thickBot="1" x14ac:dyDescent="0.25">
      <c r="B131" s="395"/>
      <c r="C131" s="348"/>
      <c r="D131" s="165" t="str">
        <f>+$D$12</f>
        <v>ENTIDAD</v>
      </c>
      <c r="E131" s="165" t="str">
        <f>+$E$12</f>
        <v>No. DE CONTRATO</v>
      </c>
      <c r="F131" s="165" t="str">
        <f>+$F$12</f>
        <v>OBJETO</v>
      </c>
      <c r="G131" s="165" t="str">
        <f>+$G$12</f>
        <v>CONTRATISTA</v>
      </c>
      <c r="H131" s="348"/>
      <c r="I131" s="348"/>
      <c r="J131" s="348"/>
      <c r="K131" s="348"/>
      <c r="L131" s="348"/>
      <c r="M131" s="348"/>
      <c r="N131" s="348"/>
      <c r="O131" s="348"/>
      <c r="P131" s="166" t="str">
        <f>+P114</f>
        <v>Finicsuspi</v>
      </c>
      <c r="Q131" s="166" t="str">
        <f>+Q114</f>
        <v xml:space="preserve"> Ftermsuspi </v>
      </c>
      <c r="R131" s="166" t="str">
        <f>+R114</f>
        <v>Tsusp i (meses)</v>
      </c>
      <c r="S131" s="348"/>
      <c r="T131" s="348"/>
      <c r="U131" s="348"/>
      <c r="V131" s="394"/>
      <c r="X131" s="327"/>
      <c r="Z131" s="381"/>
      <c r="AB131" s="381"/>
    </row>
    <row r="132" spans="1:34" s="27" customFormat="1" ht="79.5" customHeight="1" x14ac:dyDescent="0.2">
      <c r="A132" s="27">
        <f>+IF(T132="","",B132)</f>
        <v>1</v>
      </c>
      <c r="B132" s="28">
        <v>1</v>
      </c>
      <c r="C132" s="86" t="s">
        <v>47</v>
      </c>
      <c r="D132" s="86" t="s">
        <v>43</v>
      </c>
      <c r="E132" s="87" t="s">
        <v>263</v>
      </c>
      <c r="F132" s="87" t="s">
        <v>264</v>
      </c>
      <c r="G132" s="86" t="s">
        <v>265</v>
      </c>
      <c r="H132" s="30">
        <v>50</v>
      </c>
      <c r="I132" s="31" t="s">
        <v>16</v>
      </c>
      <c r="J132" s="32">
        <v>1054.76</v>
      </c>
      <c r="K132" s="33">
        <v>0.5</v>
      </c>
      <c r="L132" s="34">
        <f>IF(OR(H132="",I132&lt;&gt;"SI",I132="NO",J132="",J132=0,K132="",K132=0,X132&lt;&gt;"SI"),0,J132*K132)</f>
        <v>527.38</v>
      </c>
      <c r="M132" s="204">
        <v>41536</v>
      </c>
      <c r="N132" s="204">
        <v>41759</v>
      </c>
      <c r="O132" s="169">
        <f>IF(OR(H132="",I132&lt;&gt;"SI",I132="NO",J132="",J132=0,K132="",K132=0,,M132="",N132=""),"",ROUND((((N132-M132)+1)/30),3))</f>
        <v>7.4669999999999996</v>
      </c>
      <c r="P132" s="204"/>
      <c r="Q132" s="204"/>
      <c r="R132" s="170">
        <f>IF(OR((Q132-P132)=0,P132="",Q132=""),0,(ROUND((((Q132-P132)+1)/30),3)))</f>
        <v>0</v>
      </c>
      <c r="S132" s="171">
        <f>IF(O132="","",ROUND(SUM(O132)-SUM(R132),3))</f>
        <v>7.4669999999999996</v>
      </c>
      <c r="T132" s="172">
        <f>+IF(C132="","",IF(OR(S132="",S132&lt;=0,I132="",I132="NO",U132="",U132="NO",X132="NO"),"",ROUND(SUM(L132)/S132,3)))</f>
        <v>70.628</v>
      </c>
      <c r="U132" s="35" t="s">
        <v>16</v>
      </c>
      <c r="V132" s="36"/>
      <c r="W132" s="205"/>
      <c r="X132" s="37" t="str">
        <f t="shared" ref="X132:X141" si="56">+IF(C132="","",IF(AND(H132&lt;&gt;"",I132="SI",J132&lt;&gt;"",J132&gt;0,K132&lt;&gt;"",K132&gt;0,S132&lt;&gt;"",S132&gt;0,U132="SI"),"SI","NO"))</f>
        <v>SI</v>
      </c>
      <c r="Z132" s="173" t="s">
        <v>16</v>
      </c>
      <c r="AB132" s="173" t="s">
        <v>16</v>
      </c>
      <c r="AD132" s="10" t="str">
        <f t="shared" ref="AD132:AD141" si="57">+IF($C$129="","",IF(C132="","",IF(L132&gt;=$H$6,"SI","NO")))</f>
        <v>SI</v>
      </c>
      <c r="AE132" s="92">
        <f>+IF(OR($T$132="",X132="",X132="NO"),"",L132)</f>
        <v>527.38</v>
      </c>
      <c r="AF132" s="92">
        <f>+IF(AE132="","",L132/$S$132)</f>
        <v>70.628096959957148</v>
      </c>
      <c r="AG132" s="174">
        <f>0.1+B129</f>
        <v>8.1</v>
      </c>
      <c r="AH132" s="27" t="s">
        <v>47</v>
      </c>
    </row>
    <row r="133" spans="1:34" s="27" customFormat="1" ht="103.5" customHeight="1" x14ac:dyDescent="0.2">
      <c r="A133" s="27">
        <f t="shared" ref="A133:A141" si="58">+IF(T133="","",B133)</f>
        <v>2</v>
      </c>
      <c r="B133" s="38">
        <v>2</v>
      </c>
      <c r="C133" s="39" t="s">
        <v>47</v>
      </c>
      <c r="D133" s="39" t="s">
        <v>266</v>
      </c>
      <c r="E133" s="46" t="s">
        <v>267</v>
      </c>
      <c r="F133" s="46" t="s">
        <v>268</v>
      </c>
      <c r="G133" s="39" t="s">
        <v>269</v>
      </c>
      <c r="H133" s="40">
        <v>58</v>
      </c>
      <c r="I133" s="41" t="s">
        <v>16</v>
      </c>
      <c r="J133" s="42">
        <v>4497.99</v>
      </c>
      <c r="K133" s="43">
        <v>0.95</v>
      </c>
      <c r="L133" s="44">
        <f t="shared" ref="L133:L141" si="59">IF(OR(H133="",I133&lt;&gt;"SI",I133="NO",J133="",J133=0,K133="",K133=0,X133&lt;&gt;"SI"),0,J133*K133)</f>
        <v>4273.0904999999993</v>
      </c>
      <c r="M133" s="206">
        <v>41995</v>
      </c>
      <c r="N133" s="206">
        <v>42588</v>
      </c>
      <c r="O133" s="207">
        <f t="shared" ref="O133:O141" si="60">IF(OR(H133="",I133&lt;&gt;"SI",I133="NO",J133="",J133=0,K133="",K133=0,,M133="",N133=""),"",ROUND((((N133-M133)+1)/30),3))</f>
        <v>19.8</v>
      </c>
      <c r="P133" s="206">
        <v>42494</v>
      </c>
      <c r="Q133" s="206">
        <v>42527</v>
      </c>
      <c r="R133" s="177">
        <f t="shared" ref="R133:R141" si="61">IF(OR((Q133-P133)=0,P133="",Q133=""),0,(ROUND((((Q133-P133)+1)/30),3)))</f>
        <v>1.133</v>
      </c>
      <c r="S133" s="178">
        <f>IF(O133="","",ROUND(SUM(O133)-SUM(R133:R134),3))</f>
        <v>17.2</v>
      </c>
      <c r="T133" s="208">
        <f t="shared" ref="T133:T141" si="62">+IF(C133="","",IF(OR(S133="",S133&lt;=0,I133="",I133="NO",U133="",U133="NO",X133="NO"),"",ROUND(SUM(L133)/S133,3)))</f>
        <v>248.435</v>
      </c>
      <c r="U133" s="41" t="s">
        <v>16</v>
      </c>
      <c r="V133" s="209"/>
      <c r="W133" s="205"/>
      <c r="X133" s="37" t="str">
        <f t="shared" si="56"/>
        <v>SI</v>
      </c>
      <c r="Z133" s="173" t="s">
        <v>16</v>
      </c>
      <c r="AB133" s="173" t="s">
        <v>16</v>
      </c>
      <c r="AD133" s="10" t="str">
        <f t="shared" si="57"/>
        <v>SI</v>
      </c>
      <c r="AE133" s="92">
        <f>+IF(OR($T$133="",X133="",X133="NO"),"",L133)</f>
        <v>4273.0904999999993</v>
      </c>
      <c r="AF133" s="92">
        <f>+IF(AE133="","",L133/$S$133)</f>
        <v>248.4354941860465</v>
      </c>
      <c r="AG133" s="174">
        <f>0.2+B129</f>
        <v>8.1999999999999993</v>
      </c>
      <c r="AH133" s="27" t="s">
        <v>270</v>
      </c>
    </row>
    <row r="134" spans="1:34" s="27" customFormat="1" ht="12.75" x14ac:dyDescent="0.2">
      <c r="A134" s="27" t="str">
        <f t="shared" si="58"/>
        <v/>
      </c>
      <c r="B134" s="38"/>
      <c r="C134" s="39"/>
      <c r="D134" s="39"/>
      <c r="E134" s="46"/>
      <c r="F134" s="46"/>
      <c r="G134" s="39"/>
      <c r="H134" s="40"/>
      <c r="I134" s="41"/>
      <c r="J134" s="42"/>
      <c r="K134" s="43"/>
      <c r="L134" s="44">
        <f t="shared" si="59"/>
        <v>0</v>
      </c>
      <c r="M134" s="206"/>
      <c r="N134" s="206"/>
      <c r="O134" s="207" t="str">
        <f t="shared" si="60"/>
        <v/>
      </c>
      <c r="P134" s="206">
        <v>42543</v>
      </c>
      <c r="Q134" s="206">
        <v>42586</v>
      </c>
      <c r="R134" s="177">
        <f t="shared" si="61"/>
        <v>1.4670000000000001</v>
      </c>
      <c r="S134" s="178" t="str">
        <f t="shared" ref="S134:S141" si="63">IF(O134="","",ROUND(SUM(O134)-SUM(R134),3))</f>
        <v/>
      </c>
      <c r="T134" s="208" t="str">
        <f t="shared" si="62"/>
        <v/>
      </c>
      <c r="U134" s="41"/>
      <c r="V134" s="45"/>
      <c r="W134" s="205"/>
      <c r="X134" s="37" t="str">
        <f t="shared" si="56"/>
        <v/>
      </c>
      <c r="Z134" s="173"/>
      <c r="AB134" s="173"/>
      <c r="AD134" s="10" t="str">
        <f t="shared" si="57"/>
        <v/>
      </c>
      <c r="AE134" s="92" t="str">
        <f>+IF(OR($T$134="",X134="",X134="NO"),"",L134)</f>
        <v/>
      </c>
      <c r="AF134" s="92" t="str">
        <f>+IF(AE134="","",L134/$S$134)</f>
        <v/>
      </c>
      <c r="AG134" s="174">
        <f>0.3+B129</f>
        <v>8.3000000000000007</v>
      </c>
      <c r="AH134" s="27" t="s">
        <v>932</v>
      </c>
    </row>
    <row r="135" spans="1:34" s="27" customFormat="1" ht="69" customHeight="1" x14ac:dyDescent="0.2">
      <c r="A135" s="27">
        <f t="shared" si="58"/>
        <v>3</v>
      </c>
      <c r="B135" s="38">
        <v>3</v>
      </c>
      <c r="C135" s="39" t="s">
        <v>270</v>
      </c>
      <c r="D135" s="39" t="s">
        <v>43</v>
      </c>
      <c r="E135" s="46" t="s">
        <v>271</v>
      </c>
      <c r="F135" s="46" t="s">
        <v>272</v>
      </c>
      <c r="G135" s="39" t="s">
        <v>270</v>
      </c>
      <c r="H135" s="40">
        <v>37</v>
      </c>
      <c r="I135" s="41" t="s">
        <v>16</v>
      </c>
      <c r="J135" s="42">
        <v>3857.16</v>
      </c>
      <c r="K135" s="43">
        <v>1</v>
      </c>
      <c r="L135" s="44">
        <f t="shared" si="59"/>
        <v>3857.16</v>
      </c>
      <c r="M135" s="206">
        <v>31944</v>
      </c>
      <c r="N135" s="206">
        <v>33846</v>
      </c>
      <c r="O135" s="207">
        <f t="shared" si="60"/>
        <v>63.433</v>
      </c>
      <c r="P135" s="206"/>
      <c r="Q135" s="206"/>
      <c r="R135" s="177">
        <f t="shared" si="61"/>
        <v>0</v>
      </c>
      <c r="S135" s="178">
        <f t="shared" si="63"/>
        <v>63.433</v>
      </c>
      <c r="T135" s="208">
        <f t="shared" si="62"/>
        <v>60.807000000000002</v>
      </c>
      <c r="U135" s="41" t="s">
        <v>16</v>
      </c>
      <c r="V135" s="45"/>
      <c r="W135" s="205"/>
      <c r="X135" s="37" t="str">
        <f t="shared" si="56"/>
        <v>SI</v>
      </c>
      <c r="Z135" s="180" t="s">
        <v>211</v>
      </c>
      <c r="AB135" s="173" t="s">
        <v>211</v>
      </c>
      <c r="AD135" s="10" t="str">
        <f t="shared" si="57"/>
        <v>SI</v>
      </c>
      <c r="AE135" s="92">
        <f>+IF(OR($T$135="",X135="",X135="NO"),"",L135)</f>
        <v>3857.16</v>
      </c>
      <c r="AF135" s="92">
        <f>+IF(AE135="","",L135/$S$135)</f>
        <v>60.806835558778552</v>
      </c>
      <c r="AG135" s="174"/>
    </row>
    <row r="136" spans="1:34" s="27" customFormat="1" ht="12.75" x14ac:dyDescent="0.2">
      <c r="A136" s="27" t="str">
        <f t="shared" si="58"/>
        <v/>
      </c>
      <c r="B136" s="38"/>
      <c r="C136" s="39"/>
      <c r="D136" s="39"/>
      <c r="E136" s="46"/>
      <c r="F136" s="46"/>
      <c r="G136" s="39"/>
      <c r="H136" s="40"/>
      <c r="I136" s="41"/>
      <c r="J136" s="42"/>
      <c r="K136" s="43"/>
      <c r="L136" s="44">
        <f t="shared" si="59"/>
        <v>0</v>
      </c>
      <c r="M136" s="206"/>
      <c r="N136" s="206"/>
      <c r="O136" s="207" t="str">
        <f t="shared" si="60"/>
        <v/>
      </c>
      <c r="P136" s="206"/>
      <c r="Q136" s="206"/>
      <c r="R136" s="177">
        <f t="shared" si="61"/>
        <v>0</v>
      </c>
      <c r="S136" s="178" t="str">
        <f t="shared" si="63"/>
        <v/>
      </c>
      <c r="T136" s="208" t="str">
        <f t="shared" si="62"/>
        <v/>
      </c>
      <c r="U136" s="41"/>
      <c r="V136" s="45"/>
      <c r="X136" s="37" t="str">
        <f t="shared" si="56"/>
        <v/>
      </c>
      <c r="Z136" s="181"/>
      <c r="AB136" s="173"/>
      <c r="AD136" s="10" t="str">
        <f t="shared" si="57"/>
        <v/>
      </c>
      <c r="AE136" s="92" t="str">
        <f>+IF(OR($T$136="",X136="",X136="NO"),"",L136)</f>
        <v/>
      </c>
      <c r="AF136" s="92" t="str">
        <f>+IF(AE136="","",L136/$S$136)</f>
        <v/>
      </c>
      <c r="AG136" s="174"/>
    </row>
    <row r="137" spans="1:34" s="27" customFormat="1" ht="12.75" x14ac:dyDescent="0.2">
      <c r="A137" s="27" t="str">
        <f t="shared" si="58"/>
        <v/>
      </c>
      <c r="B137" s="38"/>
      <c r="C137" s="39"/>
      <c r="D137" s="39"/>
      <c r="E137" s="46"/>
      <c r="F137" s="46"/>
      <c r="G137" s="39"/>
      <c r="H137" s="40"/>
      <c r="I137" s="41"/>
      <c r="J137" s="42"/>
      <c r="K137" s="43"/>
      <c r="L137" s="44">
        <f t="shared" si="59"/>
        <v>0</v>
      </c>
      <c r="M137" s="206"/>
      <c r="N137" s="206"/>
      <c r="O137" s="207" t="str">
        <f t="shared" si="60"/>
        <v/>
      </c>
      <c r="P137" s="206"/>
      <c r="Q137" s="206"/>
      <c r="R137" s="177">
        <f t="shared" si="61"/>
        <v>0</v>
      </c>
      <c r="S137" s="178" t="str">
        <f t="shared" si="63"/>
        <v/>
      </c>
      <c r="T137" s="208" t="str">
        <f t="shared" si="62"/>
        <v/>
      </c>
      <c r="U137" s="41"/>
      <c r="V137" s="45"/>
      <c r="X137" s="37" t="str">
        <f t="shared" si="56"/>
        <v/>
      </c>
      <c r="Z137" s="181"/>
      <c r="AB137" s="173"/>
      <c r="AD137" s="10" t="str">
        <f t="shared" si="57"/>
        <v/>
      </c>
      <c r="AE137" s="92" t="str">
        <f>+IF(OR($T$137="",X137="",X137="NO"),"",L137)</f>
        <v/>
      </c>
      <c r="AF137" s="92" t="str">
        <f>+IF(AE137="","",L137/$S$137)</f>
        <v/>
      </c>
      <c r="AG137" s="174"/>
    </row>
    <row r="138" spans="1:34" s="27" customFormat="1" ht="12.75" x14ac:dyDescent="0.2">
      <c r="A138" s="27" t="str">
        <f t="shared" si="58"/>
        <v/>
      </c>
      <c r="B138" s="38"/>
      <c r="C138" s="39"/>
      <c r="D138" s="39"/>
      <c r="E138" s="46"/>
      <c r="F138" s="46"/>
      <c r="G138" s="39"/>
      <c r="H138" s="40"/>
      <c r="I138" s="41"/>
      <c r="J138" s="42"/>
      <c r="K138" s="43"/>
      <c r="L138" s="44">
        <f t="shared" si="59"/>
        <v>0</v>
      </c>
      <c r="M138" s="206"/>
      <c r="N138" s="206"/>
      <c r="O138" s="207" t="str">
        <f t="shared" si="60"/>
        <v/>
      </c>
      <c r="P138" s="206"/>
      <c r="Q138" s="206"/>
      <c r="R138" s="177">
        <f t="shared" si="61"/>
        <v>0</v>
      </c>
      <c r="S138" s="178" t="str">
        <f t="shared" si="63"/>
        <v/>
      </c>
      <c r="T138" s="208" t="str">
        <f t="shared" si="62"/>
        <v/>
      </c>
      <c r="U138" s="41"/>
      <c r="V138" s="45"/>
      <c r="X138" s="37" t="str">
        <f t="shared" si="56"/>
        <v/>
      </c>
      <c r="Z138" s="181"/>
      <c r="AB138" s="173"/>
      <c r="AD138" s="10" t="str">
        <f t="shared" si="57"/>
        <v/>
      </c>
      <c r="AE138" s="92" t="str">
        <f>+IF(OR($T$138="",X138="",X138="NO"),"",L138)</f>
        <v/>
      </c>
      <c r="AF138" s="92" t="str">
        <f>+IF(AE138="","",L138/$S$138)</f>
        <v/>
      </c>
      <c r="AG138" s="174"/>
    </row>
    <row r="139" spans="1:34" s="27" customFormat="1" ht="12.75" x14ac:dyDescent="0.2">
      <c r="A139" s="27" t="str">
        <f t="shared" si="58"/>
        <v/>
      </c>
      <c r="B139" s="38"/>
      <c r="C139" s="39"/>
      <c r="D139" s="39"/>
      <c r="E139" s="46"/>
      <c r="F139" s="46"/>
      <c r="G139" s="39"/>
      <c r="H139" s="40"/>
      <c r="I139" s="41"/>
      <c r="J139" s="42"/>
      <c r="K139" s="43"/>
      <c r="L139" s="44">
        <f t="shared" si="59"/>
        <v>0</v>
      </c>
      <c r="M139" s="206"/>
      <c r="N139" s="206"/>
      <c r="O139" s="207" t="str">
        <f t="shared" si="60"/>
        <v/>
      </c>
      <c r="P139" s="206"/>
      <c r="Q139" s="206"/>
      <c r="R139" s="177">
        <f t="shared" si="61"/>
        <v>0</v>
      </c>
      <c r="S139" s="178" t="str">
        <f t="shared" si="63"/>
        <v/>
      </c>
      <c r="T139" s="208" t="str">
        <f t="shared" si="62"/>
        <v/>
      </c>
      <c r="U139" s="41"/>
      <c r="V139" s="45"/>
      <c r="X139" s="37" t="str">
        <f t="shared" si="56"/>
        <v/>
      </c>
      <c r="Z139" s="181"/>
      <c r="AB139" s="173"/>
      <c r="AD139" s="10" t="str">
        <f t="shared" si="57"/>
        <v/>
      </c>
      <c r="AE139" s="92" t="str">
        <f>+IF(OR($T$139="",X139="",X139="NO"),"",L139)</f>
        <v/>
      </c>
      <c r="AF139" s="92" t="str">
        <f>+IF(AE139="","",L139/$S$139)</f>
        <v/>
      </c>
      <c r="AG139" s="174"/>
    </row>
    <row r="140" spans="1:34" s="27" customFormat="1" ht="12.75" x14ac:dyDescent="0.2">
      <c r="A140" s="27" t="str">
        <f t="shared" si="58"/>
        <v/>
      </c>
      <c r="B140" s="38"/>
      <c r="C140" s="39"/>
      <c r="D140" s="39"/>
      <c r="E140" s="46"/>
      <c r="F140" s="46"/>
      <c r="G140" s="39"/>
      <c r="H140" s="40"/>
      <c r="I140" s="41"/>
      <c r="J140" s="42"/>
      <c r="K140" s="43"/>
      <c r="L140" s="44">
        <f t="shared" si="59"/>
        <v>0</v>
      </c>
      <c r="M140" s="206"/>
      <c r="N140" s="206"/>
      <c r="O140" s="207" t="str">
        <f t="shared" si="60"/>
        <v/>
      </c>
      <c r="P140" s="206"/>
      <c r="Q140" s="206"/>
      <c r="R140" s="177">
        <f t="shared" si="61"/>
        <v>0</v>
      </c>
      <c r="S140" s="178" t="str">
        <f t="shared" si="63"/>
        <v/>
      </c>
      <c r="T140" s="208" t="str">
        <f t="shared" si="62"/>
        <v/>
      </c>
      <c r="U140" s="41"/>
      <c r="V140" s="45"/>
      <c r="X140" s="37" t="str">
        <f t="shared" si="56"/>
        <v/>
      </c>
      <c r="Z140" s="181"/>
      <c r="AB140" s="173"/>
      <c r="AD140" s="10" t="str">
        <f t="shared" si="57"/>
        <v/>
      </c>
      <c r="AE140" s="92" t="str">
        <f>+IF(OR($T$140="",X140="",X140="NO"),"",L140)</f>
        <v/>
      </c>
      <c r="AF140" s="92" t="str">
        <f>+IF(AE140="","",L140/$S$140)</f>
        <v/>
      </c>
      <c r="AG140" s="174"/>
    </row>
    <row r="141" spans="1:34" s="27" customFormat="1" ht="13.5" thickBot="1" x14ac:dyDescent="0.25">
      <c r="A141" s="27" t="str">
        <f t="shared" si="58"/>
        <v/>
      </c>
      <c r="B141" s="47"/>
      <c r="C141" s="48"/>
      <c r="D141" s="48"/>
      <c r="E141" s="49"/>
      <c r="F141" s="49"/>
      <c r="G141" s="48"/>
      <c r="H141" s="50"/>
      <c r="I141" s="51"/>
      <c r="J141" s="14"/>
      <c r="K141" s="52"/>
      <c r="L141" s="53">
        <f t="shared" si="59"/>
        <v>0</v>
      </c>
      <c r="M141" s="211"/>
      <c r="N141" s="211"/>
      <c r="O141" s="212" t="str">
        <f t="shared" si="60"/>
        <v/>
      </c>
      <c r="P141" s="211"/>
      <c r="Q141" s="211"/>
      <c r="R141" s="184">
        <f t="shared" si="61"/>
        <v>0</v>
      </c>
      <c r="S141" s="185" t="str">
        <f t="shared" si="63"/>
        <v/>
      </c>
      <c r="T141" s="213" t="str">
        <f t="shared" si="62"/>
        <v/>
      </c>
      <c r="U141" s="51"/>
      <c r="V141" s="54"/>
      <c r="X141" s="55" t="str">
        <f t="shared" si="56"/>
        <v/>
      </c>
      <c r="Z141" s="187"/>
      <c r="AB141" s="188"/>
      <c r="AD141" s="10" t="str">
        <f t="shared" si="57"/>
        <v/>
      </c>
      <c r="AE141" s="92" t="str">
        <f>+IF(OR($T$141="",X141="",X141="NO"),"",L141)</f>
        <v/>
      </c>
      <c r="AF141" s="92" t="str">
        <f>+IF(AE141="","",L141/$S$141)</f>
        <v/>
      </c>
    </row>
    <row r="142" spans="1:34" ht="36" customHeight="1" x14ac:dyDescent="0.2">
      <c r="B142" s="57" t="str">
        <f>"A"&amp;B129</f>
        <v>A8</v>
      </c>
      <c r="C142" s="382" t="str">
        <f>+$C$23</f>
        <v>¿CADA INTEGRANTE DE PROPONENTE PLURAL APORTAN CONTRATO?  (SI; NO; NA)</v>
      </c>
      <c r="D142" s="383"/>
      <c r="E142" s="383"/>
      <c r="F142" s="383"/>
      <c r="G142" s="383"/>
      <c r="H142" s="384"/>
      <c r="I142" s="217" t="str">
        <f>+IF(AG129="","",IF(AG129=1,"NA",IF(AND(AG129=3,(IF(COUNTIFS(C132:C141,AH132,AE132:AE141,"&gt;0")&gt;=1,1,0)+IF(COUNTIFS(C132:C141,AH133,AE132:AE141,"&gt;0")&gt;=1,1,0)+IF(COUNTIFS(C132:C141,AH134,AE132:AE141,"&gt;0")&gt;=1,1,0))&gt;=AG129),"SI",IF(AND(AG129=2,(IF(COUNTIFS(C132:C141,AH132,AE132:AE141,"&gt;0")&gt;=1,1,0)+IF(COUNTIFS(C132:C141,AH133,AE132:AE141,"&gt;0")&gt;=1,1,0))&gt;=AG129),"SI","NO"))))</f>
        <v>SI</v>
      </c>
      <c r="J142" s="59"/>
      <c r="K142" s="27"/>
      <c r="L142" s="27"/>
      <c r="M142" s="27"/>
      <c r="N142" s="27"/>
      <c r="O142" s="27"/>
      <c r="P142" s="385" t="str">
        <f>+$P$23</f>
        <v>FACTURACION MENSUAL TOTAL</v>
      </c>
      <c r="Q142" s="386"/>
      <c r="R142" s="386"/>
      <c r="S142" s="386"/>
      <c r="T142" s="189">
        <f>ROUND(SUM(T132:T141),3)</f>
        <v>379.87</v>
      </c>
      <c r="U142" s="60"/>
      <c r="V142" s="1"/>
      <c r="W142" s="61"/>
      <c r="X142" s="61"/>
      <c r="Y142" s="61"/>
      <c r="Z142" s="61"/>
      <c r="AA142" s="61"/>
      <c r="AB142" s="61"/>
    </row>
    <row r="143" spans="1:34" ht="38.25" customHeight="1" thickBot="1" x14ac:dyDescent="0.25">
      <c r="B143" s="57" t="str">
        <f>"B"&amp;B129</f>
        <v>B8</v>
      </c>
      <c r="C143" s="387" t="str">
        <f>+C126</f>
        <v>En caso de proponente plural: ¿De la totalidad de los contratos aportados por el proponente plural, el valor ejecutado de uno de ellos deberá ser igual o superior al 30% del P.O.?  (SI; NO; NA)</v>
      </c>
      <c r="D143" s="388"/>
      <c r="E143" s="388"/>
      <c r="F143" s="388"/>
      <c r="G143" s="389"/>
      <c r="H143" s="190">
        <f>+$H$6</f>
        <v>268.14722506074827</v>
      </c>
      <c r="I143" s="191" t="str">
        <f>+IF(AG129="","",IF(AG129=1,"NA",IF(AND(AG129&gt;1,(COUNTIFS(AD132:AD141,"SI",AE132:AE141,"&gt;0"))&gt;=1),"SI","NO")))</f>
        <v>SI</v>
      </c>
      <c r="J143" s="192"/>
      <c r="K143" s="193"/>
      <c r="L143" s="194"/>
      <c r="M143" s="194"/>
      <c r="N143" s="194"/>
      <c r="O143" s="194"/>
      <c r="P143" s="387" t="str">
        <f>+$P$24</f>
        <v>PROMEDIO FACTURACIÓN MENSUAL DEL PROPONENTE (PFMP)</v>
      </c>
      <c r="Q143" s="388"/>
      <c r="R143" s="388"/>
      <c r="S143" s="388"/>
      <c r="T143" s="195">
        <f t="array" ref="T143">IF(T142=0,0,ROUND(T142/(SUM(IF(FREQUENCY(A132:A141,A132:A141)&gt;0,1))),3))</f>
        <v>126.623</v>
      </c>
      <c r="U143" s="214"/>
      <c r="V143" s="1"/>
      <c r="W143" s="61"/>
      <c r="X143" s="61"/>
      <c r="Y143" s="61"/>
      <c r="Z143" s="61"/>
      <c r="AA143" s="61"/>
      <c r="AB143" s="61"/>
    </row>
    <row r="144" spans="1:34" ht="21" customHeight="1" thickBot="1" x14ac:dyDescent="0.25">
      <c r="B144" s="197" t="str">
        <f>"C"&amp;B129</f>
        <v>C8</v>
      </c>
      <c r="C144" s="349" t="str">
        <f>+$C$25</f>
        <v>PROPONENTE CUMPLE CON LAS ACTIVIDADES a) y b)? (SI; NO)</v>
      </c>
      <c r="D144" s="350"/>
      <c r="E144" s="350"/>
      <c r="F144" s="350"/>
      <c r="G144" s="350"/>
      <c r="H144" s="351"/>
      <c r="I144" s="198" t="str">
        <f>IF(C129="","",(IF(AND(COUNTIFS(X132:X141,"SI",Z132:Z141,"SI")&gt;=$Z$8,COUNTIFS(X132:X141,"SI",AB132:AB141,"SI")&gt;=$Z$8),"SI","NO")))</f>
        <v>SI</v>
      </c>
      <c r="J144" s="199"/>
      <c r="K144" s="200"/>
      <c r="L144" s="200"/>
      <c r="M144" s="200"/>
      <c r="N144" s="200"/>
      <c r="P144" s="378" t="str">
        <f>+$P$25</f>
        <v>VALOR PUNTAJE POR EXPERIENCIA DEL PROPONENTE</v>
      </c>
      <c r="Q144" s="379"/>
      <c r="R144" s="379"/>
      <c r="S144" s="380"/>
      <c r="T144" s="201">
        <f>IF(OR(C129="",'ASIGNACION DE PUNTAJES'!$C$5=""),"",VLOOKUP(B129,'ASIGNACION DE PUNTAJES'!$A$15:$G$69,7,FALSE))</f>
        <v>651.99</v>
      </c>
      <c r="V144" s="202"/>
    </row>
    <row r="145" spans="1:34" ht="9.75" customHeight="1" thickBot="1" x14ac:dyDescent="0.25">
      <c r="M145" s="84"/>
      <c r="N145" s="84"/>
      <c r="O145" s="84"/>
      <c r="V145" s="21"/>
    </row>
    <row r="146" spans="1:34" ht="36.75" customHeight="1" thickBot="1" x14ac:dyDescent="0.25">
      <c r="B146" s="23">
        <f>1+B129</f>
        <v>9</v>
      </c>
      <c r="C146" s="336" t="s">
        <v>895</v>
      </c>
      <c r="D146" s="337"/>
      <c r="E146" s="337"/>
      <c r="F146" s="337"/>
      <c r="G146" s="337"/>
      <c r="H146" s="337"/>
      <c r="I146" s="338"/>
      <c r="J146" s="24" t="str">
        <f>+IF(C146="","","INTEGRANTES")</f>
        <v>INTEGRANTES</v>
      </c>
      <c r="K146" s="339" t="s">
        <v>896</v>
      </c>
      <c r="L146" s="339"/>
      <c r="M146" s="339"/>
      <c r="N146" s="339"/>
      <c r="O146" s="339"/>
      <c r="P146" s="339"/>
      <c r="Q146" s="339"/>
      <c r="R146" s="396" t="str">
        <f>+$R$10</f>
        <v>PROPONENTE No.</v>
      </c>
      <c r="S146" s="397"/>
      <c r="T146" s="25">
        <f>+B146</f>
        <v>9</v>
      </c>
      <c r="U146" s="161" t="str">
        <f>+$U$10</f>
        <v>PFMP</v>
      </c>
      <c r="V146" s="162">
        <f>IF(T160="",0,T160)</f>
        <v>99.162999999999997</v>
      </c>
      <c r="X146" s="325" t="s">
        <v>168</v>
      </c>
      <c r="Z146" s="163" t="str">
        <f>+$Z$10</f>
        <v>EXP. ESPECÍFICA 
A:</v>
      </c>
      <c r="AB146" s="163" t="str">
        <f>+$AB$10</f>
        <v>EXP. ESPECÍFICA 
B:</v>
      </c>
      <c r="AG146" s="1">
        <v>2</v>
      </c>
    </row>
    <row r="147" spans="1:34" ht="42" customHeight="1" x14ac:dyDescent="0.2">
      <c r="B147" s="331" t="str">
        <f>+$B$11</f>
        <v>ITEM</v>
      </c>
      <c r="C147" s="318" t="str">
        <f>+$C$11</f>
        <v>PROPONENTE 
/ 
INTEGRANTE OFERENTE PLURAL</v>
      </c>
      <c r="D147" s="333" t="str">
        <f>+$D$11</f>
        <v>INFORMACIÓN DEL CONTRATO</v>
      </c>
      <c r="E147" s="334"/>
      <c r="F147" s="334"/>
      <c r="G147" s="335"/>
      <c r="H147" s="318" t="str">
        <f>+H130</f>
        <v>CONSECUTIVO RUP</v>
      </c>
      <c r="I147" s="318" t="str">
        <f>+$I$11</f>
        <v>¿SE ENCUENTRA INSCRITO EN EL RUP Y CUMPLE CÓDIGOS UNSPSC?</v>
      </c>
      <c r="J147" s="318" t="str">
        <f>+$J$11</f>
        <v xml:space="preserve">VALOR EN RUP (SMMLV) </v>
      </c>
      <c r="K147" s="318" t="str">
        <f>+$K$11</f>
        <v>% PARTIC en el RUP</v>
      </c>
      <c r="L147" s="318" t="str">
        <f>+$L$11</f>
        <v>VALOR DEL CONTRATO TERMINADO (SMMLV) en el   RUP</v>
      </c>
      <c r="M147" s="318" t="str">
        <f>+$M$11</f>
        <v>FECHA DE INICIO</v>
      </c>
      <c r="N147" s="318" t="str">
        <f>+$N$11</f>
        <v>FECHA DE TERMINACION</v>
      </c>
      <c r="O147" s="318" t="str">
        <f>+$O$11</f>
        <v>PLAZO CONTRA-TO (Meses)</v>
      </c>
      <c r="P147" s="390" t="str">
        <f>+$P$11</f>
        <v>Tsusp i</v>
      </c>
      <c r="Q147" s="391"/>
      <c r="R147" s="392"/>
      <c r="S147" s="318" t="str">
        <f>+$S$11</f>
        <v>PLAZO i REAL</v>
      </c>
      <c r="T147" s="318" t="str">
        <f>+$T$11</f>
        <v>FACTURA-CION MENSUAL PROPO-NENTE</v>
      </c>
      <c r="U147" s="318" t="str">
        <f>+$U$11</f>
        <v>VALIDACIÓN DE LA EXPERIENCIA GENERAL
(SI/NO)</v>
      </c>
      <c r="V147" s="393" t="str">
        <f>+$V$11</f>
        <v>OBSERVACIONES</v>
      </c>
      <c r="W147" s="164"/>
      <c r="X147" s="326"/>
      <c r="Z147" s="381" t="str">
        <f>+$Z$11</f>
        <v>Interventoria a la ejecución de obras relacionadas con Colocación de capas granulares (tales como bases y/o sub-bases granulares).</v>
      </c>
      <c r="AB147" s="381" t="str">
        <f>+$AB$11</f>
        <v>Interventoria a la Ejecución de obras de subdrenaje y/o drenaje, en carreteras.</v>
      </c>
    </row>
    <row r="148" spans="1:34" ht="38.25" customHeight="1" thickBot="1" x14ac:dyDescent="0.25">
      <c r="B148" s="395"/>
      <c r="C148" s="348"/>
      <c r="D148" s="165" t="str">
        <f>+$D$12</f>
        <v>ENTIDAD</v>
      </c>
      <c r="E148" s="165" t="str">
        <f>+$E$12</f>
        <v>No. DE CONTRATO</v>
      </c>
      <c r="F148" s="165" t="str">
        <f>+$F$12</f>
        <v>OBJETO</v>
      </c>
      <c r="G148" s="165" t="str">
        <f>+$G$12</f>
        <v>CONTRATISTA</v>
      </c>
      <c r="H148" s="348"/>
      <c r="I148" s="348"/>
      <c r="J148" s="348"/>
      <c r="K148" s="348"/>
      <c r="L148" s="348"/>
      <c r="M148" s="348"/>
      <c r="N148" s="348"/>
      <c r="O148" s="348"/>
      <c r="P148" s="166" t="str">
        <f>+P131</f>
        <v>Finicsuspi</v>
      </c>
      <c r="Q148" s="166" t="str">
        <f>+Q131</f>
        <v xml:space="preserve"> Ftermsuspi </v>
      </c>
      <c r="R148" s="166" t="str">
        <f>+R131</f>
        <v>Tsusp i (meses)</v>
      </c>
      <c r="S148" s="348"/>
      <c r="T148" s="348"/>
      <c r="U148" s="348"/>
      <c r="V148" s="394"/>
      <c r="X148" s="327"/>
      <c r="Z148" s="381"/>
      <c r="AB148" s="381"/>
    </row>
    <row r="149" spans="1:34" s="27" customFormat="1" ht="63" customHeight="1" x14ac:dyDescent="0.2">
      <c r="A149" s="27">
        <f>+IF(T149="","",B149)</f>
        <v>1</v>
      </c>
      <c r="B149" s="28">
        <v>1</v>
      </c>
      <c r="C149" s="86" t="s">
        <v>52</v>
      </c>
      <c r="D149" s="86" t="s">
        <v>222</v>
      </c>
      <c r="E149" s="87" t="s">
        <v>273</v>
      </c>
      <c r="F149" s="87" t="s">
        <v>274</v>
      </c>
      <c r="G149" s="86" t="s">
        <v>52</v>
      </c>
      <c r="H149" s="30">
        <v>36</v>
      </c>
      <c r="I149" s="31" t="s">
        <v>16</v>
      </c>
      <c r="J149" s="32">
        <v>295.82</v>
      </c>
      <c r="K149" s="33">
        <v>1</v>
      </c>
      <c r="L149" s="34">
        <f>IF(OR(H149="",I149&lt;&gt;"SI",I149="NO",J149="",J149=0,K149="",K149=0,X149&lt;&gt;"SI"),0,J149*K149)</f>
        <v>295.82</v>
      </c>
      <c r="M149" s="204">
        <v>39801</v>
      </c>
      <c r="N149" s="204">
        <v>39935</v>
      </c>
      <c r="O149" s="169">
        <f>IF(OR(H149="",I149&lt;&gt;"SI",I149="NO",J149="",J149=0,K149="",K149=0,,M149="",N149=""),"",ROUND((((N149-M149)+1)/30),3))</f>
        <v>4.5</v>
      </c>
      <c r="P149" s="204">
        <v>39908</v>
      </c>
      <c r="Q149" s="204">
        <v>39922</v>
      </c>
      <c r="R149" s="170">
        <f>IF(OR((Q149-P149)=0,P149="",Q149=""),0,(ROUND((((Q149-P149)+1)/30),3)))</f>
        <v>0.5</v>
      </c>
      <c r="S149" s="171">
        <f>IF(O149="","",ROUND(SUM(O149)-SUM(R149),3))</f>
        <v>4</v>
      </c>
      <c r="T149" s="172">
        <f>+IF(C149="","",IF(OR(S149="",S149&lt;=0,I149="",I149="NO",U149="",U149="NO",X149="NO"),"",ROUND(SUM(L149)/S149,3)))</f>
        <v>73.954999999999998</v>
      </c>
      <c r="U149" s="35" t="s">
        <v>16</v>
      </c>
      <c r="V149" s="36"/>
      <c r="W149" s="205"/>
      <c r="X149" s="37" t="str">
        <f t="shared" ref="X149:X158" si="64">+IF(C149="","",IF(AND(H149&lt;&gt;"",I149="SI",J149&lt;&gt;"",J149&gt;0,K149&lt;&gt;"",K149&gt;0,S149&lt;&gt;"",S149&gt;0,U149="SI"),"SI","NO"))</f>
        <v>SI</v>
      </c>
      <c r="Z149" s="173" t="s">
        <v>211</v>
      </c>
      <c r="AB149" s="173" t="s">
        <v>16</v>
      </c>
      <c r="AD149" s="10" t="str">
        <f t="shared" ref="AD149:AD158" si="65">+IF($C$146="","",IF(C149="","",IF(L149&gt;=$H$6,"SI","NO")))</f>
        <v>SI</v>
      </c>
      <c r="AE149" s="92">
        <f>+IF(OR($T$149="",X149="",X149="NO"),"",L149)</f>
        <v>295.82</v>
      </c>
      <c r="AF149" s="92">
        <f>+IF(AE149="","",L149/$S$149)</f>
        <v>73.954999999999998</v>
      </c>
      <c r="AG149" s="174">
        <f>0.1+B146</f>
        <v>9.1</v>
      </c>
      <c r="AH149" s="27" t="s">
        <v>52</v>
      </c>
    </row>
    <row r="150" spans="1:34" s="27" customFormat="1" ht="57.75" customHeight="1" x14ac:dyDescent="0.2">
      <c r="A150" s="27">
        <f t="shared" ref="A150:A158" si="66">+IF(T150="","",B150)</f>
        <v>2</v>
      </c>
      <c r="B150" s="38">
        <v>2</v>
      </c>
      <c r="C150" s="39" t="s">
        <v>52</v>
      </c>
      <c r="D150" s="398" t="s">
        <v>43</v>
      </c>
      <c r="E150" s="399" t="s">
        <v>275</v>
      </c>
      <c r="F150" s="399" t="s">
        <v>276</v>
      </c>
      <c r="G150" s="398" t="s">
        <v>277</v>
      </c>
      <c r="H150" s="40">
        <v>48</v>
      </c>
      <c r="I150" s="41" t="s">
        <v>16</v>
      </c>
      <c r="J150" s="42">
        <v>11108.36</v>
      </c>
      <c r="K150" s="43">
        <v>0.15</v>
      </c>
      <c r="L150" s="44">
        <f t="shared" ref="L150:L158" si="67">IF(OR(H150="",I150&lt;&gt;"SI",I150="NO",J150="",J150=0,K150="",K150=0,X150&lt;&gt;"SI"),0,J150*K150)</f>
        <v>1666.2540000000001</v>
      </c>
      <c r="M150" s="206">
        <v>38343</v>
      </c>
      <c r="N150" s="206">
        <v>40512</v>
      </c>
      <c r="O150" s="207">
        <f t="shared" ref="O150:O158" si="68">IF(OR(H150="",I150&lt;&gt;"SI",I150="NO",J150="",J150=0,K150="",K150=0,,M150="",N150=""),"",ROUND((((N150-M150)+1)/30),3))</f>
        <v>72.332999999999998</v>
      </c>
      <c r="P150" s="206">
        <v>40231</v>
      </c>
      <c r="Q150" s="206">
        <v>40330</v>
      </c>
      <c r="R150" s="177">
        <f t="shared" ref="R150:R158" si="69">IF(OR((Q150-P150)=0,P150="",Q150=""),0,(ROUND((((Q150-P150)+1)/30),3)))</f>
        <v>3.3330000000000002</v>
      </c>
      <c r="S150" s="178">
        <f t="shared" ref="S150:S158" si="70">IF(O150="","",ROUND(SUM(O150)-SUM(R150),3))</f>
        <v>69</v>
      </c>
      <c r="T150" s="208">
        <f t="shared" ref="T150:T158" si="71">+IF(C150="","",IF(OR(S150="",S150&lt;=0,I150="",I150="NO",U150="",U150="NO",X150="NO"),"",ROUND(SUM(L150)/S150,3)))</f>
        <v>24.149000000000001</v>
      </c>
      <c r="U150" s="41" t="s">
        <v>16</v>
      </c>
      <c r="V150" s="209"/>
      <c r="W150" s="401"/>
      <c r="X150" s="37" t="str">
        <f t="shared" si="64"/>
        <v>SI</v>
      </c>
      <c r="Z150" s="173" t="s">
        <v>16</v>
      </c>
      <c r="AB150" s="173" t="s">
        <v>16</v>
      </c>
      <c r="AD150" s="10" t="str">
        <f t="shared" si="65"/>
        <v>SI</v>
      </c>
      <c r="AE150" s="92">
        <f>+IF(OR($T$150="",X150="",X150="NO"),"",L150)</f>
        <v>1666.2540000000001</v>
      </c>
      <c r="AF150" s="92">
        <f>+IF(AE150="","",L150/$S$150)</f>
        <v>24.148608695652175</v>
      </c>
      <c r="AG150" s="174">
        <f>0.2+B146</f>
        <v>9.1999999999999993</v>
      </c>
      <c r="AH150" s="27" t="s">
        <v>56</v>
      </c>
    </row>
    <row r="151" spans="1:34" s="27" customFormat="1" ht="57.75" customHeight="1" x14ac:dyDescent="0.2">
      <c r="A151" s="27">
        <f t="shared" si="66"/>
        <v>2</v>
      </c>
      <c r="B151" s="38">
        <v>2</v>
      </c>
      <c r="C151" s="39" t="s">
        <v>56</v>
      </c>
      <c r="D151" s="344"/>
      <c r="E151" s="346"/>
      <c r="F151" s="346"/>
      <c r="G151" s="344"/>
      <c r="H151" s="40">
        <v>16</v>
      </c>
      <c r="I151" s="41" t="s">
        <v>16</v>
      </c>
      <c r="J151" s="42">
        <v>11108.36</v>
      </c>
      <c r="K151" s="43">
        <v>0.75</v>
      </c>
      <c r="L151" s="44">
        <f t="shared" si="67"/>
        <v>8331.27</v>
      </c>
      <c r="M151" s="206">
        <v>38343</v>
      </c>
      <c r="N151" s="206">
        <v>40512</v>
      </c>
      <c r="O151" s="207">
        <f t="shared" si="68"/>
        <v>72.332999999999998</v>
      </c>
      <c r="P151" s="206">
        <v>40231</v>
      </c>
      <c r="Q151" s="206">
        <v>40330</v>
      </c>
      <c r="R151" s="177">
        <f t="shared" si="69"/>
        <v>3.3330000000000002</v>
      </c>
      <c r="S151" s="178">
        <f t="shared" si="70"/>
        <v>69</v>
      </c>
      <c r="T151" s="208">
        <f t="shared" si="71"/>
        <v>120.74299999999999</v>
      </c>
      <c r="U151" s="41" t="s">
        <v>16</v>
      </c>
      <c r="V151" s="45"/>
      <c r="W151" s="401"/>
      <c r="X151" s="37" t="str">
        <f t="shared" si="64"/>
        <v>SI</v>
      </c>
      <c r="Z151" s="173" t="s">
        <v>16</v>
      </c>
      <c r="AB151" s="173" t="s">
        <v>16</v>
      </c>
      <c r="AD151" s="10" t="str">
        <f t="shared" si="65"/>
        <v>SI</v>
      </c>
      <c r="AE151" s="92">
        <f>+IF(OR($T$151="",X151="",X151="NO"),"",L151)</f>
        <v>8331.27</v>
      </c>
      <c r="AF151" s="92">
        <f>+IF(AE151="","",L151/$S$151)</f>
        <v>120.74304347826087</v>
      </c>
      <c r="AG151" s="174">
        <f>0.3+B146</f>
        <v>9.3000000000000007</v>
      </c>
      <c r="AH151" s="27" t="s">
        <v>932</v>
      </c>
    </row>
    <row r="152" spans="1:34" s="27" customFormat="1" ht="54" customHeight="1" x14ac:dyDescent="0.2">
      <c r="A152" s="27">
        <f t="shared" si="66"/>
        <v>3</v>
      </c>
      <c r="B152" s="38">
        <v>3</v>
      </c>
      <c r="C152" s="39" t="s">
        <v>52</v>
      </c>
      <c r="D152" s="398" t="s">
        <v>222</v>
      </c>
      <c r="E152" s="399" t="s">
        <v>278</v>
      </c>
      <c r="F152" s="399" t="s">
        <v>279</v>
      </c>
      <c r="G152" s="398" t="s">
        <v>280</v>
      </c>
      <c r="H152" s="40">
        <v>100</v>
      </c>
      <c r="I152" s="41" t="s">
        <v>16</v>
      </c>
      <c r="J152" s="42">
        <v>167.33</v>
      </c>
      <c r="K152" s="43">
        <v>0.7</v>
      </c>
      <c r="L152" s="44">
        <f t="shared" si="67"/>
        <v>117.131</v>
      </c>
      <c r="M152" s="206">
        <v>42677</v>
      </c>
      <c r="N152" s="206">
        <v>42735</v>
      </c>
      <c r="O152" s="207">
        <f t="shared" si="68"/>
        <v>1.9670000000000001</v>
      </c>
      <c r="P152" s="206"/>
      <c r="Q152" s="206"/>
      <c r="R152" s="177">
        <f t="shared" si="69"/>
        <v>0</v>
      </c>
      <c r="S152" s="178">
        <f t="shared" si="70"/>
        <v>1.9670000000000001</v>
      </c>
      <c r="T152" s="208">
        <f t="shared" si="71"/>
        <v>59.548000000000002</v>
      </c>
      <c r="U152" s="41" t="s">
        <v>16</v>
      </c>
      <c r="V152" s="215" t="s">
        <v>281</v>
      </c>
      <c r="W152" s="401"/>
      <c r="X152" s="37" t="str">
        <f t="shared" si="64"/>
        <v>SI</v>
      </c>
      <c r="Z152" s="180" t="s">
        <v>16</v>
      </c>
      <c r="AB152" s="173" t="s">
        <v>211</v>
      </c>
      <c r="AD152" s="10" t="str">
        <f t="shared" si="65"/>
        <v>NO</v>
      </c>
      <c r="AE152" s="92">
        <f>+IF(OR($T$152="",X152="",X152="NO"),"",L152)</f>
        <v>117.131</v>
      </c>
      <c r="AF152" s="92">
        <f>+IF(AE152="","",L152/$S$152)</f>
        <v>59.548042704626333</v>
      </c>
      <c r="AG152" s="174"/>
      <c r="AH152" s="27" t="s">
        <v>932</v>
      </c>
    </row>
    <row r="153" spans="1:34" s="27" customFormat="1" ht="54" customHeight="1" x14ac:dyDescent="0.2">
      <c r="A153" s="27">
        <f t="shared" si="66"/>
        <v>3</v>
      </c>
      <c r="B153" s="38">
        <v>3</v>
      </c>
      <c r="C153" s="39" t="s">
        <v>56</v>
      </c>
      <c r="D153" s="344"/>
      <c r="E153" s="346"/>
      <c r="F153" s="346"/>
      <c r="G153" s="344"/>
      <c r="H153" s="40">
        <v>31</v>
      </c>
      <c r="I153" s="41" t="s">
        <v>16</v>
      </c>
      <c r="J153" s="42">
        <v>125.2</v>
      </c>
      <c r="K153" s="43">
        <v>0.3</v>
      </c>
      <c r="L153" s="44">
        <f t="shared" si="67"/>
        <v>37.56</v>
      </c>
      <c r="M153" s="206">
        <v>42677</v>
      </c>
      <c r="N153" s="206">
        <v>42735</v>
      </c>
      <c r="O153" s="207">
        <f t="shared" si="68"/>
        <v>1.9670000000000001</v>
      </c>
      <c r="P153" s="206"/>
      <c r="Q153" s="206"/>
      <c r="R153" s="177">
        <f t="shared" si="69"/>
        <v>0</v>
      </c>
      <c r="S153" s="178">
        <f t="shared" si="70"/>
        <v>1.9670000000000001</v>
      </c>
      <c r="T153" s="208">
        <f t="shared" si="71"/>
        <v>19.094999999999999</v>
      </c>
      <c r="U153" s="41" t="s">
        <v>16</v>
      </c>
      <c r="V153" s="45"/>
      <c r="W153" s="401"/>
      <c r="X153" s="37" t="str">
        <f t="shared" si="64"/>
        <v>SI</v>
      </c>
      <c r="Z153" s="181" t="s">
        <v>16</v>
      </c>
      <c r="AB153" s="173" t="s">
        <v>211</v>
      </c>
      <c r="AD153" s="10" t="str">
        <f t="shared" si="65"/>
        <v>NO</v>
      </c>
      <c r="AE153" s="92">
        <f>+IF(OR($T$153="",X153="",X153="NO"),"",L153)</f>
        <v>37.56</v>
      </c>
      <c r="AF153" s="92">
        <f>+IF(AE153="","",L153/$S$153)</f>
        <v>19.095068632435179</v>
      </c>
      <c r="AG153" s="174"/>
      <c r="AH153" s="27" t="s">
        <v>932</v>
      </c>
    </row>
    <row r="154" spans="1:34" s="27" customFormat="1" ht="12.75" x14ac:dyDescent="0.2">
      <c r="A154" s="27" t="str">
        <f t="shared" si="66"/>
        <v/>
      </c>
      <c r="B154" s="38"/>
      <c r="C154" s="39"/>
      <c r="D154" s="39"/>
      <c r="E154" s="46"/>
      <c r="F154" s="46"/>
      <c r="G154" s="39"/>
      <c r="H154" s="40"/>
      <c r="I154" s="41"/>
      <c r="J154" s="42"/>
      <c r="K154" s="43"/>
      <c r="L154" s="44">
        <f t="shared" si="67"/>
        <v>0</v>
      </c>
      <c r="M154" s="206"/>
      <c r="N154" s="206"/>
      <c r="O154" s="207" t="str">
        <f t="shared" si="68"/>
        <v/>
      </c>
      <c r="P154" s="206"/>
      <c r="Q154" s="206"/>
      <c r="R154" s="177">
        <f t="shared" si="69"/>
        <v>0</v>
      </c>
      <c r="S154" s="178" t="str">
        <f t="shared" si="70"/>
        <v/>
      </c>
      <c r="T154" s="208" t="str">
        <f t="shared" si="71"/>
        <v/>
      </c>
      <c r="U154" s="41"/>
      <c r="V154" s="45"/>
      <c r="X154" s="37" t="str">
        <f t="shared" si="64"/>
        <v/>
      </c>
      <c r="Z154" s="181"/>
      <c r="AB154" s="173"/>
      <c r="AD154" s="10" t="str">
        <f t="shared" si="65"/>
        <v/>
      </c>
      <c r="AE154" s="92" t="str">
        <f>+IF(OR($T$154="",X154="",X154="NO"),"",L154)</f>
        <v/>
      </c>
      <c r="AF154" s="92" t="str">
        <f>+IF(AE154="","",L154/$S$154)</f>
        <v/>
      </c>
      <c r="AG154" s="174"/>
    </row>
    <row r="155" spans="1:34" s="27" customFormat="1" ht="12.75" x14ac:dyDescent="0.2">
      <c r="A155" s="27" t="str">
        <f t="shared" si="66"/>
        <v/>
      </c>
      <c r="B155" s="38"/>
      <c r="C155" s="39"/>
      <c r="D155" s="39"/>
      <c r="E155" s="46"/>
      <c r="F155" s="46"/>
      <c r="G155" s="39"/>
      <c r="H155" s="40"/>
      <c r="I155" s="41"/>
      <c r="J155" s="42"/>
      <c r="K155" s="43"/>
      <c r="L155" s="44">
        <f t="shared" si="67"/>
        <v>0</v>
      </c>
      <c r="M155" s="206"/>
      <c r="N155" s="206"/>
      <c r="O155" s="207" t="str">
        <f t="shared" si="68"/>
        <v/>
      </c>
      <c r="P155" s="206"/>
      <c r="Q155" s="206"/>
      <c r="R155" s="177">
        <f t="shared" si="69"/>
        <v>0</v>
      </c>
      <c r="S155" s="178" t="str">
        <f t="shared" si="70"/>
        <v/>
      </c>
      <c r="T155" s="208" t="str">
        <f t="shared" si="71"/>
        <v/>
      </c>
      <c r="U155" s="41"/>
      <c r="V155" s="45"/>
      <c r="X155" s="37" t="str">
        <f t="shared" si="64"/>
        <v/>
      </c>
      <c r="Z155" s="181"/>
      <c r="AB155" s="173"/>
      <c r="AD155" s="10" t="str">
        <f t="shared" si="65"/>
        <v/>
      </c>
      <c r="AE155" s="92" t="str">
        <f>+IF(OR($T$155="",X155="",X155="NO"),"",L155)</f>
        <v/>
      </c>
      <c r="AF155" s="92" t="str">
        <f>+IF(AE155="","",L155/$S$155)</f>
        <v/>
      </c>
      <c r="AG155" s="174"/>
    </row>
    <row r="156" spans="1:34" s="27" customFormat="1" ht="12.75" x14ac:dyDescent="0.2">
      <c r="A156" s="27" t="str">
        <f t="shared" si="66"/>
        <v/>
      </c>
      <c r="B156" s="38"/>
      <c r="C156" s="39"/>
      <c r="D156" s="39"/>
      <c r="E156" s="46"/>
      <c r="F156" s="46"/>
      <c r="G156" s="39"/>
      <c r="H156" s="40"/>
      <c r="I156" s="41"/>
      <c r="J156" s="42"/>
      <c r="K156" s="43"/>
      <c r="L156" s="44">
        <f t="shared" si="67"/>
        <v>0</v>
      </c>
      <c r="M156" s="206"/>
      <c r="N156" s="206"/>
      <c r="O156" s="207" t="str">
        <f t="shared" si="68"/>
        <v/>
      </c>
      <c r="P156" s="206"/>
      <c r="Q156" s="206"/>
      <c r="R156" s="177">
        <f t="shared" si="69"/>
        <v>0</v>
      </c>
      <c r="S156" s="178" t="str">
        <f t="shared" si="70"/>
        <v/>
      </c>
      <c r="T156" s="208" t="str">
        <f t="shared" si="71"/>
        <v/>
      </c>
      <c r="U156" s="41"/>
      <c r="V156" s="45"/>
      <c r="X156" s="37" t="str">
        <f t="shared" si="64"/>
        <v/>
      </c>
      <c r="Z156" s="181"/>
      <c r="AB156" s="173"/>
      <c r="AD156" s="10" t="str">
        <f t="shared" si="65"/>
        <v/>
      </c>
      <c r="AE156" s="92" t="str">
        <f>+IF(OR($T$156="",X156="",X156="NO"),"",L156)</f>
        <v/>
      </c>
      <c r="AF156" s="92" t="str">
        <f>+IF(AE156="","",L156/$S$156)</f>
        <v/>
      </c>
      <c r="AG156" s="174"/>
    </row>
    <row r="157" spans="1:34" s="27" customFormat="1" ht="12.75" x14ac:dyDescent="0.2">
      <c r="A157" s="27" t="str">
        <f t="shared" si="66"/>
        <v/>
      </c>
      <c r="B157" s="38"/>
      <c r="C157" s="39"/>
      <c r="D157" s="39"/>
      <c r="E157" s="46"/>
      <c r="F157" s="46"/>
      <c r="G157" s="39"/>
      <c r="H157" s="40"/>
      <c r="I157" s="41"/>
      <c r="J157" s="42"/>
      <c r="K157" s="43"/>
      <c r="L157" s="44">
        <f t="shared" si="67"/>
        <v>0</v>
      </c>
      <c r="M157" s="206"/>
      <c r="N157" s="206"/>
      <c r="O157" s="207" t="str">
        <f t="shared" si="68"/>
        <v/>
      </c>
      <c r="P157" s="206"/>
      <c r="Q157" s="206"/>
      <c r="R157" s="177">
        <f t="shared" si="69"/>
        <v>0</v>
      </c>
      <c r="S157" s="178" t="str">
        <f t="shared" si="70"/>
        <v/>
      </c>
      <c r="T157" s="208" t="str">
        <f t="shared" si="71"/>
        <v/>
      </c>
      <c r="U157" s="41"/>
      <c r="V157" s="45"/>
      <c r="X157" s="37" t="str">
        <f t="shared" si="64"/>
        <v/>
      </c>
      <c r="Z157" s="181"/>
      <c r="AB157" s="173"/>
      <c r="AD157" s="10" t="str">
        <f t="shared" si="65"/>
        <v/>
      </c>
      <c r="AE157" s="92" t="str">
        <f>+IF(OR($T$157="",X157="",X157="NO"),"",L157)</f>
        <v/>
      </c>
      <c r="AF157" s="92" t="str">
        <f>+IF(AE157="","",L157/$S$157)</f>
        <v/>
      </c>
      <c r="AG157" s="174"/>
    </row>
    <row r="158" spans="1:34" s="27" customFormat="1" ht="13.5" thickBot="1" x14ac:dyDescent="0.25">
      <c r="A158" s="27" t="str">
        <f t="shared" si="66"/>
        <v/>
      </c>
      <c r="B158" s="47"/>
      <c r="C158" s="48"/>
      <c r="D158" s="48"/>
      <c r="E158" s="49"/>
      <c r="F158" s="49"/>
      <c r="G158" s="48"/>
      <c r="H158" s="50"/>
      <c r="I158" s="51"/>
      <c r="J158" s="14"/>
      <c r="K158" s="52"/>
      <c r="L158" s="53">
        <f t="shared" si="67"/>
        <v>0</v>
      </c>
      <c r="M158" s="211"/>
      <c r="N158" s="211"/>
      <c r="O158" s="212" t="str">
        <f t="shared" si="68"/>
        <v/>
      </c>
      <c r="P158" s="211"/>
      <c r="Q158" s="211"/>
      <c r="R158" s="184">
        <f t="shared" si="69"/>
        <v>0</v>
      </c>
      <c r="S158" s="185" t="str">
        <f t="shared" si="70"/>
        <v/>
      </c>
      <c r="T158" s="213" t="str">
        <f t="shared" si="71"/>
        <v/>
      </c>
      <c r="U158" s="51"/>
      <c r="V158" s="54"/>
      <c r="X158" s="55" t="str">
        <f t="shared" si="64"/>
        <v/>
      </c>
      <c r="Z158" s="187"/>
      <c r="AB158" s="188"/>
      <c r="AD158" s="10" t="str">
        <f t="shared" si="65"/>
        <v/>
      </c>
      <c r="AE158" s="92" t="str">
        <f>+IF(OR($T$158="",X158="",X158="NO"),"",L158)</f>
        <v/>
      </c>
      <c r="AF158" s="92" t="str">
        <f>+IF(AE158="","",L158/$S$158)</f>
        <v/>
      </c>
    </row>
    <row r="159" spans="1:34" ht="36" customHeight="1" x14ac:dyDescent="0.2">
      <c r="B159" s="57" t="str">
        <f>"A"&amp;B146</f>
        <v>A9</v>
      </c>
      <c r="C159" s="382" t="str">
        <f>+$C$23</f>
        <v>¿CADA INTEGRANTE DE PROPONENTE PLURAL APORTAN CONTRATO?  (SI; NO; NA)</v>
      </c>
      <c r="D159" s="383"/>
      <c r="E159" s="383"/>
      <c r="F159" s="383"/>
      <c r="G159" s="383"/>
      <c r="H159" s="384"/>
      <c r="I159" s="217" t="str">
        <f>+IF(AG146="","",IF(AG146=1,"NA",IF(AND(AG146=3,(IF(COUNTIFS(C149:C158,AH149,AE149:AE158,"&gt;0")&gt;=1,1,0)+IF(COUNTIFS(C149:C158,AH150,AE149:AE158,"&gt;0")&gt;=1,1,0)+IF(COUNTIFS(C149:C158,AH151,AE149:AE158,"&gt;0")&gt;=1,1,0))&gt;=AG146),"SI",IF(AND(AG146=2,(IF(COUNTIFS(C149:C158,AH149,AE149:AE158,"&gt;0")&gt;=1,1,0)+IF(COUNTIFS(C149:C158,AH150,AE149:AE158,"&gt;0")&gt;=1,1,0))&gt;=AG146),"SI","NO"))))</f>
        <v>SI</v>
      </c>
      <c r="J159" s="59"/>
      <c r="K159" s="27"/>
      <c r="L159" s="27"/>
      <c r="M159" s="27"/>
      <c r="N159" s="27"/>
      <c r="O159" s="27"/>
      <c r="P159" s="385" t="str">
        <f>+$P$23</f>
        <v>FACTURACION MENSUAL TOTAL</v>
      </c>
      <c r="Q159" s="386"/>
      <c r="R159" s="386"/>
      <c r="S159" s="386"/>
      <c r="T159" s="189">
        <f>ROUND(SUM(T149:T158),3)</f>
        <v>297.49</v>
      </c>
      <c r="U159" s="60"/>
      <c r="V159" s="1"/>
      <c r="W159" s="61"/>
      <c r="X159" s="61"/>
      <c r="Y159" s="61"/>
      <c r="Z159" s="61"/>
      <c r="AA159" s="61"/>
      <c r="AB159" s="61"/>
    </row>
    <row r="160" spans="1:34" ht="38.25" customHeight="1" thickBot="1" x14ac:dyDescent="0.25">
      <c r="B160" s="57" t="str">
        <f>"B"&amp;B146</f>
        <v>B9</v>
      </c>
      <c r="C160" s="387" t="str">
        <f>+C143</f>
        <v>En caso de proponente plural: ¿De la totalidad de los contratos aportados por el proponente plural, el valor ejecutado de uno de ellos deberá ser igual o superior al 30% del P.O.?  (SI; NO; NA)</v>
      </c>
      <c r="D160" s="388"/>
      <c r="E160" s="388"/>
      <c r="F160" s="388"/>
      <c r="G160" s="389"/>
      <c r="H160" s="190">
        <f>+$H$6</f>
        <v>268.14722506074827</v>
      </c>
      <c r="I160" s="191" t="str">
        <f>+IF(AG146="","",IF(AG146=1,"NA",IF(AND(AG146&gt;1,(COUNTIFS(AD149:AD158,"SI",AE149:AE158,"&gt;0"))&gt;=1),"SI","NO")))</f>
        <v>SI</v>
      </c>
      <c r="J160" s="192"/>
      <c r="K160" s="193"/>
      <c r="L160" s="194"/>
      <c r="M160" s="194"/>
      <c r="N160" s="194"/>
      <c r="O160" s="194"/>
      <c r="P160" s="387" t="str">
        <f>+$P$24</f>
        <v>PROMEDIO FACTURACIÓN MENSUAL DEL PROPONENTE (PFMP)</v>
      </c>
      <c r="Q160" s="388"/>
      <c r="R160" s="388"/>
      <c r="S160" s="388"/>
      <c r="T160" s="195">
        <f t="array" ref="T160">IF(T159=0,0,ROUND(T159/(SUM(IF(FREQUENCY(A149:A158,A149:A158)&gt;0,1))),3))</f>
        <v>99.162999999999997</v>
      </c>
      <c r="U160" s="214"/>
      <c r="V160" s="1"/>
      <c r="W160" s="61"/>
      <c r="X160" s="61"/>
      <c r="Y160" s="61"/>
      <c r="Z160" s="61"/>
      <c r="AA160" s="61"/>
      <c r="AB160" s="61"/>
    </row>
    <row r="161" spans="1:34" ht="21" customHeight="1" thickBot="1" x14ac:dyDescent="0.25">
      <c r="B161" s="197" t="str">
        <f>"C"&amp;B146</f>
        <v>C9</v>
      </c>
      <c r="C161" s="349" t="str">
        <f>+$C$25</f>
        <v>PROPONENTE CUMPLE CON LAS ACTIVIDADES a) y b)? (SI; NO)</v>
      </c>
      <c r="D161" s="350"/>
      <c r="E161" s="350"/>
      <c r="F161" s="350"/>
      <c r="G161" s="350"/>
      <c r="H161" s="351"/>
      <c r="I161" s="198" t="str">
        <f>IF(C146="","",(IF(AND(COUNTIFS(X149:X158,"SI",Z149:Z158,"SI")&gt;=$Z$8,COUNTIFS(X149:X158,"SI",AB149:AB158,"SI")&gt;=$Z$8),"SI","NO")))</f>
        <v>SI</v>
      </c>
      <c r="J161" s="199"/>
      <c r="K161" s="200"/>
      <c r="L161" s="200"/>
      <c r="M161" s="200"/>
      <c r="N161" s="200"/>
      <c r="P161" s="378" t="str">
        <f>+$P$25</f>
        <v>VALOR PUNTAJE POR EXPERIENCIA DEL PROPONENTE</v>
      </c>
      <c r="Q161" s="379"/>
      <c r="R161" s="379"/>
      <c r="S161" s="380"/>
      <c r="T161" s="201">
        <f>IF(OR(C146="",'ASIGNACION DE PUNTAJES'!$C$5=""),"",VLOOKUP(B146,'ASIGNACION DE PUNTAJES'!$A$15:$G$69,7,FALSE))</f>
        <v>510.596</v>
      </c>
      <c r="V161" s="202"/>
    </row>
    <row r="162" spans="1:34" ht="9.75" customHeight="1" thickBot="1" x14ac:dyDescent="0.25">
      <c r="M162" s="84"/>
      <c r="N162" s="84"/>
      <c r="O162" s="84"/>
      <c r="V162" s="21"/>
    </row>
    <row r="163" spans="1:34" ht="36.75" customHeight="1" thickBot="1" x14ac:dyDescent="0.25">
      <c r="B163" s="23">
        <f>1+B146</f>
        <v>10</v>
      </c>
      <c r="C163" s="336" t="s">
        <v>897</v>
      </c>
      <c r="D163" s="337"/>
      <c r="E163" s="337"/>
      <c r="F163" s="337"/>
      <c r="G163" s="337"/>
      <c r="H163" s="337"/>
      <c r="I163" s="338"/>
      <c r="J163" s="24" t="str">
        <f>+IF(C163="","","INTEGRANTES")</f>
        <v>INTEGRANTES</v>
      </c>
      <c r="K163" s="339" t="s">
        <v>898</v>
      </c>
      <c r="L163" s="339"/>
      <c r="M163" s="339"/>
      <c r="N163" s="339"/>
      <c r="O163" s="339"/>
      <c r="P163" s="339"/>
      <c r="Q163" s="339"/>
      <c r="R163" s="396" t="str">
        <f>+$R$10</f>
        <v>PROPONENTE No.</v>
      </c>
      <c r="S163" s="397"/>
      <c r="T163" s="25">
        <f>+B163</f>
        <v>10</v>
      </c>
      <c r="U163" s="161" t="str">
        <f>+$U$10</f>
        <v>PFMP</v>
      </c>
      <c r="V163" s="162">
        <f>IF(T177="",0,T177)</f>
        <v>119.14100000000001</v>
      </c>
      <c r="X163" s="325" t="s">
        <v>168</v>
      </c>
      <c r="Z163" s="163" t="str">
        <f>+$Z$10</f>
        <v>EXP. ESPECÍFICA 
A:</v>
      </c>
      <c r="AB163" s="163" t="str">
        <f>+$AB$10</f>
        <v>EXP. ESPECÍFICA 
B:</v>
      </c>
      <c r="AG163" s="1">
        <v>2</v>
      </c>
    </row>
    <row r="164" spans="1:34" ht="42" customHeight="1" x14ac:dyDescent="0.2">
      <c r="B164" s="331" t="str">
        <f>+$B$11</f>
        <v>ITEM</v>
      </c>
      <c r="C164" s="318" t="str">
        <f>+$C$11</f>
        <v>PROPONENTE 
/ 
INTEGRANTE OFERENTE PLURAL</v>
      </c>
      <c r="D164" s="333" t="str">
        <f>+$D$11</f>
        <v>INFORMACIÓN DEL CONTRATO</v>
      </c>
      <c r="E164" s="334"/>
      <c r="F164" s="334"/>
      <c r="G164" s="335"/>
      <c r="H164" s="318" t="str">
        <f>+H147</f>
        <v>CONSECUTIVO RUP</v>
      </c>
      <c r="I164" s="318" t="str">
        <f>+$I$11</f>
        <v>¿SE ENCUENTRA INSCRITO EN EL RUP Y CUMPLE CÓDIGOS UNSPSC?</v>
      </c>
      <c r="J164" s="318" t="str">
        <f>+$J$11</f>
        <v xml:space="preserve">VALOR EN RUP (SMMLV) </v>
      </c>
      <c r="K164" s="318" t="str">
        <f>+$K$11</f>
        <v>% PARTIC en el RUP</v>
      </c>
      <c r="L164" s="318" t="str">
        <f>+$L$11</f>
        <v>VALOR DEL CONTRATO TERMINADO (SMMLV) en el   RUP</v>
      </c>
      <c r="M164" s="318" t="str">
        <f>+$M$11</f>
        <v>FECHA DE INICIO</v>
      </c>
      <c r="N164" s="318" t="str">
        <f>+$N$11</f>
        <v>FECHA DE TERMINACION</v>
      </c>
      <c r="O164" s="318" t="str">
        <f>+$O$11</f>
        <v>PLAZO CONTRA-TO (Meses)</v>
      </c>
      <c r="P164" s="390" t="str">
        <f>+$P$11</f>
        <v>Tsusp i</v>
      </c>
      <c r="Q164" s="391"/>
      <c r="R164" s="392"/>
      <c r="S164" s="318" t="str">
        <f>+$S$11</f>
        <v>PLAZO i REAL</v>
      </c>
      <c r="T164" s="318" t="str">
        <f>+$T$11</f>
        <v>FACTURA-CION MENSUAL PROPO-NENTE</v>
      </c>
      <c r="U164" s="318" t="str">
        <f>+$U$11</f>
        <v>VALIDACIÓN DE LA EXPERIENCIA GENERAL
(SI/NO)</v>
      </c>
      <c r="V164" s="393" t="str">
        <f>+$V$11</f>
        <v>OBSERVACIONES</v>
      </c>
      <c r="W164" s="164"/>
      <c r="X164" s="326"/>
      <c r="Z164" s="381" t="str">
        <f>+$Z$11</f>
        <v>Interventoria a la ejecución de obras relacionadas con Colocación de capas granulares (tales como bases y/o sub-bases granulares).</v>
      </c>
      <c r="AB164" s="381" t="str">
        <f>+$AB$11</f>
        <v>Interventoria a la Ejecución de obras de subdrenaje y/o drenaje, en carreteras.</v>
      </c>
    </row>
    <row r="165" spans="1:34" ht="38.25" customHeight="1" thickBot="1" x14ac:dyDescent="0.25">
      <c r="B165" s="395"/>
      <c r="C165" s="348"/>
      <c r="D165" s="165" t="str">
        <f>+$D$12</f>
        <v>ENTIDAD</v>
      </c>
      <c r="E165" s="165" t="str">
        <f>+$E$12</f>
        <v>No. DE CONTRATO</v>
      </c>
      <c r="F165" s="165" t="str">
        <f>+$F$12</f>
        <v>OBJETO</v>
      </c>
      <c r="G165" s="165" t="str">
        <f>+$G$12</f>
        <v>CONTRATISTA</v>
      </c>
      <c r="H165" s="348"/>
      <c r="I165" s="348"/>
      <c r="J165" s="348"/>
      <c r="K165" s="348"/>
      <c r="L165" s="348"/>
      <c r="M165" s="348"/>
      <c r="N165" s="348"/>
      <c r="O165" s="348"/>
      <c r="P165" s="166" t="str">
        <f>+P148</f>
        <v>Finicsuspi</v>
      </c>
      <c r="Q165" s="166" t="str">
        <f>+Q148</f>
        <v xml:space="preserve"> Ftermsuspi </v>
      </c>
      <c r="R165" s="166" t="str">
        <f>+R148</f>
        <v>Tsusp i (meses)</v>
      </c>
      <c r="S165" s="348"/>
      <c r="T165" s="348"/>
      <c r="U165" s="348"/>
      <c r="V165" s="394"/>
      <c r="X165" s="327"/>
      <c r="Z165" s="381"/>
      <c r="AB165" s="381"/>
    </row>
    <row r="166" spans="1:34" s="27" customFormat="1" ht="118.5" customHeight="1" x14ac:dyDescent="0.2">
      <c r="A166" s="27">
        <f>+IF(T166="","",B166)</f>
        <v>1</v>
      </c>
      <c r="B166" s="28">
        <v>1</v>
      </c>
      <c r="C166" s="86" t="s">
        <v>57</v>
      </c>
      <c r="D166" s="86" t="s">
        <v>43</v>
      </c>
      <c r="E166" s="87" t="s">
        <v>282</v>
      </c>
      <c r="F166" s="87" t="s">
        <v>283</v>
      </c>
      <c r="G166" s="86" t="s">
        <v>284</v>
      </c>
      <c r="H166" s="30">
        <v>120</v>
      </c>
      <c r="I166" s="31" t="s">
        <v>16</v>
      </c>
      <c r="J166" s="32">
        <v>3902.46</v>
      </c>
      <c r="K166" s="33">
        <v>1</v>
      </c>
      <c r="L166" s="34">
        <f>IF(OR(H166="",I166&lt;&gt;"SI",I166="NO",J166="",J166=0,K166="",K166=0,X166&lt;&gt;"SI"),0,J166*K166)</f>
        <v>3902.46</v>
      </c>
      <c r="M166" s="204">
        <v>41256</v>
      </c>
      <c r="N166" s="204">
        <v>42290</v>
      </c>
      <c r="O166" s="169">
        <f>IF(OR(H166="",I166&lt;&gt;"SI",I166="NO",J166="",J166=0,K166="",K166=0,,M166="",N166=""),"",ROUND((((N166-M166)+1)/30),3))</f>
        <v>34.5</v>
      </c>
      <c r="P166" s="204"/>
      <c r="Q166" s="204"/>
      <c r="R166" s="170">
        <f>IF(OR((Q166-P166)=0,P166="",Q166=""),0,(ROUND((((Q166-P166)+1)/30),3)))</f>
        <v>0</v>
      </c>
      <c r="S166" s="171">
        <f>IF(O166="","",ROUND(SUM(O166)-SUM(R166),3))</f>
        <v>34.5</v>
      </c>
      <c r="T166" s="172">
        <f>+IF(C166="","",IF(OR(S166="",S166&lt;=0,I166="",I166="NO",U166="",U166="NO",X166="NO"),"",ROUND(SUM(L166)/S166,3)))</f>
        <v>113.11499999999999</v>
      </c>
      <c r="U166" s="35" t="s">
        <v>16</v>
      </c>
      <c r="V166" s="36"/>
      <c r="W166" s="205"/>
      <c r="X166" s="37" t="str">
        <f t="shared" ref="X166:X175" si="72">+IF(C166="","",IF(AND(H166&lt;&gt;"",I166="SI",J166&lt;&gt;"",J166&gt;0,K166&lt;&gt;"",K166&gt;0,S166&lt;&gt;"",S166&gt;0,U166="SI"),"SI","NO"))</f>
        <v>SI</v>
      </c>
      <c r="Z166" s="173" t="s">
        <v>16</v>
      </c>
      <c r="AB166" s="173" t="s">
        <v>16</v>
      </c>
      <c r="AD166" s="10" t="str">
        <f t="shared" ref="AD166:AD175" si="73">+IF($C$163="","",IF(C166="","",IF(L166&gt;=$H$6,"SI","NO")))</f>
        <v>SI</v>
      </c>
      <c r="AE166" s="92">
        <f>+IF(OR($T$166="",X166="",X166="NO"),"",L166)</f>
        <v>3902.46</v>
      </c>
      <c r="AF166" s="92">
        <f>+IF(AE166="","",L166/$S$166)</f>
        <v>113.11478260869565</v>
      </c>
      <c r="AG166" s="174">
        <f>0.1+B163</f>
        <v>10.1</v>
      </c>
      <c r="AH166" s="27" t="s">
        <v>57</v>
      </c>
    </row>
    <row r="167" spans="1:34" s="27" customFormat="1" ht="75" customHeight="1" x14ac:dyDescent="0.2">
      <c r="A167" s="27">
        <f t="shared" ref="A167:A175" si="74">+IF(T167="","",B167)</f>
        <v>2</v>
      </c>
      <c r="B167" s="38">
        <v>2</v>
      </c>
      <c r="C167" s="39" t="s">
        <v>57</v>
      </c>
      <c r="D167" s="39" t="s">
        <v>66</v>
      </c>
      <c r="E167" s="46" t="s">
        <v>285</v>
      </c>
      <c r="F167" s="46" t="s">
        <v>286</v>
      </c>
      <c r="G167" s="39" t="s">
        <v>284</v>
      </c>
      <c r="H167" s="40">
        <v>56</v>
      </c>
      <c r="I167" s="41" t="s">
        <v>16</v>
      </c>
      <c r="J167" s="42">
        <v>4627.1400000000003</v>
      </c>
      <c r="K167" s="43">
        <v>1</v>
      </c>
      <c r="L167" s="44">
        <f t="shared" ref="L167:L175" si="75">IF(OR(H167="",I167&lt;&gt;"SI",I167="NO",J167="",J167=0,K167="",K167=0,X167&lt;&gt;"SI"),0,J167*K167)</f>
        <v>4627.1400000000003</v>
      </c>
      <c r="M167" s="206">
        <v>35006</v>
      </c>
      <c r="N167" s="206">
        <v>35828</v>
      </c>
      <c r="O167" s="207">
        <f t="shared" ref="O167:O175" si="76">IF(OR(H167="",I167&lt;&gt;"SI",I167="NO",J167="",J167=0,K167="",K167=0,,M167="",N167=""),"",ROUND((((N167-M167)+1)/30),3))</f>
        <v>27.433</v>
      </c>
      <c r="P167" s="206"/>
      <c r="Q167" s="206"/>
      <c r="R167" s="177">
        <f t="shared" ref="R167:R175" si="77">IF(OR((Q167-P167)=0,P167="",Q167=""),0,(ROUND((((Q167-P167)+1)/30),3)))</f>
        <v>0</v>
      </c>
      <c r="S167" s="178">
        <f t="shared" ref="S167:S175" si="78">IF(O167="","",ROUND(SUM(O167)-SUM(R167),3))</f>
        <v>27.433</v>
      </c>
      <c r="T167" s="208">
        <f t="shared" ref="T167:T175" si="79">+IF(C167="","",IF(OR(S167="",S167&lt;=0,I167="",I167="NO",U167="",U167="NO",X167="NO"),"",ROUND(SUM(L167)/S167,3)))</f>
        <v>168.67099999999999</v>
      </c>
      <c r="U167" s="41" t="s">
        <v>16</v>
      </c>
      <c r="V167" s="209"/>
      <c r="W167" s="205"/>
      <c r="X167" s="37" t="str">
        <f t="shared" si="72"/>
        <v>SI</v>
      </c>
      <c r="Z167" s="173" t="s">
        <v>16</v>
      </c>
      <c r="AB167" s="173" t="s">
        <v>16</v>
      </c>
      <c r="AD167" s="10" t="str">
        <f t="shared" si="73"/>
        <v>SI</v>
      </c>
      <c r="AE167" s="92">
        <f>+IF(OR($T$167="",X167="",X167="NO"),"",L167)</f>
        <v>4627.1400000000003</v>
      </c>
      <c r="AF167" s="92">
        <f>+IF(AE167="","",L167/$S$167)</f>
        <v>168.67057922939526</v>
      </c>
      <c r="AG167" s="174">
        <f>0.2+B163</f>
        <v>10.199999999999999</v>
      </c>
      <c r="AH167" s="27" t="s">
        <v>287</v>
      </c>
    </row>
    <row r="168" spans="1:34" s="27" customFormat="1" ht="114" customHeight="1" x14ac:dyDescent="0.2">
      <c r="A168" s="27">
        <f t="shared" si="74"/>
        <v>3</v>
      </c>
      <c r="B168" s="38">
        <v>3</v>
      </c>
      <c r="C168" s="39" t="s">
        <v>287</v>
      </c>
      <c r="D168" s="39" t="s">
        <v>288</v>
      </c>
      <c r="E168" s="46" t="s">
        <v>289</v>
      </c>
      <c r="F168" s="46" t="s">
        <v>290</v>
      </c>
      <c r="G168" s="39" t="s">
        <v>287</v>
      </c>
      <c r="H168" s="40">
        <v>38</v>
      </c>
      <c r="I168" s="41" t="s">
        <v>16</v>
      </c>
      <c r="J168" s="42">
        <v>2949.89</v>
      </c>
      <c r="K168" s="43">
        <v>1</v>
      </c>
      <c r="L168" s="44">
        <f t="shared" si="75"/>
        <v>2949.89</v>
      </c>
      <c r="M168" s="206">
        <v>40570</v>
      </c>
      <c r="N168" s="206">
        <v>41771</v>
      </c>
      <c r="O168" s="207">
        <f t="shared" si="76"/>
        <v>40.067</v>
      </c>
      <c r="P168" s="206">
        <v>41494</v>
      </c>
      <c r="Q168" s="206">
        <v>41525</v>
      </c>
      <c r="R168" s="177">
        <f t="shared" si="77"/>
        <v>1.0669999999999999</v>
      </c>
      <c r="S168" s="178">
        <f t="shared" si="78"/>
        <v>39</v>
      </c>
      <c r="T168" s="208">
        <f t="shared" si="79"/>
        <v>75.638000000000005</v>
      </c>
      <c r="U168" s="41" t="s">
        <v>16</v>
      </c>
      <c r="V168" s="45"/>
      <c r="W168" s="205"/>
      <c r="X168" s="37" t="str">
        <f t="shared" si="72"/>
        <v>SI</v>
      </c>
      <c r="Z168" s="173" t="s">
        <v>16</v>
      </c>
      <c r="AB168" s="173" t="s">
        <v>16</v>
      </c>
      <c r="AD168" s="10" t="str">
        <f t="shared" si="73"/>
        <v>SI</v>
      </c>
      <c r="AE168" s="92">
        <f>+IF(OR($T$168="",X168="",X168="NO"),"",L168)</f>
        <v>2949.89</v>
      </c>
      <c r="AF168" s="92">
        <f>+IF(AE168="","",L168/$S$168)</f>
        <v>75.638205128205129</v>
      </c>
      <c r="AG168" s="174">
        <f>0.3+B163</f>
        <v>10.3</v>
      </c>
      <c r="AH168" s="27" t="s">
        <v>932</v>
      </c>
    </row>
    <row r="169" spans="1:34" s="27" customFormat="1" ht="12.75" x14ac:dyDescent="0.2">
      <c r="A169" s="27" t="str">
        <f t="shared" si="74"/>
        <v/>
      </c>
      <c r="B169" s="38"/>
      <c r="C169" s="39"/>
      <c r="D169" s="39"/>
      <c r="E169" s="46"/>
      <c r="F169" s="46"/>
      <c r="G169" s="39"/>
      <c r="H169" s="40"/>
      <c r="I169" s="41"/>
      <c r="J169" s="42"/>
      <c r="K169" s="43"/>
      <c r="L169" s="44">
        <f t="shared" si="75"/>
        <v>0</v>
      </c>
      <c r="M169" s="206"/>
      <c r="N169" s="206"/>
      <c r="O169" s="207" t="str">
        <f t="shared" si="76"/>
        <v/>
      </c>
      <c r="P169" s="206"/>
      <c r="Q169" s="206"/>
      <c r="R169" s="177">
        <f t="shared" si="77"/>
        <v>0</v>
      </c>
      <c r="S169" s="178" t="str">
        <f t="shared" si="78"/>
        <v/>
      </c>
      <c r="T169" s="208" t="str">
        <f t="shared" si="79"/>
        <v/>
      </c>
      <c r="U169" s="41"/>
      <c r="V169" s="45"/>
      <c r="W169" s="210"/>
      <c r="X169" s="37" t="str">
        <f t="shared" si="72"/>
        <v/>
      </c>
      <c r="Z169" s="180"/>
      <c r="AB169" s="173"/>
      <c r="AD169" s="10" t="str">
        <f t="shared" si="73"/>
        <v/>
      </c>
      <c r="AE169" s="92" t="str">
        <f>+IF(OR($T$169="",X169="",X169="NO"),"",L169)</f>
        <v/>
      </c>
      <c r="AF169" s="92" t="str">
        <f>+IF(AE169="","",L169/$S$169)</f>
        <v/>
      </c>
      <c r="AG169" s="174"/>
    </row>
    <row r="170" spans="1:34" s="27" customFormat="1" ht="12.75" x14ac:dyDescent="0.2">
      <c r="A170" s="27" t="str">
        <f t="shared" si="74"/>
        <v/>
      </c>
      <c r="B170" s="38"/>
      <c r="C170" s="39"/>
      <c r="D170" s="39"/>
      <c r="E170" s="46"/>
      <c r="F170" s="46"/>
      <c r="G170" s="39"/>
      <c r="H170" s="40"/>
      <c r="I170" s="41"/>
      <c r="J170" s="42"/>
      <c r="K170" s="43"/>
      <c r="L170" s="44">
        <f t="shared" si="75"/>
        <v>0</v>
      </c>
      <c r="M170" s="206"/>
      <c r="N170" s="206"/>
      <c r="O170" s="207" t="str">
        <f t="shared" si="76"/>
        <v/>
      </c>
      <c r="P170" s="206"/>
      <c r="Q170" s="206"/>
      <c r="R170" s="177">
        <f t="shared" si="77"/>
        <v>0</v>
      </c>
      <c r="S170" s="178" t="str">
        <f t="shared" si="78"/>
        <v/>
      </c>
      <c r="T170" s="208" t="str">
        <f t="shared" si="79"/>
        <v/>
      </c>
      <c r="U170" s="41"/>
      <c r="V170" s="45"/>
      <c r="X170" s="37" t="str">
        <f t="shared" si="72"/>
        <v/>
      </c>
      <c r="Z170" s="181"/>
      <c r="AB170" s="173"/>
      <c r="AD170" s="10" t="str">
        <f t="shared" si="73"/>
        <v/>
      </c>
      <c r="AE170" s="92" t="str">
        <f>+IF(OR($T$170="",X170="",X170="NO"),"",L170)</f>
        <v/>
      </c>
      <c r="AF170" s="92" t="str">
        <f>+IF(AE170="","",L170/$S$170)</f>
        <v/>
      </c>
      <c r="AG170" s="174"/>
    </row>
    <row r="171" spans="1:34" s="27" customFormat="1" ht="12.75" x14ac:dyDescent="0.2">
      <c r="A171" s="27" t="str">
        <f t="shared" si="74"/>
        <v/>
      </c>
      <c r="B171" s="38"/>
      <c r="C171" s="39"/>
      <c r="D171" s="39"/>
      <c r="E171" s="46"/>
      <c r="F171" s="46"/>
      <c r="G171" s="39"/>
      <c r="H171" s="40"/>
      <c r="I171" s="41"/>
      <c r="J171" s="42"/>
      <c r="K171" s="43"/>
      <c r="L171" s="44">
        <f t="shared" si="75"/>
        <v>0</v>
      </c>
      <c r="M171" s="206"/>
      <c r="N171" s="206"/>
      <c r="O171" s="207" t="str">
        <f t="shared" si="76"/>
        <v/>
      </c>
      <c r="P171" s="206"/>
      <c r="Q171" s="206"/>
      <c r="R171" s="177">
        <f t="shared" si="77"/>
        <v>0</v>
      </c>
      <c r="S171" s="178" t="str">
        <f t="shared" si="78"/>
        <v/>
      </c>
      <c r="T171" s="208" t="str">
        <f t="shared" si="79"/>
        <v/>
      </c>
      <c r="U171" s="41"/>
      <c r="V171" s="45"/>
      <c r="X171" s="37" t="str">
        <f t="shared" si="72"/>
        <v/>
      </c>
      <c r="Z171" s="181"/>
      <c r="AB171" s="173"/>
      <c r="AD171" s="10" t="str">
        <f t="shared" si="73"/>
        <v/>
      </c>
      <c r="AE171" s="92" t="str">
        <f>+IF(OR($T$171="",X171="",X171="NO"),"",L171)</f>
        <v/>
      </c>
      <c r="AF171" s="92" t="str">
        <f>+IF(AE171="","",L171/$S$171)</f>
        <v/>
      </c>
      <c r="AG171" s="174"/>
    </row>
    <row r="172" spans="1:34" s="27" customFormat="1" ht="12.75" x14ac:dyDescent="0.2">
      <c r="A172" s="27" t="str">
        <f t="shared" si="74"/>
        <v/>
      </c>
      <c r="B172" s="38"/>
      <c r="C172" s="39"/>
      <c r="D172" s="39"/>
      <c r="E172" s="46"/>
      <c r="F172" s="46"/>
      <c r="G172" s="39"/>
      <c r="H172" s="40"/>
      <c r="I172" s="41"/>
      <c r="J172" s="42"/>
      <c r="K172" s="43"/>
      <c r="L172" s="44">
        <f t="shared" si="75"/>
        <v>0</v>
      </c>
      <c r="M172" s="206"/>
      <c r="N172" s="206"/>
      <c r="O172" s="207" t="str">
        <f t="shared" si="76"/>
        <v/>
      </c>
      <c r="P172" s="206"/>
      <c r="Q172" s="206"/>
      <c r="R172" s="177">
        <f t="shared" si="77"/>
        <v>0</v>
      </c>
      <c r="S172" s="178" t="str">
        <f t="shared" si="78"/>
        <v/>
      </c>
      <c r="T172" s="208" t="str">
        <f t="shared" si="79"/>
        <v/>
      </c>
      <c r="U172" s="41"/>
      <c r="V172" s="45"/>
      <c r="X172" s="37" t="str">
        <f t="shared" si="72"/>
        <v/>
      </c>
      <c r="Z172" s="181"/>
      <c r="AB172" s="173"/>
      <c r="AD172" s="10" t="str">
        <f t="shared" si="73"/>
        <v/>
      </c>
      <c r="AE172" s="92" t="str">
        <f>+IF(OR($T$172="",X172="",X172="NO"),"",L172)</f>
        <v/>
      </c>
      <c r="AF172" s="92" t="str">
        <f>+IF(AE172="","",L172/$S$172)</f>
        <v/>
      </c>
      <c r="AG172" s="174"/>
    </row>
    <row r="173" spans="1:34" s="27" customFormat="1" ht="12.75" x14ac:dyDescent="0.2">
      <c r="A173" s="27" t="str">
        <f t="shared" si="74"/>
        <v/>
      </c>
      <c r="B173" s="38"/>
      <c r="C173" s="39"/>
      <c r="D173" s="39"/>
      <c r="E173" s="46"/>
      <c r="F173" s="46"/>
      <c r="G173" s="39"/>
      <c r="H173" s="40"/>
      <c r="I173" s="41"/>
      <c r="J173" s="42"/>
      <c r="K173" s="43"/>
      <c r="L173" s="44">
        <f t="shared" si="75"/>
        <v>0</v>
      </c>
      <c r="M173" s="206"/>
      <c r="N173" s="206"/>
      <c r="O173" s="207" t="str">
        <f t="shared" si="76"/>
        <v/>
      </c>
      <c r="P173" s="206"/>
      <c r="Q173" s="206"/>
      <c r="R173" s="177">
        <f t="shared" si="77"/>
        <v>0</v>
      </c>
      <c r="S173" s="178" t="str">
        <f t="shared" si="78"/>
        <v/>
      </c>
      <c r="T173" s="208" t="str">
        <f t="shared" si="79"/>
        <v/>
      </c>
      <c r="U173" s="41"/>
      <c r="V173" s="45"/>
      <c r="X173" s="37" t="str">
        <f t="shared" si="72"/>
        <v/>
      </c>
      <c r="Z173" s="181"/>
      <c r="AB173" s="173"/>
      <c r="AD173" s="10" t="str">
        <f t="shared" si="73"/>
        <v/>
      </c>
      <c r="AE173" s="92" t="str">
        <f>+IF(OR($T$173="",X173="",X173="NO"),"",L173)</f>
        <v/>
      </c>
      <c r="AF173" s="92" t="str">
        <f>+IF(AE173="","",L173/$S$173)</f>
        <v/>
      </c>
      <c r="AG173" s="174"/>
    </row>
    <row r="174" spans="1:34" s="27" customFormat="1" ht="12.75" x14ac:dyDescent="0.2">
      <c r="A174" s="27" t="str">
        <f t="shared" si="74"/>
        <v/>
      </c>
      <c r="B174" s="38"/>
      <c r="C174" s="39"/>
      <c r="D174" s="39"/>
      <c r="E174" s="46"/>
      <c r="F174" s="46"/>
      <c r="G174" s="39"/>
      <c r="H174" s="40"/>
      <c r="I174" s="41"/>
      <c r="J174" s="42"/>
      <c r="K174" s="43"/>
      <c r="L174" s="44">
        <f t="shared" si="75"/>
        <v>0</v>
      </c>
      <c r="M174" s="206"/>
      <c r="N174" s="206"/>
      <c r="O174" s="207" t="str">
        <f t="shared" si="76"/>
        <v/>
      </c>
      <c r="P174" s="206"/>
      <c r="Q174" s="206"/>
      <c r="R174" s="177">
        <f t="shared" si="77"/>
        <v>0</v>
      </c>
      <c r="S174" s="178" t="str">
        <f t="shared" si="78"/>
        <v/>
      </c>
      <c r="T174" s="208" t="str">
        <f t="shared" si="79"/>
        <v/>
      </c>
      <c r="U174" s="41"/>
      <c r="V174" s="45"/>
      <c r="X174" s="37" t="str">
        <f t="shared" si="72"/>
        <v/>
      </c>
      <c r="Z174" s="181"/>
      <c r="AB174" s="173"/>
      <c r="AD174" s="10" t="str">
        <f t="shared" si="73"/>
        <v/>
      </c>
      <c r="AE174" s="92" t="str">
        <f>+IF(OR($T$174="",X174="",X174="NO"),"",L174)</f>
        <v/>
      </c>
      <c r="AF174" s="92" t="str">
        <f>+IF(AE174="","",L174/$S$174)</f>
        <v/>
      </c>
      <c r="AG174" s="174"/>
    </row>
    <row r="175" spans="1:34" s="27" customFormat="1" ht="13.5" thickBot="1" x14ac:dyDescent="0.25">
      <c r="A175" s="27" t="str">
        <f t="shared" si="74"/>
        <v/>
      </c>
      <c r="B175" s="47"/>
      <c r="C175" s="48"/>
      <c r="D175" s="48"/>
      <c r="E175" s="49"/>
      <c r="F175" s="49"/>
      <c r="G175" s="48"/>
      <c r="H175" s="50"/>
      <c r="I175" s="51"/>
      <c r="J175" s="14"/>
      <c r="K175" s="52"/>
      <c r="L175" s="53">
        <f t="shared" si="75"/>
        <v>0</v>
      </c>
      <c r="M175" s="211"/>
      <c r="N175" s="211"/>
      <c r="O175" s="212" t="str">
        <f t="shared" si="76"/>
        <v/>
      </c>
      <c r="P175" s="211"/>
      <c r="Q175" s="211"/>
      <c r="R175" s="184">
        <f t="shared" si="77"/>
        <v>0</v>
      </c>
      <c r="S175" s="185" t="str">
        <f t="shared" si="78"/>
        <v/>
      </c>
      <c r="T175" s="213" t="str">
        <f t="shared" si="79"/>
        <v/>
      </c>
      <c r="U175" s="51"/>
      <c r="V175" s="54"/>
      <c r="X175" s="55" t="str">
        <f t="shared" si="72"/>
        <v/>
      </c>
      <c r="Z175" s="187"/>
      <c r="AB175" s="188"/>
      <c r="AD175" s="10" t="str">
        <f t="shared" si="73"/>
        <v/>
      </c>
      <c r="AE175" s="92" t="str">
        <f>+IF(OR($T$175="",X175="",X175="NO"),"",L175)</f>
        <v/>
      </c>
      <c r="AF175" s="92" t="str">
        <f>+IF(AE175="","",L175/$S$175)</f>
        <v/>
      </c>
    </row>
    <row r="176" spans="1:34" ht="36" customHeight="1" x14ac:dyDescent="0.2">
      <c r="B176" s="57" t="str">
        <f>"A"&amp;B163</f>
        <v>A10</v>
      </c>
      <c r="C176" s="382" t="str">
        <f>+$C$23</f>
        <v>¿CADA INTEGRANTE DE PROPONENTE PLURAL APORTAN CONTRATO?  (SI; NO; NA)</v>
      </c>
      <c r="D176" s="383"/>
      <c r="E176" s="383"/>
      <c r="F176" s="383"/>
      <c r="G176" s="383"/>
      <c r="H176" s="384"/>
      <c r="I176" s="217" t="str">
        <f>+IF(AG163="","",IF(AG163=1,"NA",IF(AND(AG163=3,(IF(COUNTIFS(C166:C175,AH166,AE166:AE175,"&gt;0")&gt;=1,1,0)+IF(COUNTIFS(C166:C175,AH167,AE166:AE175,"&gt;0")&gt;=1,1,0)+IF(COUNTIFS(C166:C175,AH168,AE166:AE175,"&gt;0")&gt;=1,1,0))&gt;=AG163),"SI",IF(AND(AG163=2,(IF(COUNTIFS(C166:C175,AH166,AE166:AE175,"&gt;0")&gt;=1,1,0)+IF(COUNTIFS(C166:C175,AH167,AE166:AE175,"&gt;0")&gt;=1,1,0))&gt;=AG163),"SI","NO"))))</f>
        <v>SI</v>
      </c>
      <c r="J176" s="59"/>
      <c r="K176" s="27"/>
      <c r="L176" s="27"/>
      <c r="M176" s="27"/>
      <c r="N176" s="27"/>
      <c r="O176" s="27"/>
      <c r="P176" s="385" t="str">
        <f>+$P$23</f>
        <v>FACTURACION MENSUAL TOTAL</v>
      </c>
      <c r="Q176" s="386"/>
      <c r="R176" s="386"/>
      <c r="S176" s="386"/>
      <c r="T176" s="189">
        <f>ROUND(SUM(T166:T175),3)</f>
        <v>357.42399999999998</v>
      </c>
      <c r="U176" s="60"/>
      <c r="V176" s="1"/>
      <c r="W176" s="61"/>
      <c r="X176" s="61"/>
      <c r="Y176" s="61"/>
      <c r="Z176" s="61"/>
      <c r="AA176" s="61"/>
      <c r="AB176" s="61"/>
    </row>
    <row r="177" spans="1:34" ht="38.25" customHeight="1" thickBot="1" x14ac:dyDescent="0.25">
      <c r="B177" s="57" t="str">
        <f>"B"&amp;B163</f>
        <v>B10</v>
      </c>
      <c r="C177" s="387" t="str">
        <f>+C160</f>
        <v>En caso de proponente plural: ¿De la totalidad de los contratos aportados por el proponente plural, el valor ejecutado de uno de ellos deberá ser igual o superior al 30% del P.O.?  (SI; NO; NA)</v>
      </c>
      <c r="D177" s="388"/>
      <c r="E177" s="388"/>
      <c r="F177" s="388"/>
      <c r="G177" s="389"/>
      <c r="H177" s="190">
        <f>+$H$6</f>
        <v>268.14722506074827</v>
      </c>
      <c r="I177" s="191" t="str">
        <f>+IF(AG163="","",IF(AG163=1,"NA",IF(AND(AG163&gt;1,(COUNTIFS(AD166:AD175,"SI",AE166:AE175,"&gt;0"))&gt;=1),"SI","NO")))</f>
        <v>SI</v>
      </c>
      <c r="J177" s="192"/>
      <c r="K177" s="193"/>
      <c r="L177" s="194"/>
      <c r="M177" s="194"/>
      <c r="N177" s="194"/>
      <c r="O177" s="194"/>
      <c r="P177" s="387" t="str">
        <f>+$P$24</f>
        <v>PROMEDIO FACTURACIÓN MENSUAL DEL PROPONENTE (PFMP)</v>
      </c>
      <c r="Q177" s="388"/>
      <c r="R177" s="388"/>
      <c r="S177" s="388"/>
      <c r="T177" s="195">
        <f t="array" ref="T177">IF(T176=0,0,ROUND(T176/(SUM(IF(FREQUENCY(A166:A175,A166:A175)&gt;0,1))),3))</f>
        <v>119.14100000000001</v>
      </c>
      <c r="U177" s="214"/>
      <c r="V177" s="1"/>
      <c r="W177" s="61"/>
      <c r="X177" s="61"/>
      <c r="Y177" s="61"/>
      <c r="Z177" s="61"/>
      <c r="AA177" s="61"/>
      <c r="AB177" s="61"/>
    </row>
    <row r="178" spans="1:34" ht="21" customHeight="1" thickBot="1" x14ac:dyDescent="0.25">
      <c r="B178" s="197" t="str">
        <f>"C"&amp;B163</f>
        <v>C10</v>
      </c>
      <c r="C178" s="349" t="str">
        <f>+$C$25</f>
        <v>PROPONENTE CUMPLE CON LAS ACTIVIDADES a) y b)? (SI; NO)</v>
      </c>
      <c r="D178" s="350"/>
      <c r="E178" s="350"/>
      <c r="F178" s="350"/>
      <c r="G178" s="350"/>
      <c r="H178" s="351"/>
      <c r="I178" s="198" t="str">
        <f>IF(C163="","",(IF(AND(COUNTIFS(X166:X175,"SI",Z166:Z175,"SI")&gt;=$Z$8,COUNTIFS(X166:X175,"SI",AB166:AB175,"SI")&gt;=$Z$8),"SI","NO")))</f>
        <v>SI</v>
      </c>
      <c r="J178" s="199"/>
      <c r="K178" s="200"/>
      <c r="L178" s="200"/>
      <c r="M178" s="200"/>
      <c r="N178" s="200"/>
      <c r="P178" s="378" t="str">
        <f>+$P$25</f>
        <v>VALOR PUNTAJE POR EXPERIENCIA DEL PROPONENTE</v>
      </c>
      <c r="Q178" s="379"/>
      <c r="R178" s="379"/>
      <c r="S178" s="380"/>
      <c r="T178" s="201">
        <f>IF(OR(C163="",'ASIGNACION DE PUNTAJES'!$C$5=""),"",VLOOKUP(B163,'ASIGNACION DE PUNTAJES'!$A$15:$G$69,7,FALSE))</f>
        <v>613.46400000000006</v>
      </c>
      <c r="V178" s="202"/>
    </row>
    <row r="179" spans="1:34" ht="9.75" customHeight="1" thickBot="1" x14ac:dyDescent="0.25">
      <c r="M179" s="84"/>
      <c r="N179" s="84"/>
      <c r="O179" s="84"/>
      <c r="V179" s="21"/>
    </row>
    <row r="180" spans="1:34" ht="36.75" customHeight="1" thickBot="1" x14ac:dyDescent="0.25">
      <c r="B180" s="23">
        <f>1+B163</f>
        <v>11</v>
      </c>
      <c r="C180" s="336" t="s">
        <v>61</v>
      </c>
      <c r="D180" s="337"/>
      <c r="E180" s="337"/>
      <c r="F180" s="337"/>
      <c r="G180" s="337"/>
      <c r="H180" s="337"/>
      <c r="I180" s="338"/>
      <c r="J180" s="24" t="str">
        <f>+IF(C180="","","INTEGRANTES")</f>
        <v>INTEGRANTES</v>
      </c>
      <c r="K180" s="339" t="s">
        <v>890</v>
      </c>
      <c r="L180" s="339"/>
      <c r="M180" s="339"/>
      <c r="N180" s="339"/>
      <c r="O180" s="339"/>
      <c r="P180" s="339"/>
      <c r="Q180" s="339"/>
      <c r="R180" s="396" t="str">
        <f>+$R$10</f>
        <v>PROPONENTE No.</v>
      </c>
      <c r="S180" s="397"/>
      <c r="T180" s="25">
        <f>+B180</f>
        <v>11</v>
      </c>
      <c r="U180" s="161" t="str">
        <f>+$U$10</f>
        <v>PFMP</v>
      </c>
      <c r="V180" s="162">
        <f>IF(T194="",0,T194)</f>
        <v>133.839</v>
      </c>
      <c r="X180" s="325" t="s">
        <v>168</v>
      </c>
      <c r="Z180" s="163" t="str">
        <f>+$Z$10</f>
        <v>EXP. ESPECÍFICA 
A:</v>
      </c>
      <c r="AB180" s="163" t="str">
        <f>+$AB$10</f>
        <v>EXP. ESPECÍFICA 
B:</v>
      </c>
      <c r="AG180" s="1">
        <v>1</v>
      </c>
    </row>
    <row r="181" spans="1:34" ht="42" customHeight="1" x14ac:dyDescent="0.2">
      <c r="B181" s="331" t="str">
        <f>+$B$11</f>
        <v>ITEM</v>
      </c>
      <c r="C181" s="318" t="str">
        <f>+$C$11</f>
        <v>PROPONENTE 
/ 
INTEGRANTE OFERENTE PLURAL</v>
      </c>
      <c r="D181" s="333" t="str">
        <f>+$D$11</f>
        <v>INFORMACIÓN DEL CONTRATO</v>
      </c>
      <c r="E181" s="334"/>
      <c r="F181" s="334"/>
      <c r="G181" s="335"/>
      <c r="H181" s="318" t="str">
        <f>+H164</f>
        <v>CONSECUTIVO RUP</v>
      </c>
      <c r="I181" s="318" t="str">
        <f>+$I$11</f>
        <v>¿SE ENCUENTRA INSCRITO EN EL RUP Y CUMPLE CÓDIGOS UNSPSC?</v>
      </c>
      <c r="J181" s="318" t="str">
        <f>+$J$11</f>
        <v xml:space="preserve">VALOR EN RUP (SMMLV) </v>
      </c>
      <c r="K181" s="318" t="str">
        <f>+$K$11</f>
        <v>% PARTIC en el RUP</v>
      </c>
      <c r="L181" s="318" t="str">
        <f>+$L$11</f>
        <v>VALOR DEL CONTRATO TERMINADO (SMMLV) en el   RUP</v>
      </c>
      <c r="M181" s="318" t="str">
        <f>+$M$11</f>
        <v>FECHA DE INICIO</v>
      </c>
      <c r="N181" s="318" t="str">
        <f>+$N$11</f>
        <v>FECHA DE TERMINACION</v>
      </c>
      <c r="O181" s="318" t="str">
        <f>+$O$11</f>
        <v>PLAZO CONTRA-TO (Meses)</v>
      </c>
      <c r="P181" s="390" t="str">
        <f>+$P$11</f>
        <v>Tsusp i</v>
      </c>
      <c r="Q181" s="391"/>
      <c r="R181" s="392"/>
      <c r="S181" s="318" t="str">
        <f>+$S$11</f>
        <v>PLAZO i REAL</v>
      </c>
      <c r="T181" s="318" t="str">
        <f>+$T$11</f>
        <v>FACTURA-CION MENSUAL PROPO-NENTE</v>
      </c>
      <c r="U181" s="318" t="str">
        <f>+$U$11</f>
        <v>VALIDACIÓN DE LA EXPERIENCIA GENERAL
(SI/NO)</v>
      </c>
      <c r="V181" s="393" t="str">
        <f>+$V$11</f>
        <v>OBSERVACIONES</v>
      </c>
      <c r="W181" s="164"/>
      <c r="X181" s="326"/>
      <c r="Z181" s="381" t="str">
        <f>+$Z$11</f>
        <v>Interventoria a la ejecución de obras relacionadas con Colocación de capas granulares (tales como bases y/o sub-bases granulares).</v>
      </c>
      <c r="AB181" s="381" t="str">
        <f>+$AB$11</f>
        <v>Interventoria a la Ejecución de obras de subdrenaje y/o drenaje, en carreteras.</v>
      </c>
    </row>
    <row r="182" spans="1:34" ht="38.25" customHeight="1" thickBot="1" x14ac:dyDescent="0.25">
      <c r="B182" s="395"/>
      <c r="C182" s="348"/>
      <c r="D182" s="165" t="str">
        <f>+$D$12</f>
        <v>ENTIDAD</v>
      </c>
      <c r="E182" s="165" t="str">
        <f>+$E$12</f>
        <v>No. DE CONTRATO</v>
      </c>
      <c r="F182" s="165" t="str">
        <f>+$F$12</f>
        <v>OBJETO</v>
      </c>
      <c r="G182" s="165" t="str">
        <f>+$G$12</f>
        <v>CONTRATISTA</v>
      </c>
      <c r="H182" s="348"/>
      <c r="I182" s="348"/>
      <c r="J182" s="348"/>
      <c r="K182" s="348"/>
      <c r="L182" s="348"/>
      <c r="M182" s="348"/>
      <c r="N182" s="348"/>
      <c r="O182" s="348"/>
      <c r="P182" s="166" t="str">
        <f>+P165</f>
        <v>Finicsuspi</v>
      </c>
      <c r="Q182" s="166" t="str">
        <f>+Q165</f>
        <v xml:space="preserve"> Ftermsuspi </v>
      </c>
      <c r="R182" s="166" t="str">
        <f>+R165</f>
        <v>Tsusp i (meses)</v>
      </c>
      <c r="S182" s="348"/>
      <c r="T182" s="348"/>
      <c r="U182" s="348"/>
      <c r="V182" s="394"/>
      <c r="X182" s="327"/>
      <c r="Z182" s="381"/>
      <c r="AB182" s="381"/>
    </row>
    <row r="183" spans="1:34" s="27" customFormat="1" ht="57.75" customHeight="1" x14ac:dyDescent="0.2">
      <c r="A183" s="27">
        <f>+IF(T183="","",B183)</f>
        <v>1</v>
      </c>
      <c r="B183" s="28">
        <v>1</v>
      </c>
      <c r="C183" s="86" t="s">
        <v>61</v>
      </c>
      <c r="D183" s="86" t="s">
        <v>291</v>
      </c>
      <c r="E183" s="87" t="s">
        <v>292</v>
      </c>
      <c r="F183" s="87" t="s">
        <v>293</v>
      </c>
      <c r="G183" s="86" t="s">
        <v>294</v>
      </c>
      <c r="H183" s="30">
        <v>49</v>
      </c>
      <c r="I183" s="31" t="s">
        <v>16</v>
      </c>
      <c r="J183" s="32">
        <v>703.58</v>
      </c>
      <c r="K183" s="33">
        <v>0.8</v>
      </c>
      <c r="L183" s="34">
        <f>IF(OR(H183="",I183&lt;&gt;"SI",I183="NO",J183="",J183=0,K183="",K183=0,X183&lt;&gt;"SI"),0,J183*K183)</f>
        <v>562.86400000000003</v>
      </c>
      <c r="M183" s="204">
        <v>41656</v>
      </c>
      <c r="N183" s="204">
        <v>41958</v>
      </c>
      <c r="O183" s="169">
        <f>IF(OR(H183="",I183&lt;&gt;"SI",I183="NO",J183="",J183=0,K183="",K183=0,,M183="",N183=""),"",ROUND((((N183-M183)+1)/30),3))</f>
        <v>10.1</v>
      </c>
      <c r="P183" s="204">
        <v>41806</v>
      </c>
      <c r="Q183" s="204">
        <v>41837</v>
      </c>
      <c r="R183" s="170">
        <f>IF(OR((Q183-P183)=0,P183="",Q183=""),0,(ROUND((((Q183-P183)+1)/30),3)))</f>
        <v>1.0669999999999999</v>
      </c>
      <c r="S183" s="171">
        <f>IF(O183="","",ROUND(SUM(O183)-SUM(R183:R184),3))</f>
        <v>6.3330000000000002</v>
      </c>
      <c r="T183" s="172">
        <f>+IF(C183="","",IF(OR(S183="",S183&lt;=0,I183="",I183="NO",U183="",U183="NO",X183="NO"),"",ROUND(SUM(L183)/S183,3)))</f>
        <v>88.878</v>
      </c>
      <c r="U183" s="35" t="s">
        <v>16</v>
      </c>
      <c r="V183" s="36"/>
      <c r="W183" s="205"/>
      <c r="X183" s="37" t="str">
        <f t="shared" ref="X183:X192" si="80">+IF(C183="","",IF(AND(H183&lt;&gt;"",I183="SI",J183&lt;&gt;"",J183&gt;0,K183&lt;&gt;"",K183&gt;0,S183&lt;&gt;"",S183&gt;0,U183="SI"),"SI","NO"))</f>
        <v>SI</v>
      </c>
      <c r="Z183" s="173" t="s">
        <v>16</v>
      </c>
      <c r="AB183" s="173" t="s">
        <v>16</v>
      </c>
      <c r="AD183" s="10" t="str">
        <f t="shared" ref="AD183:AD192" si="81">+IF($C$180="","",IF(C183="","",IF(L183&gt;=$H$6,"SI","NO")))</f>
        <v>SI</v>
      </c>
      <c r="AE183" s="92">
        <f>+IF(OR($T$183="",X183="",X183="NO"),"",L183)</f>
        <v>562.86400000000003</v>
      </c>
      <c r="AF183" s="92">
        <f>+IF(AE183="","",L183/$S$183)</f>
        <v>88.877940944260232</v>
      </c>
      <c r="AG183" s="174">
        <f>0.1+B180</f>
        <v>11.1</v>
      </c>
      <c r="AH183" s="27" t="s">
        <v>932</v>
      </c>
    </row>
    <row r="184" spans="1:34" s="27" customFormat="1" ht="12.75" x14ac:dyDescent="0.2">
      <c r="A184" s="27" t="str">
        <f t="shared" ref="A184:A192" si="82">+IF(T184="","",B184)</f>
        <v/>
      </c>
      <c r="B184" s="38"/>
      <c r="C184" s="39"/>
      <c r="D184" s="39"/>
      <c r="E184" s="46"/>
      <c r="F184" s="46"/>
      <c r="G184" s="39"/>
      <c r="H184" s="40"/>
      <c r="I184" s="41"/>
      <c r="J184" s="42"/>
      <c r="K184" s="43"/>
      <c r="L184" s="44">
        <f t="shared" ref="L184:L192" si="83">IF(OR(H184="",I184&lt;&gt;"SI",I184="NO",J184="",J184=0,K184="",K184=0,X184&lt;&gt;"SI"),0,J184*K184)</f>
        <v>0</v>
      </c>
      <c r="M184" s="206"/>
      <c r="N184" s="206"/>
      <c r="O184" s="207" t="str">
        <f t="shared" ref="O184:O192" si="84">IF(OR(H184="",I184&lt;&gt;"SI",I184="NO",J184="",J184=0,K184="",K184=0,,M184="",N184=""),"",ROUND((((N184-M184)+1)/30),3))</f>
        <v/>
      </c>
      <c r="P184" s="206">
        <v>41866</v>
      </c>
      <c r="Q184" s="206">
        <v>41946</v>
      </c>
      <c r="R184" s="177">
        <f t="shared" ref="R184:R192" si="85">IF(OR((Q184-P184)=0,P184="",Q184=""),0,(ROUND((((Q184-P184)+1)/30),3)))</f>
        <v>2.7</v>
      </c>
      <c r="S184" s="178" t="str">
        <f t="shared" ref="S184:S192" si="86">IF(O184="","",ROUND(SUM(O184)-SUM(R184),3))</f>
        <v/>
      </c>
      <c r="T184" s="208" t="str">
        <f t="shared" ref="T184:T192" si="87">+IF(C184="","",IF(OR(S184="",S184&lt;=0,I184="",I184="NO",U184="",U184="NO",X184="NO"),"",ROUND(SUM(L184)/S184,3)))</f>
        <v/>
      </c>
      <c r="U184" s="41"/>
      <c r="V184" s="209"/>
      <c r="W184" s="205"/>
      <c r="X184" s="37" t="str">
        <f t="shared" si="80"/>
        <v/>
      </c>
      <c r="Z184" s="173"/>
      <c r="AB184" s="173"/>
      <c r="AD184" s="10" t="str">
        <f t="shared" si="81"/>
        <v/>
      </c>
      <c r="AE184" s="92" t="str">
        <f>+IF(OR($T$184="",X184="",X184="NO"),"",L184)</f>
        <v/>
      </c>
      <c r="AF184" s="92" t="str">
        <f>+IF(AE184="","",L184/$S$184)</f>
        <v/>
      </c>
      <c r="AG184" s="174">
        <f>0.2+B180</f>
        <v>11.2</v>
      </c>
      <c r="AH184" s="27" t="s">
        <v>932</v>
      </c>
    </row>
    <row r="185" spans="1:34" s="27" customFormat="1" ht="78" customHeight="1" x14ac:dyDescent="0.2">
      <c r="A185" s="27">
        <f t="shared" si="82"/>
        <v>2</v>
      </c>
      <c r="B185" s="38">
        <v>2</v>
      </c>
      <c r="C185" s="39" t="s">
        <v>61</v>
      </c>
      <c r="D185" s="39" t="s">
        <v>291</v>
      </c>
      <c r="E185" s="46" t="s">
        <v>295</v>
      </c>
      <c r="F185" s="46" t="s">
        <v>296</v>
      </c>
      <c r="G185" s="39" t="s">
        <v>61</v>
      </c>
      <c r="H185" s="40">
        <v>65</v>
      </c>
      <c r="I185" s="41" t="s">
        <v>16</v>
      </c>
      <c r="J185" s="42">
        <v>363.5</v>
      </c>
      <c r="K185" s="43">
        <v>1</v>
      </c>
      <c r="L185" s="44">
        <f t="shared" si="83"/>
        <v>363.5</v>
      </c>
      <c r="M185" s="206">
        <v>42285</v>
      </c>
      <c r="N185" s="206">
        <v>42345</v>
      </c>
      <c r="O185" s="207">
        <f t="shared" si="84"/>
        <v>2.0329999999999999</v>
      </c>
      <c r="P185" s="206"/>
      <c r="Q185" s="206"/>
      <c r="R185" s="177">
        <f t="shared" si="85"/>
        <v>0</v>
      </c>
      <c r="S185" s="178">
        <f t="shared" si="86"/>
        <v>2.0329999999999999</v>
      </c>
      <c r="T185" s="208">
        <f t="shared" si="87"/>
        <v>178.8</v>
      </c>
      <c r="U185" s="41" t="s">
        <v>16</v>
      </c>
      <c r="V185" s="45"/>
      <c r="W185" s="205"/>
      <c r="X185" s="37" t="str">
        <f t="shared" si="80"/>
        <v>SI</v>
      </c>
      <c r="Z185" s="173" t="s">
        <v>16</v>
      </c>
      <c r="AB185" s="173" t="s">
        <v>16</v>
      </c>
      <c r="AD185" s="10" t="str">
        <f t="shared" si="81"/>
        <v>SI</v>
      </c>
      <c r="AE185" s="92">
        <f>+IF(OR($T$185="",X185="",X185="NO"),"",L185)</f>
        <v>363.5</v>
      </c>
      <c r="AF185" s="92">
        <f>+IF(AE185="","",L185/$S$185)</f>
        <v>178.79980324643384</v>
      </c>
      <c r="AG185" s="174">
        <f>0.3+B180</f>
        <v>11.3</v>
      </c>
      <c r="AH185" s="27" t="s">
        <v>932</v>
      </c>
    </row>
    <row r="186" spans="1:34" s="27" customFormat="1" ht="12.75" x14ac:dyDescent="0.2">
      <c r="A186" s="27" t="str">
        <f t="shared" si="82"/>
        <v/>
      </c>
      <c r="B186" s="38"/>
      <c r="C186" s="39"/>
      <c r="D186" s="39"/>
      <c r="E186" s="46"/>
      <c r="F186" s="46"/>
      <c r="G186" s="39"/>
      <c r="H186" s="40"/>
      <c r="I186" s="41"/>
      <c r="J186" s="42"/>
      <c r="K186" s="43"/>
      <c r="L186" s="44">
        <f t="shared" si="83"/>
        <v>0</v>
      </c>
      <c r="M186" s="206"/>
      <c r="N186" s="206"/>
      <c r="O186" s="207" t="str">
        <f t="shared" si="84"/>
        <v/>
      </c>
      <c r="P186" s="206"/>
      <c r="Q186" s="206"/>
      <c r="R186" s="177">
        <f t="shared" si="85"/>
        <v>0</v>
      </c>
      <c r="S186" s="178" t="str">
        <f t="shared" si="86"/>
        <v/>
      </c>
      <c r="T186" s="208" t="str">
        <f t="shared" si="87"/>
        <v/>
      </c>
      <c r="U186" s="41"/>
      <c r="V186" s="45"/>
      <c r="W186" s="210"/>
      <c r="X186" s="37" t="str">
        <f t="shared" si="80"/>
        <v/>
      </c>
      <c r="Z186" s="180"/>
      <c r="AB186" s="173"/>
      <c r="AD186" s="10" t="str">
        <f t="shared" si="81"/>
        <v/>
      </c>
      <c r="AE186" s="92" t="str">
        <f>+IF(OR($T$186="",X186="",X186="NO"),"",L186)</f>
        <v/>
      </c>
      <c r="AF186" s="92" t="str">
        <f>+IF(AE186="","",L186/$S$186)</f>
        <v/>
      </c>
      <c r="AG186" s="174"/>
    </row>
    <row r="187" spans="1:34" s="27" customFormat="1" ht="12.75" x14ac:dyDescent="0.2">
      <c r="A187" s="27" t="str">
        <f t="shared" si="82"/>
        <v/>
      </c>
      <c r="B187" s="38"/>
      <c r="C187" s="39"/>
      <c r="D187" s="39"/>
      <c r="E187" s="46"/>
      <c r="F187" s="46"/>
      <c r="G187" s="39"/>
      <c r="H187" s="40"/>
      <c r="I187" s="41"/>
      <c r="J187" s="42"/>
      <c r="K187" s="43"/>
      <c r="L187" s="44">
        <f t="shared" si="83"/>
        <v>0</v>
      </c>
      <c r="M187" s="206"/>
      <c r="N187" s="206"/>
      <c r="O187" s="207" t="str">
        <f t="shared" si="84"/>
        <v/>
      </c>
      <c r="P187" s="206"/>
      <c r="Q187" s="206"/>
      <c r="R187" s="177">
        <f t="shared" si="85"/>
        <v>0</v>
      </c>
      <c r="S187" s="178" t="str">
        <f t="shared" si="86"/>
        <v/>
      </c>
      <c r="T187" s="208" t="str">
        <f t="shared" si="87"/>
        <v/>
      </c>
      <c r="U187" s="41"/>
      <c r="V187" s="45"/>
      <c r="X187" s="37" t="str">
        <f t="shared" si="80"/>
        <v/>
      </c>
      <c r="Z187" s="181"/>
      <c r="AB187" s="173"/>
      <c r="AD187" s="10" t="str">
        <f t="shared" si="81"/>
        <v/>
      </c>
      <c r="AE187" s="92" t="str">
        <f>+IF(OR($T$187="",X187="",X187="NO"),"",L187)</f>
        <v/>
      </c>
      <c r="AF187" s="92" t="str">
        <f>+IF(AE187="","",L187/$S$187)</f>
        <v/>
      </c>
      <c r="AG187" s="174"/>
    </row>
    <row r="188" spans="1:34" s="27" customFormat="1" ht="12.75" x14ac:dyDescent="0.2">
      <c r="A188" s="27" t="str">
        <f t="shared" si="82"/>
        <v/>
      </c>
      <c r="B188" s="38"/>
      <c r="C188" s="39"/>
      <c r="D188" s="39"/>
      <c r="E188" s="46"/>
      <c r="F188" s="46"/>
      <c r="G188" s="39"/>
      <c r="H188" s="40"/>
      <c r="I188" s="41"/>
      <c r="J188" s="42"/>
      <c r="K188" s="43"/>
      <c r="L188" s="44">
        <f t="shared" si="83"/>
        <v>0</v>
      </c>
      <c r="M188" s="206"/>
      <c r="N188" s="206"/>
      <c r="O188" s="207" t="str">
        <f t="shared" si="84"/>
        <v/>
      </c>
      <c r="P188" s="206"/>
      <c r="Q188" s="206"/>
      <c r="R188" s="177">
        <f t="shared" si="85"/>
        <v>0</v>
      </c>
      <c r="S188" s="178" t="str">
        <f t="shared" si="86"/>
        <v/>
      </c>
      <c r="T188" s="208" t="str">
        <f t="shared" si="87"/>
        <v/>
      </c>
      <c r="U188" s="41"/>
      <c r="V188" s="45"/>
      <c r="X188" s="37" t="str">
        <f t="shared" si="80"/>
        <v/>
      </c>
      <c r="Z188" s="181"/>
      <c r="AB188" s="173"/>
      <c r="AD188" s="10" t="str">
        <f t="shared" si="81"/>
        <v/>
      </c>
      <c r="AE188" s="92" t="str">
        <f>+IF(OR($T$188="",X188="",X188="NO"),"",L188)</f>
        <v/>
      </c>
      <c r="AF188" s="92" t="str">
        <f>+IF(AE188="","",L188/$S$188)</f>
        <v/>
      </c>
      <c r="AG188" s="174"/>
    </row>
    <row r="189" spans="1:34" s="27" customFormat="1" ht="12.75" x14ac:dyDescent="0.2">
      <c r="A189" s="27" t="str">
        <f t="shared" si="82"/>
        <v/>
      </c>
      <c r="B189" s="38"/>
      <c r="C189" s="39"/>
      <c r="D189" s="39"/>
      <c r="E189" s="46"/>
      <c r="F189" s="46"/>
      <c r="G189" s="39"/>
      <c r="H189" s="40"/>
      <c r="I189" s="41"/>
      <c r="J189" s="42"/>
      <c r="K189" s="43"/>
      <c r="L189" s="44">
        <f t="shared" si="83"/>
        <v>0</v>
      </c>
      <c r="M189" s="206"/>
      <c r="N189" s="206"/>
      <c r="O189" s="207" t="str">
        <f t="shared" si="84"/>
        <v/>
      </c>
      <c r="P189" s="206"/>
      <c r="Q189" s="206"/>
      <c r="R189" s="177">
        <f t="shared" si="85"/>
        <v>0</v>
      </c>
      <c r="S189" s="178" t="str">
        <f t="shared" si="86"/>
        <v/>
      </c>
      <c r="T189" s="208" t="str">
        <f t="shared" si="87"/>
        <v/>
      </c>
      <c r="U189" s="41"/>
      <c r="V189" s="45"/>
      <c r="X189" s="37" t="str">
        <f t="shared" si="80"/>
        <v/>
      </c>
      <c r="Z189" s="181"/>
      <c r="AB189" s="173"/>
      <c r="AD189" s="10" t="str">
        <f t="shared" si="81"/>
        <v/>
      </c>
      <c r="AE189" s="92" t="str">
        <f>+IF(OR($T$189="",X189="",X189="NO"),"",L189)</f>
        <v/>
      </c>
      <c r="AF189" s="92" t="str">
        <f>+IF(AE189="","",L189/$S$189)</f>
        <v/>
      </c>
      <c r="AG189" s="174"/>
    </row>
    <row r="190" spans="1:34" s="27" customFormat="1" ht="12.75" x14ac:dyDescent="0.2">
      <c r="A190" s="27" t="str">
        <f t="shared" si="82"/>
        <v/>
      </c>
      <c r="B190" s="38"/>
      <c r="C190" s="39"/>
      <c r="D190" s="39"/>
      <c r="E190" s="46"/>
      <c r="F190" s="46"/>
      <c r="G190" s="39"/>
      <c r="H190" s="40"/>
      <c r="I190" s="41"/>
      <c r="J190" s="42"/>
      <c r="K190" s="43"/>
      <c r="L190" s="44">
        <f t="shared" si="83"/>
        <v>0</v>
      </c>
      <c r="M190" s="206"/>
      <c r="N190" s="206"/>
      <c r="O190" s="207" t="str">
        <f t="shared" si="84"/>
        <v/>
      </c>
      <c r="P190" s="206"/>
      <c r="Q190" s="206"/>
      <c r="R190" s="177">
        <f t="shared" si="85"/>
        <v>0</v>
      </c>
      <c r="S190" s="178" t="str">
        <f t="shared" si="86"/>
        <v/>
      </c>
      <c r="T190" s="208" t="str">
        <f t="shared" si="87"/>
        <v/>
      </c>
      <c r="U190" s="41"/>
      <c r="V190" s="45"/>
      <c r="X190" s="37" t="str">
        <f t="shared" si="80"/>
        <v/>
      </c>
      <c r="Z190" s="181"/>
      <c r="AB190" s="173"/>
      <c r="AD190" s="10" t="str">
        <f t="shared" si="81"/>
        <v/>
      </c>
      <c r="AE190" s="92" t="str">
        <f>+IF(OR($T$190="",X190="",X190="NO"),"",L190)</f>
        <v/>
      </c>
      <c r="AF190" s="92" t="str">
        <f>+IF(AE190="","",L190/$S$190)</f>
        <v/>
      </c>
      <c r="AG190" s="174"/>
    </row>
    <row r="191" spans="1:34" s="27" customFormat="1" ht="12.75" x14ac:dyDescent="0.2">
      <c r="A191" s="27" t="str">
        <f t="shared" si="82"/>
        <v/>
      </c>
      <c r="B191" s="38"/>
      <c r="C191" s="39"/>
      <c r="D191" s="39"/>
      <c r="E191" s="46"/>
      <c r="F191" s="46"/>
      <c r="G191" s="39"/>
      <c r="H191" s="40"/>
      <c r="I191" s="41"/>
      <c r="J191" s="42"/>
      <c r="K191" s="43"/>
      <c r="L191" s="44">
        <f t="shared" si="83"/>
        <v>0</v>
      </c>
      <c r="M191" s="206"/>
      <c r="N191" s="206"/>
      <c r="O191" s="207" t="str">
        <f t="shared" si="84"/>
        <v/>
      </c>
      <c r="P191" s="206"/>
      <c r="Q191" s="206"/>
      <c r="R191" s="177">
        <f t="shared" si="85"/>
        <v>0</v>
      </c>
      <c r="S191" s="178" t="str">
        <f t="shared" si="86"/>
        <v/>
      </c>
      <c r="T191" s="208" t="str">
        <f t="shared" si="87"/>
        <v/>
      </c>
      <c r="U191" s="41"/>
      <c r="V191" s="45"/>
      <c r="X191" s="37" t="str">
        <f t="shared" si="80"/>
        <v/>
      </c>
      <c r="Z191" s="181"/>
      <c r="AB191" s="173"/>
      <c r="AD191" s="10" t="str">
        <f t="shared" si="81"/>
        <v/>
      </c>
      <c r="AE191" s="92" t="str">
        <f>+IF(OR($T$191="",X191="",X191="NO"),"",L191)</f>
        <v/>
      </c>
      <c r="AF191" s="92" t="str">
        <f>+IF(AE191="","",L191/$S$191)</f>
        <v/>
      </c>
      <c r="AG191" s="174"/>
    </row>
    <row r="192" spans="1:34" s="27" customFormat="1" ht="13.5" thickBot="1" x14ac:dyDescent="0.25">
      <c r="A192" s="27" t="str">
        <f t="shared" si="82"/>
        <v/>
      </c>
      <c r="B192" s="47"/>
      <c r="C192" s="48"/>
      <c r="D192" s="48"/>
      <c r="E192" s="49"/>
      <c r="F192" s="49"/>
      <c r="G192" s="48"/>
      <c r="H192" s="50"/>
      <c r="I192" s="51"/>
      <c r="J192" s="14"/>
      <c r="K192" s="52"/>
      <c r="L192" s="53">
        <f t="shared" si="83"/>
        <v>0</v>
      </c>
      <c r="M192" s="211"/>
      <c r="N192" s="211"/>
      <c r="O192" s="212" t="str">
        <f t="shared" si="84"/>
        <v/>
      </c>
      <c r="P192" s="211"/>
      <c r="Q192" s="211"/>
      <c r="R192" s="184">
        <f t="shared" si="85"/>
        <v>0</v>
      </c>
      <c r="S192" s="185" t="str">
        <f t="shared" si="86"/>
        <v/>
      </c>
      <c r="T192" s="213" t="str">
        <f t="shared" si="87"/>
        <v/>
      </c>
      <c r="U192" s="51"/>
      <c r="V192" s="54"/>
      <c r="X192" s="55" t="str">
        <f t="shared" si="80"/>
        <v/>
      </c>
      <c r="Z192" s="187"/>
      <c r="AB192" s="188"/>
      <c r="AD192" s="10" t="str">
        <f t="shared" si="81"/>
        <v/>
      </c>
      <c r="AE192" s="92" t="str">
        <f>+IF(OR($T$192="",X192="",X192="NO"),"",L192)</f>
        <v/>
      </c>
      <c r="AF192" s="92" t="str">
        <f>+IF(AE192="","",L192/$S$192)</f>
        <v/>
      </c>
    </row>
    <row r="193" spans="1:34" ht="36" customHeight="1" x14ac:dyDescent="0.2">
      <c r="B193" s="57" t="str">
        <f>"A"&amp;B180</f>
        <v>A11</v>
      </c>
      <c r="C193" s="382" t="str">
        <f>+$C$23</f>
        <v>¿CADA INTEGRANTE DE PROPONENTE PLURAL APORTAN CONTRATO?  (SI; NO; NA)</v>
      </c>
      <c r="D193" s="383"/>
      <c r="E193" s="383"/>
      <c r="F193" s="383"/>
      <c r="G193" s="383"/>
      <c r="H193" s="384"/>
      <c r="I193" s="217" t="str">
        <f>+IF(AG180="","",IF(AG180=1,"NA",IF(AND(AG180=3,(IF(COUNTIFS(C183:C192,AH183,AE183:AE192,"&gt;0")&gt;=1,1,0)+IF(COUNTIFS(C183:C192,AH184,AE183:AE192,"&gt;0")&gt;=1,1,0)+IF(COUNTIFS(C183:C192,AH185,AE183:AE192,"&gt;0")&gt;=1,1,0))&gt;=AG180),"SI",IF(AND(AG180=2,(IF(COUNTIFS(C183:C192,AH183,AE183:AE192,"&gt;0")&gt;=1,1,0)+IF(COUNTIFS(C183:C192,AH184,AE183:AE192,"&gt;0")&gt;=1,1,0))&gt;=AG180),"SI","NO"))))</f>
        <v>NA</v>
      </c>
      <c r="J193" s="59"/>
      <c r="K193" s="27"/>
      <c r="L193" s="27"/>
      <c r="M193" s="27"/>
      <c r="N193" s="27"/>
      <c r="O193" s="27"/>
      <c r="P193" s="385" t="str">
        <f>+$P$23</f>
        <v>FACTURACION MENSUAL TOTAL</v>
      </c>
      <c r="Q193" s="386"/>
      <c r="R193" s="386"/>
      <c r="S193" s="386"/>
      <c r="T193" s="189">
        <f>ROUND(SUM(T183:T192),3)</f>
        <v>267.678</v>
      </c>
      <c r="U193" s="60"/>
      <c r="V193" s="1"/>
      <c r="W193" s="61"/>
      <c r="X193" s="61"/>
      <c r="Y193" s="61"/>
      <c r="Z193" s="61"/>
      <c r="AA193" s="61"/>
      <c r="AB193" s="61"/>
    </row>
    <row r="194" spans="1:34" ht="38.25" customHeight="1" thickBot="1" x14ac:dyDescent="0.25">
      <c r="B194" s="57" t="str">
        <f>"B"&amp;B180</f>
        <v>B11</v>
      </c>
      <c r="C194" s="387" t="str">
        <f>+C177</f>
        <v>En caso de proponente plural: ¿De la totalidad de los contratos aportados por el proponente plural, el valor ejecutado de uno de ellos deberá ser igual o superior al 30% del P.O.?  (SI; NO; NA)</v>
      </c>
      <c r="D194" s="388"/>
      <c r="E194" s="388"/>
      <c r="F194" s="388"/>
      <c r="G194" s="389"/>
      <c r="H194" s="190">
        <f>+$H$6</f>
        <v>268.14722506074827</v>
      </c>
      <c r="I194" s="191" t="str">
        <f>+IF(AG180="","",IF(AG180=1,"NA",IF(AND(AG180&gt;1,(COUNTIFS(AD183:AD192,"SI",AE183:AE192,"&gt;0"))&gt;=1),"SI","NO")))</f>
        <v>NA</v>
      </c>
      <c r="J194" s="192"/>
      <c r="K194" s="193"/>
      <c r="L194" s="194"/>
      <c r="M194" s="194"/>
      <c r="N194" s="194"/>
      <c r="O194" s="194"/>
      <c r="P194" s="387" t="str">
        <f>+$P$24</f>
        <v>PROMEDIO FACTURACIÓN MENSUAL DEL PROPONENTE (PFMP)</v>
      </c>
      <c r="Q194" s="388"/>
      <c r="R194" s="388"/>
      <c r="S194" s="388"/>
      <c r="T194" s="195">
        <f t="array" ref="T194">IF(T193=0,0,ROUND(T193/(SUM(IF(FREQUENCY(A183:A192,A183:A192)&gt;0,1))),3))</f>
        <v>133.839</v>
      </c>
      <c r="U194" s="214"/>
      <c r="V194" s="1"/>
      <c r="W194" s="61"/>
      <c r="X194" s="61"/>
      <c r="Y194" s="61"/>
      <c r="Z194" s="61"/>
      <c r="AA194" s="61"/>
      <c r="AB194" s="61"/>
    </row>
    <row r="195" spans="1:34" ht="21" customHeight="1" thickBot="1" x14ac:dyDescent="0.25">
      <c r="B195" s="197" t="str">
        <f>"C"&amp;B180</f>
        <v>C11</v>
      </c>
      <c r="C195" s="349" t="str">
        <f>+$C$25</f>
        <v>PROPONENTE CUMPLE CON LAS ACTIVIDADES a) y b)? (SI; NO)</v>
      </c>
      <c r="D195" s="350"/>
      <c r="E195" s="350"/>
      <c r="F195" s="350"/>
      <c r="G195" s="350"/>
      <c r="H195" s="351"/>
      <c r="I195" s="198" t="str">
        <f>IF(C180="","",(IF(AND(COUNTIFS(X183:X192,"SI",Z183:Z192,"SI")&gt;=$Z$8,COUNTIFS(X183:X192,"SI",AB183:AB192,"SI")&gt;=$Z$8),"SI","NO")))</f>
        <v>SI</v>
      </c>
      <c r="J195" s="199"/>
      <c r="K195" s="200"/>
      <c r="L195" s="200"/>
      <c r="M195" s="200"/>
      <c r="N195" s="200"/>
      <c r="P195" s="378" t="str">
        <f>+$P$25</f>
        <v>VALOR PUNTAJE POR EXPERIENCIA DEL PROPONENTE</v>
      </c>
      <c r="Q195" s="379"/>
      <c r="R195" s="379"/>
      <c r="S195" s="380"/>
      <c r="T195" s="201">
        <f>IF(OR(C180="",'ASIGNACION DE PUNTAJES'!$C$5=""),"",VLOOKUP(B180,'ASIGNACION DE PUNTAJES'!$A$15:$G$69,7,FALSE))</f>
        <v>689.14499999999998</v>
      </c>
      <c r="V195" s="202"/>
    </row>
    <row r="196" spans="1:34" ht="9.75" customHeight="1" thickBot="1" x14ac:dyDescent="0.25">
      <c r="M196" s="84"/>
      <c r="N196" s="84"/>
      <c r="O196" s="84"/>
      <c r="V196" s="21"/>
    </row>
    <row r="197" spans="1:34" ht="36.75" customHeight="1" thickBot="1" x14ac:dyDescent="0.25">
      <c r="B197" s="23">
        <f>1+B180</f>
        <v>12</v>
      </c>
      <c r="C197" s="336" t="s">
        <v>65</v>
      </c>
      <c r="D197" s="337"/>
      <c r="E197" s="337"/>
      <c r="F197" s="337"/>
      <c r="G197" s="337"/>
      <c r="H197" s="337"/>
      <c r="I197" s="338"/>
      <c r="J197" s="24" t="str">
        <f>+IF(C197="","","INTEGRANTES")</f>
        <v>INTEGRANTES</v>
      </c>
      <c r="K197" s="339" t="s">
        <v>890</v>
      </c>
      <c r="L197" s="339"/>
      <c r="M197" s="339"/>
      <c r="N197" s="339"/>
      <c r="O197" s="339"/>
      <c r="P197" s="339"/>
      <c r="Q197" s="339"/>
      <c r="R197" s="396" t="str">
        <f>+$R$10</f>
        <v>PROPONENTE No.</v>
      </c>
      <c r="S197" s="397"/>
      <c r="T197" s="25">
        <f>+B197</f>
        <v>12</v>
      </c>
      <c r="U197" s="161" t="str">
        <f>+$U$10</f>
        <v>PFMP</v>
      </c>
      <c r="V197" s="162">
        <f>IF(T211="",0,T211)</f>
        <v>126.595</v>
      </c>
      <c r="X197" s="325" t="s">
        <v>168</v>
      </c>
      <c r="Z197" s="163" t="str">
        <f>+$Z$10</f>
        <v>EXP. ESPECÍFICA 
A:</v>
      </c>
      <c r="AB197" s="163" t="str">
        <f>+$AB$10</f>
        <v>EXP. ESPECÍFICA 
B:</v>
      </c>
      <c r="AG197" s="1">
        <v>1</v>
      </c>
    </row>
    <row r="198" spans="1:34" ht="42" customHeight="1" x14ac:dyDescent="0.2">
      <c r="B198" s="331" t="str">
        <f>+$B$11</f>
        <v>ITEM</v>
      </c>
      <c r="C198" s="318" t="str">
        <f>+$C$11</f>
        <v>PROPONENTE 
/ 
INTEGRANTE OFERENTE PLURAL</v>
      </c>
      <c r="D198" s="333" t="str">
        <f>+$D$11</f>
        <v>INFORMACIÓN DEL CONTRATO</v>
      </c>
      <c r="E198" s="334"/>
      <c r="F198" s="334"/>
      <c r="G198" s="335"/>
      <c r="H198" s="318" t="str">
        <f>+H181</f>
        <v>CONSECUTIVO RUP</v>
      </c>
      <c r="I198" s="318" t="str">
        <f>+$I$11</f>
        <v>¿SE ENCUENTRA INSCRITO EN EL RUP Y CUMPLE CÓDIGOS UNSPSC?</v>
      </c>
      <c r="J198" s="318" t="str">
        <f>+$J$11</f>
        <v xml:space="preserve">VALOR EN RUP (SMMLV) </v>
      </c>
      <c r="K198" s="318" t="str">
        <f>+$K$11</f>
        <v>% PARTIC en el RUP</v>
      </c>
      <c r="L198" s="318" t="str">
        <f>+$L$11</f>
        <v>VALOR DEL CONTRATO TERMINADO (SMMLV) en el   RUP</v>
      </c>
      <c r="M198" s="318" t="str">
        <f>+$M$11</f>
        <v>FECHA DE INICIO</v>
      </c>
      <c r="N198" s="318" t="str">
        <f>+$N$11</f>
        <v>FECHA DE TERMINACION</v>
      </c>
      <c r="O198" s="318" t="str">
        <f>+$O$11</f>
        <v>PLAZO CONTRA-TO (Meses)</v>
      </c>
      <c r="P198" s="390" t="str">
        <f>+$P$11</f>
        <v>Tsusp i</v>
      </c>
      <c r="Q198" s="391"/>
      <c r="R198" s="392"/>
      <c r="S198" s="318" t="str">
        <f>+$S$11</f>
        <v>PLAZO i REAL</v>
      </c>
      <c r="T198" s="318" t="str">
        <f>+$T$11</f>
        <v>FACTURA-CION MENSUAL PROPO-NENTE</v>
      </c>
      <c r="U198" s="318" t="str">
        <f>+$U$11</f>
        <v>VALIDACIÓN DE LA EXPERIENCIA GENERAL
(SI/NO)</v>
      </c>
      <c r="V198" s="393" t="str">
        <f>+$V$11</f>
        <v>OBSERVACIONES</v>
      </c>
      <c r="W198" s="164"/>
      <c r="X198" s="326"/>
      <c r="Z198" s="381" t="str">
        <f>+$Z$11</f>
        <v>Interventoria a la ejecución de obras relacionadas con Colocación de capas granulares (tales como bases y/o sub-bases granulares).</v>
      </c>
      <c r="AB198" s="381" t="str">
        <f>+$AB$11</f>
        <v>Interventoria a la Ejecución de obras de subdrenaje y/o drenaje, en carreteras.</v>
      </c>
    </row>
    <row r="199" spans="1:34" ht="38.25" customHeight="1" thickBot="1" x14ac:dyDescent="0.25">
      <c r="B199" s="395"/>
      <c r="C199" s="348"/>
      <c r="D199" s="165" t="str">
        <f>+$D$12</f>
        <v>ENTIDAD</v>
      </c>
      <c r="E199" s="165" t="str">
        <f>+$E$12</f>
        <v>No. DE CONTRATO</v>
      </c>
      <c r="F199" s="165" t="str">
        <f>+$F$12</f>
        <v>OBJETO</v>
      </c>
      <c r="G199" s="165" t="str">
        <f>+$G$12</f>
        <v>CONTRATISTA</v>
      </c>
      <c r="H199" s="348"/>
      <c r="I199" s="348"/>
      <c r="J199" s="348"/>
      <c r="K199" s="348"/>
      <c r="L199" s="348"/>
      <c r="M199" s="348"/>
      <c r="N199" s="348"/>
      <c r="O199" s="348"/>
      <c r="P199" s="166" t="str">
        <f>+P182</f>
        <v>Finicsuspi</v>
      </c>
      <c r="Q199" s="166" t="str">
        <f>+Q182</f>
        <v xml:space="preserve"> Ftermsuspi </v>
      </c>
      <c r="R199" s="166" t="str">
        <f>+R182</f>
        <v>Tsusp i (meses)</v>
      </c>
      <c r="S199" s="348"/>
      <c r="T199" s="348"/>
      <c r="U199" s="348"/>
      <c r="V199" s="394"/>
      <c r="X199" s="327"/>
      <c r="Z199" s="381"/>
      <c r="AB199" s="381"/>
    </row>
    <row r="200" spans="1:34" s="27" customFormat="1" ht="115.5" customHeight="1" x14ac:dyDescent="0.2">
      <c r="A200" s="27">
        <f>+IF(T200="","",B200)</f>
        <v>1</v>
      </c>
      <c r="B200" s="28">
        <v>1</v>
      </c>
      <c r="C200" s="86" t="s">
        <v>65</v>
      </c>
      <c r="D200" s="86" t="s">
        <v>43</v>
      </c>
      <c r="E200" s="87" t="s">
        <v>297</v>
      </c>
      <c r="F200" s="87" t="s">
        <v>298</v>
      </c>
      <c r="G200" s="86" t="s">
        <v>299</v>
      </c>
      <c r="H200" s="30">
        <v>163</v>
      </c>
      <c r="I200" s="31" t="s">
        <v>16</v>
      </c>
      <c r="J200" s="32">
        <v>7604.37</v>
      </c>
      <c r="K200" s="33">
        <v>0.5</v>
      </c>
      <c r="L200" s="34">
        <f>IF(OR(H200="",I200&lt;&gt;"SI",I200="NO",J200="",J200=0,K200="",K200=0,X200&lt;&gt;"SI"),0,J200*K200)</f>
        <v>3802.1849999999999</v>
      </c>
      <c r="M200" s="204">
        <v>41130</v>
      </c>
      <c r="N200" s="204">
        <v>42366</v>
      </c>
      <c r="O200" s="169">
        <f>IF(OR(H200="",I200&lt;&gt;"SI",I200="NO",J200="",J200=0,K200="",K200=0,,M200="",N200=""),"",ROUND((((N200-M200)+1)/30),3))</f>
        <v>41.232999999999997</v>
      </c>
      <c r="P200" s="204"/>
      <c r="Q200" s="204"/>
      <c r="R200" s="170">
        <f>IF(OR((Q200-P200)=0,P200="",Q200=""),0,(ROUND((((Q200-P200)+1)/30),3)))</f>
        <v>0</v>
      </c>
      <c r="S200" s="171">
        <f>IF(O200="","",ROUND(SUM(O200)-SUM(R200),3))</f>
        <v>41.232999999999997</v>
      </c>
      <c r="T200" s="172">
        <f>+IF(C200="","",IF(OR(S200="",S200&lt;=0,I200="",I200="NO",U200="",U200="NO",X200="NO"),"",ROUND(SUM(L200)/S200,3)))</f>
        <v>92.212000000000003</v>
      </c>
      <c r="U200" s="35" t="s">
        <v>16</v>
      </c>
      <c r="V200" s="36"/>
      <c r="W200" s="205"/>
      <c r="X200" s="37" t="str">
        <f t="shared" ref="X200:X209" si="88">+IF(C200="","",IF(AND(H200&lt;&gt;"",I200="SI",J200&lt;&gt;"",J200&gt;0,K200&lt;&gt;"",K200&gt;0,S200&lt;&gt;"",S200&gt;0,U200="SI"),"SI","NO"))</f>
        <v>SI</v>
      </c>
      <c r="Z200" s="173" t="s">
        <v>16</v>
      </c>
      <c r="AB200" s="173" t="s">
        <v>16</v>
      </c>
      <c r="AD200" s="10" t="str">
        <f t="shared" ref="AD200:AD209" si="89">+IF($C$197="","",IF(C200="","",IF(L200&gt;=$H$6,"SI","NO")))</f>
        <v>SI</v>
      </c>
      <c r="AE200" s="92">
        <f>+IF(OR($T$200="",X200="",X200="NO"),"",L200)</f>
        <v>3802.1849999999999</v>
      </c>
      <c r="AF200" s="92">
        <f>+IF(AE200="","",L200/$S$200)</f>
        <v>92.212184415395441</v>
      </c>
      <c r="AG200" s="174">
        <f>0.1+B197</f>
        <v>12.1</v>
      </c>
      <c r="AH200" s="27" t="s">
        <v>932</v>
      </c>
    </row>
    <row r="201" spans="1:34" s="27" customFormat="1" ht="113.25" customHeight="1" x14ac:dyDescent="0.2">
      <c r="A201" s="27">
        <f t="shared" ref="A201:A209" si="90">+IF(T201="","",B201)</f>
        <v>2</v>
      </c>
      <c r="B201" s="38">
        <v>2</v>
      </c>
      <c r="C201" s="39" t="s">
        <v>65</v>
      </c>
      <c r="D201" s="39" t="s">
        <v>43</v>
      </c>
      <c r="E201" s="46" t="s">
        <v>300</v>
      </c>
      <c r="F201" s="46" t="s">
        <v>301</v>
      </c>
      <c r="G201" s="39" t="s">
        <v>302</v>
      </c>
      <c r="H201" s="40">
        <v>198</v>
      </c>
      <c r="I201" s="41" t="s">
        <v>16</v>
      </c>
      <c r="J201" s="42">
        <v>15113.79</v>
      </c>
      <c r="K201" s="43">
        <v>0.5</v>
      </c>
      <c r="L201" s="44">
        <f t="shared" ref="L201:L209" si="91">IF(OR(H201="",I201&lt;&gt;"SI",I201="NO",J201="",J201=0,K201="",K201=0,X201&lt;&gt;"SI"),0,J201*K201)</f>
        <v>7556.8950000000004</v>
      </c>
      <c r="M201" s="206">
        <v>41116</v>
      </c>
      <c r="N201" s="206">
        <v>42972</v>
      </c>
      <c r="O201" s="207">
        <f t="shared" ref="O201:O209" si="92">IF(OR(H201="",I201&lt;&gt;"SI",I201="NO",J201="",J201=0,K201="",K201=0,,M201="",N201=""),"",ROUND((((N201-M201)+1)/30),3))</f>
        <v>61.9</v>
      </c>
      <c r="P201" s="206"/>
      <c r="Q201" s="206"/>
      <c r="R201" s="177">
        <f t="shared" ref="R201:R209" si="93">IF(OR((Q201-P201)=0,P201="",Q201=""),0,(ROUND((((Q201-P201)+1)/30),3)))</f>
        <v>0</v>
      </c>
      <c r="S201" s="178">
        <f t="shared" ref="S201:S209" si="94">IF(O201="","",ROUND(SUM(O201)-SUM(R201),3))</f>
        <v>61.9</v>
      </c>
      <c r="T201" s="208">
        <f t="shared" ref="T201:T209" si="95">+IF(C201="","",IF(OR(S201="",S201&lt;=0,I201="",I201="NO",U201="",U201="NO",X201="NO"),"",ROUND(SUM(L201)/S201,3)))</f>
        <v>122.08199999999999</v>
      </c>
      <c r="U201" s="41" t="s">
        <v>16</v>
      </c>
      <c r="V201" s="209"/>
      <c r="W201" s="205"/>
      <c r="X201" s="37" t="str">
        <f t="shared" si="88"/>
        <v>SI</v>
      </c>
      <c r="Z201" s="173" t="s">
        <v>16</v>
      </c>
      <c r="AB201" s="173" t="s">
        <v>16</v>
      </c>
      <c r="AD201" s="10" t="str">
        <f t="shared" si="89"/>
        <v>SI</v>
      </c>
      <c r="AE201" s="92">
        <f>+IF(OR($T$201="",X201="",X201="NO"),"",L201)</f>
        <v>7556.8950000000004</v>
      </c>
      <c r="AF201" s="92">
        <f>+IF(AE201="","",L201/$S$201)</f>
        <v>122.08231017770599</v>
      </c>
      <c r="AG201" s="174">
        <f>0.2+B197</f>
        <v>12.2</v>
      </c>
      <c r="AH201" s="27" t="s">
        <v>932</v>
      </c>
    </row>
    <row r="202" spans="1:34" s="27" customFormat="1" ht="78" customHeight="1" x14ac:dyDescent="0.2">
      <c r="A202" s="27">
        <f t="shared" si="90"/>
        <v>3</v>
      </c>
      <c r="B202" s="38">
        <v>3</v>
      </c>
      <c r="C202" s="39" t="s">
        <v>65</v>
      </c>
      <c r="D202" s="39" t="s">
        <v>43</v>
      </c>
      <c r="E202" s="46" t="s">
        <v>303</v>
      </c>
      <c r="F202" s="46" t="s">
        <v>304</v>
      </c>
      <c r="G202" s="39" t="s">
        <v>65</v>
      </c>
      <c r="H202" s="40">
        <v>99</v>
      </c>
      <c r="I202" s="41" t="s">
        <v>16</v>
      </c>
      <c r="J202" s="42">
        <v>1704.56</v>
      </c>
      <c r="K202" s="43">
        <v>1</v>
      </c>
      <c r="L202" s="44">
        <f t="shared" si="91"/>
        <v>1704.56</v>
      </c>
      <c r="M202" s="206">
        <v>37313</v>
      </c>
      <c r="N202" s="206">
        <v>37621</v>
      </c>
      <c r="O202" s="207">
        <f t="shared" si="92"/>
        <v>10.3</v>
      </c>
      <c r="P202" s="206"/>
      <c r="Q202" s="206"/>
      <c r="R202" s="177">
        <f t="shared" si="93"/>
        <v>0</v>
      </c>
      <c r="S202" s="178">
        <f t="shared" si="94"/>
        <v>10.3</v>
      </c>
      <c r="T202" s="208">
        <f t="shared" si="95"/>
        <v>165.49100000000001</v>
      </c>
      <c r="U202" s="41" t="s">
        <v>16</v>
      </c>
      <c r="V202" s="45"/>
      <c r="W202" s="205"/>
      <c r="X202" s="37" t="str">
        <f t="shared" si="88"/>
        <v>SI</v>
      </c>
      <c r="Z202" s="173" t="s">
        <v>16</v>
      </c>
      <c r="AB202" s="173" t="s">
        <v>16</v>
      </c>
      <c r="AD202" s="10" t="str">
        <f t="shared" si="89"/>
        <v>SI</v>
      </c>
      <c r="AE202" s="92">
        <f>+IF(OR($T$202="",X202="",X202="NO"),"",L202)</f>
        <v>1704.56</v>
      </c>
      <c r="AF202" s="92">
        <f>+IF(AE202="","",L202/$S$202)</f>
        <v>165.49126213592231</v>
      </c>
      <c r="AG202" s="174">
        <f>0.3+B197</f>
        <v>12.3</v>
      </c>
      <c r="AH202" s="27" t="s">
        <v>932</v>
      </c>
    </row>
    <row r="203" spans="1:34" s="27" customFormat="1" ht="12.75" x14ac:dyDescent="0.2">
      <c r="A203" s="27" t="str">
        <f t="shared" si="90"/>
        <v/>
      </c>
      <c r="B203" s="38"/>
      <c r="C203" s="39"/>
      <c r="D203" s="39"/>
      <c r="E203" s="46"/>
      <c r="F203" s="46"/>
      <c r="G203" s="39"/>
      <c r="H203" s="40"/>
      <c r="I203" s="41"/>
      <c r="J203" s="42"/>
      <c r="K203" s="43"/>
      <c r="L203" s="44">
        <f t="shared" si="91"/>
        <v>0</v>
      </c>
      <c r="M203" s="206"/>
      <c r="N203" s="206"/>
      <c r="O203" s="207" t="str">
        <f t="shared" si="92"/>
        <v/>
      </c>
      <c r="P203" s="206"/>
      <c r="Q203" s="206"/>
      <c r="R203" s="177">
        <f t="shared" si="93"/>
        <v>0</v>
      </c>
      <c r="S203" s="178" t="str">
        <f t="shared" si="94"/>
        <v/>
      </c>
      <c r="T203" s="208" t="str">
        <f t="shared" si="95"/>
        <v/>
      </c>
      <c r="U203" s="41"/>
      <c r="V203" s="45"/>
      <c r="W203" s="210"/>
      <c r="X203" s="37" t="str">
        <f t="shared" si="88"/>
        <v/>
      </c>
      <c r="Z203" s="180"/>
      <c r="AB203" s="173"/>
      <c r="AD203" s="10" t="str">
        <f t="shared" si="89"/>
        <v/>
      </c>
      <c r="AE203" s="92" t="str">
        <f>+IF(OR($T$203="",X203="",X203="NO"),"",L203)</f>
        <v/>
      </c>
      <c r="AF203" s="92" t="str">
        <f>+IF(AE203="","",L203/$S$203)</f>
        <v/>
      </c>
      <c r="AG203" s="174"/>
    </row>
    <row r="204" spans="1:34" s="27" customFormat="1" ht="12.75" x14ac:dyDescent="0.2">
      <c r="A204" s="27" t="str">
        <f t="shared" si="90"/>
        <v/>
      </c>
      <c r="B204" s="38"/>
      <c r="C204" s="39"/>
      <c r="D204" s="39"/>
      <c r="E204" s="46"/>
      <c r="F204" s="46"/>
      <c r="G204" s="39"/>
      <c r="H204" s="40"/>
      <c r="I204" s="41"/>
      <c r="J204" s="42"/>
      <c r="K204" s="43"/>
      <c r="L204" s="44">
        <f t="shared" si="91"/>
        <v>0</v>
      </c>
      <c r="M204" s="206"/>
      <c r="N204" s="206"/>
      <c r="O204" s="207" t="str">
        <f t="shared" si="92"/>
        <v/>
      </c>
      <c r="P204" s="206"/>
      <c r="Q204" s="206"/>
      <c r="R204" s="177">
        <f t="shared" si="93"/>
        <v>0</v>
      </c>
      <c r="S204" s="178" t="str">
        <f t="shared" si="94"/>
        <v/>
      </c>
      <c r="T204" s="208" t="str">
        <f t="shared" si="95"/>
        <v/>
      </c>
      <c r="U204" s="41"/>
      <c r="V204" s="45"/>
      <c r="X204" s="37" t="str">
        <f t="shared" si="88"/>
        <v/>
      </c>
      <c r="Z204" s="181"/>
      <c r="AB204" s="173"/>
      <c r="AD204" s="10" t="str">
        <f t="shared" si="89"/>
        <v/>
      </c>
      <c r="AE204" s="92" t="str">
        <f>+IF(OR($T$204="",X204="",X204="NO"),"",L204)</f>
        <v/>
      </c>
      <c r="AF204" s="92" t="str">
        <f>+IF(AE204="","",L204/$S$204)</f>
        <v/>
      </c>
      <c r="AG204" s="174"/>
    </row>
    <row r="205" spans="1:34" s="27" customFormat="1" ht="12.75" x14ac:dyDescent="0.2">
      <c r="A205" s="27" t="str">
        <f t="shared" si="90"/>
        <v/>
      </c>
      <c r="B205" s="38"/>
      <c r="C205" s="39"/>
      <c r="D205" s="39"/>
      <c r="E205" s="46"/>
      <c r="F205" s="46"/>
      <c r="G205" s="39"/>
      <c r="H205" s="40"/>
      <c r="I205" s="41"/>
      <c r="J205" s="42"/>
      <c r="K205" s="43"/>
      <c r="L205" s="44">
        <f t="shared" si="91"/>
        <v>0</v>
      </c>
      <c r="M205" s="206"/>
      <c r="N205" s="206"/>
      <c r="O205" s="207" t="str">
        <f t="shared" si="92"/>
        <v/>
      </c>
      <c r="P205" s="206"/>
      <c r="Q205" s="206"/>
      <c r="R205" s="177">
        <f t="shared" si="93"/>
        <v>0</v>
      </c>
      <c r="S205" s="178" t="str">
        <f t="shared" si="94"/>
        <v/>
      </c>
      <c r="T205" s="208" t="str">
        <f t="shared" si="95"/>
        <v/>
      </c>
      <c r="U205" s="41"/>
      <c r="V205" s="45"/>
      <c r="X205" s="37" t="str">
        <f t="shared" si="88"/>
        <v/>
      </c>
      <c r="Z205" s="181"/>
      <c r="AB205" s="173"/>
      <c r="AD205" s="10" t="str">
        <f t="shared" si="89"/>
        <v/>
      </c>
      <c r="AE205" s="92" t="str">
        <f>+IF(OR($T$205="",X205="",X205="NO"),"",L205)</f>
        <v/>
      </c>
      <c r="AF205" s="92" t="str">
        <f>+IF(AE205="","",L205/$S$205)</f>
        <v/>
      </c>
      <c r="AG205" s="174"/>
    </row>
    <row r="206" spans="1:34" s="27" customFormat="1" ht="12.75" x14ac:dyDescent="0.2">
      <c r="A206" s="27" t="str">
        <f t="shared" si="90"/>
        <v/>
      </c>
      <c r="B206" s="38"/>
      <c r="C206" s="39"/>
      <c r="D206" s="39"/>
      <c r="E206" s="46"/>
      <c r="F206" s="46"/>
      <c r="G206" s="39"/>
      <c r="H206" s="40"/>
      <c r="I206" s="41"/>
      <c r="J206" s="42"/>
      <c r="K206" s="43"/>
      <c r="L206" s="44">
        <f t="shared" si="91"/>
        <v>0</v>
      </c>
      <c r="M206" s="206"/>
      <c r="N206" s="206"/>
      <c r="O206" s="207" t="str">
        <f t="shared" si="92"/>
        <v/>
      </c>
      <c r="P206" s="206"/>
      <c r="Q206" s="206"/>
      <c r="R206" s="177">
        <f t="shared" si="93"/>
        <v>0</v>
      </c>
      <c r="S206" s="178" t="str">
        <f t="shared" si="94"/>
        <v/>
      </c>
      <c r="T206" s="208" t="str">
        <f t="shared" si="95"/>
        <v/>
      </c>
      <c r="U206" s="41"/>
      <c r="V206" s="45"/>
      <c r="X206" s="37" t="str">
        <f t="shared" si="88"/>
        <v/>
      </c>
      <c r="Z206" s="181"/>
      <c r="AB206" s="173"/>
      <c r="AD206" s="10" t="str">
        <f t="shared" si="89"/>
        <v/>
      </c>
      <c r="AE206" s="92" t="str">
        <f>+IF(OR($T$206="",X206="",X206="NO"),"",L206)</f>
        <v/>
      </c>
      <c r="AF206" s="92" t="str">
        <f>+IF(AE206="","",L206/$S$206)</f>
        <v/>
      </c>
      <c r="AG206" s="174"/>
    </row>
    <row r="207" spans="1:34" s="27" customFormat="1" ht="12.75" x14ac:dyDescent="0.2">
      <c r="A207" s="27" t="str">
        <f t="shared" si="90"/>
        <v/>
      </c>
      <c r="B207" s="38"/>
      <c r="C207" s="39"/>
      <c r="D207" s="39"/>
      <c r="E207" s="46"/>
      <c r="F207" s="46"/>
      <c r="G207" s="39"/>
      <c r="H207" s="40"/>
      <c r="I207" s="41"/>
      <c r="J207" s="42"/>
      <c r="K207" s="43"/>
      <c r="L207" s="44">
        <f t="shared" si="91"/>
        <v>0</v>
      </c>
      <c r="M207" s="206"/>
      <c r="N207" s="206"/>
      <c r="O207" s="207" t="str">
        <f t="shared" si="92"/>
        <v/>
      </c>
      <c r="P207" s="206"/>
      <c r="Q207" s="206"/>
      <c r="R207" s="177">
        <f t="shared" si="93"/>
        <v>0</v>
      </c>
      <c r="S207" s="178" t="str">
        <f t="shared" si="94"/>
        <v/>
      </c>
      <c r="T207" s="208" t="str">
        <f t="shared" si="95"/>
        <v/>
      </c>
      <c r="U207" s="41"/>
      <c r="V207" s="45"/>
      <c r="X207" s="37" t="str">
        <f t="shared" si="88"/>
        <v/>
      </c>
      <c r="Z207" s="181"/>
      <c r="AB207" s="173"/>
      <c r="AD207" s="10" t="str">
        <f t="shared" si="89"/>
        <v/>
      </c>
      <c r="AE207" s="92" t="str">
        <f>+IF(OR($T$207="",X207="",X207="NO"),"",L207)</f>
        <v/>
      </c>
      <c r="AF207" s="92" t="str">
        <f>+IF(AE207="","",L207/$S$207)</f>
        <v/>
      </c>
      <c r="AG207" s="174"/>
    </row>
    <row r="208" spans="1:34" s="27" customFormat="1" ht="12.75" x14ac:dyDescent="0.2">
      <c r="A208" s="27" t="str">
        <f t="shared" si="90"/>
        <v/>
      </c>
      <c r="B208" s="38"/>
      <c r="C208" s="39"/>
      <c r="D208" s="39"/>
      <c r="E208" s="46"/>
      <c r="F208" s="46"/>
      <c r="G208" s="39"/>
      <c r="H208" s="40"/>
      <c r="I208" s="41"/>
      <c r="J208" s="42"/>
      <c r="K208" s="43"/>
      <c r="L208" s="44">
        <f t="shared" si="91"/>
        <v>0</v>
      </c>
      <c r="M208" s="206"/>
      <c r="N208" s="206"/>
      <c r="O208" s="207" t="str">
        <f t="shared" si="92"/>
        <v/>
      </c>
      <c r="P208" s="206"/>
      <c r="Q208" s="206"/>
      <c r="R208" s="177">
        <f t="shared" si="93"/>
        <v>0</v>
      </c>
      <c r="S208" s="178" t="str">
        <f t="shared" si="94"/>
        <v/>
      </c>
      <c r="T208" s="208" t="str">
        <f t="shared" si="95"/>
        <v/>
      </c>
      <c r="U208" s="41"/>
      <c r="V208" s="45"/>
      <c r="X208" s="37" t="str">
        <f t="shared" si="88"/>
        <v/>
      </c>
      <c r="Z208" s="181"/>
      <c r="AB208" s="173"/>
      <c r="AD208" s="10" t="str">
        <f t="shared" si="89"/>
        <v/>
      </c>
      <c r="AE208" s="92" t="str">
        <f>+IF(OR($T$208="",X208="",X208="NO"),"",L208)</f>
        <v/>
      </c>
      <c r="AF208" s="92" t="str">
        <f>+IF(AE208="","",L208/$S$208)</f>
        <v/>
      </c>
      <c r="AG208" s="174"/>
    </row>
    <row r="209" spans="1:34" s="27" customFormat="1" ht="13.5" thickBot="1" x14ac:dyDescent="0.25">
      <c r="A209" s="27" t="str">
        <f t="shared" si="90"/>
        <v/>
      </c>
      <c r="B209" s="47"/>
      <c r="C209" s="48"/>
      <c r="D209" s="48"/>
      <c r="E209" s="49"/>
      <c r="F209" s="49"/>
      <c r="G209" s="48"/>
      <c r="H209" s="50"/>
      <c r="I209" s="51"/>
      <c r="J209" s="14"/>
      <c r="K209" s="52"/>
      <c r="L209" s="53">
        <f t="shared" si="91"/>
        <v>0</v>
      </c>
      <c r="M209" s="211"/>
      <c r="N209" s="211"/>
      <c r="O209" s="212" t="str">
        <f t="shared" si="92"/>
        <v/>
      </c>
      <c r="P209" s="211"/>
      <c r="Q209" s="211"/>
      <c r="R209" s="184">
        <f t="shared" si="93"/>
        <v>0</v>
      </c>
      <c r="S209" s="185" t="str">
        <f t="shared" si="94"/>
        <v/>
      </c>
      <c r="T209" s="213" t="str">
        <f t="shared" si="95"/>
        <v/>
      </c>
      <c r="U209" s="51"/>
      <c r="V209" s="54"/>
      <c r="X209" s="55" t="str">
        <f t="shared" si="88"/>
        <v/>
      </c>
      <c r="Z209" s="187"/>
      <c r="AB209" s="188"/>
      <c r="AD209" s="10" t="str">
        <f t="shared" si="89"/>
        <v/>
      </c>
      <c r="AE209" s="92" t="str">
        <f>+IF(OR($T$209="",X209="",X209="NO"),"",L209)</f>
        <v/>
      </c>
      <c r="AF209" s="92" t="str">
        <f>+IF(AE209="","",L209/$S$209)</f>
        <v/>
      </c>
    </row>
    <row r="210" spans="1:34" ht="36" customHeight="1" x14ac:dyDescent="0.2">
      <c r="B210" s="57" t="str">
        <f>"A"&amp;B197</f>
        <v>A12</v>
      </c>
      <c r="C210" s="382" t="str">
        <f>+$C$23</f>
        <v>¿CADA INTEGRANTE DE PROPONENTE PLURAL APORTAN CONTRATO?  (SI; NO; NA)</v>
      </c>
      <c r="D210" s="383"/>
      <c r="E210" s="383"/>
      <c r="F210" s="383"/>
      <c r="G210" s="383"/>
      <c r="H210" s="384"/>
      <c r="I210" s="217" t="str">
        <f>+IF(AG197="","",IF(AG197=1,"NA",IF(AND(AG197=3,(IF(COUNTIFS(C200:C209,AH200,AE200:AE209,"&gt;0")&gt;=1,1,0)+IF(COUNTIFS(C200:C209,AH201,AE200:AE209,"&gt;0")&gt;=1,1,0)+IF(COUNTIFS(C200:C209,AH202,AE200:AE209,"&gt;0")&gt;=1,1,0))&gt;=AG197),"SI",IF(AND(AG197=2,(IF(COUNTIFS(C200:C209,AH200,AE200:AE209,"&gt;0")&gt;=1,1,0)+IF(COUNTIFS(C200:C209,AH201,AE200:AE209,"&gt;0")&gt;=1,1,0))&gt;=AG197),"SI","NO"))))</f>
        <v>NA</v>
      </c>
      <c r="J210" s="59"/>
      <c r="K210" s="27"/>
      <c r="L210" s="27"/>
      <c r="M210" s="27"/>
      <c r="N210" s="27"/>
      <c r="O210" s="27"/>
      <c r="P210" s="385" t="str">
        <f>+$P$23</f>
        <v>FACTURACION MENSUAL TOTAL</v>
      </c>
      <c r="Q210" s="386"/>
      <c r="R210" s="386"/>
      <c r="S210" s="386"/>
      <c r="T210" s="189">
        <f>ROUND(SUM(T200:T209),3)</f>
        <v>379.78500000000003</v>
      </c>
      <c r="U210" s="60"/>
      <c r="V210" s="1"/>
      <c r="W210" s="61"/>
      <c r="X210" s="61"/>
      <c r="Y210" s="61"/>
      <c r="Z210" s="61"/>
      <c r="AA210" s="61"/>
      <c r="AB210" s="61"/>
    </row>
    <row r="211" spans="1:34" ht="38.25" customHeight="1" thickBot="1" x14ac:dyDescent="0.25">
      <c r="B211" s="57" t="str">
        <f>"B"&amp;B197</f>
        <v>B12</v>
      </c>
      <c r="C211" s="387" t="str">
        <f>+C194</f>
        <v>En caso de proponente plural: ¿De la totalidad de los contratos aportados por el proponente plural, el valor ejecutado de uno de ellos deberá ser igual o superior al 30% del P.O.?  (SI; NO; NA)</v>
      </c>
      <c r="D211" s="388"/>
      <c r="E211" s="388"/>
      <c r="F211" s="388"/>
      <c r="G211" s="389"/>
      <c r="H211" s="190">
        <f>+$H$6</f>
        <v>268.14722506074827</v>
      </c>
      <c r="I211" s="191" t="str">
        <f>+IF(AG197="","",IF(AG197=1,"NA",IF(AND(AG197&gt;1,(COUNTIFS(AD200:AD209,"SI",AE200:AE209,"&gt;0"))&gt;=1),"SI","NO")))</f>
        <v>NA</v>
      </c>
      <c r="J211" s="192"/>
      <c r="K211" s="193"/>
      <c r="L211" s="194"/>
      <c r="M211" s="194"/>
      <c r="N211" s="194"/>
      <c r="O211" s="194"/>
      <c r="P211" s="387" t="str">
        <f>+$P$24</f>
        <v>PROMEDIO FACTURACIÓN MENSUAL DEL PROPONENTE (PFMP)</v>
      </c>
      <c r="Q211" s="388"/>
      <c r="R211" s="388"/>
      <c r="S211" s="388"/>
      <c r="T211" s="195">
        <f t="array" ref="T211">IF(T210=0,0,ROUND(T210/(SUM(IF(FREQUENCY(A200:A209,A200:A209)&gt;0,1))),3))</f>
        <v>126.595</v>
      </c>
      <c r="U211" s="214"/>
      <c r="V211" s="1"/>
      <c r="W211" s="61"/>
      <c r="X211" s="61"/>
      <c r="Y211" s="61"/>
      <c r="Z211" s="61"/>
      <c r="AA211" s="61"/>
      <c r="AB211" s="61"/>
    </row>
    <row r="212" spans="1:34" ht="21" customHeight="1" thickBot="1" x14ac:dyDescent="0.25">
      <c r="B212" s="197" t="str">
        <f>"C"&amp;B197</f>
        <v>C12</v>
      </c>
      <c r="C212" s="349" t="str">
        <f>+$C$25</f>
        <v>PROPONENTE CUMPLE CON LAS ACTIVIDADES a) y b)? (SI; NO)</v>
      </c>
      <c r="D212" s="350"/>
      <c r="E212" s="350"/>
      <c r="F212" s="350"/>
      <c r="G212" s="350"/>
      <c r="H212" s="351"/>
      <c r="I212" s="198" t="str">
        <f>IF(C197="","",(IF(AND(COUNTIFS(X200:X209,"SI",Z200:Z209,"SI")&gt;=$Z$8,COUNTIFS(X200:X209,"SI",AB200:AB209,"SI")&gt;=$Z$8),"SI","NO")))</f>
        <v>SI</v>
      </c>
      <c r="J212" s="199"/>
      <c r="K212" s="200"/>
      <c r="L212" s="200"/>
      <c r="M212" s="200"/>
      <c r="N212" s="200"/>
      <c r="P212" s="378" t="str">
        <f>+$P$25</f>
        <v>VALOR PUNTAJE POR EXPERIENCIA DEL PROPONENTE</v>
      </c>
      <c r="Q212" s="379"/>
      <c r="R212" s="379"/>
      <c r="S212" s="380"/>
      <c r="T212" s="201">
        <f>IF(OR(C197="",'ASIGNACION DE PUNTAJES'!$C$5=""),"",VLOOKUP(B197,'ASIGNACION DE PUNTAJES'!$A$15:$G$69,7,FALSE))</f>
        <v>651.84500000000003</v>
      </c>
      <c r="V212" s="202"/>
    </row>
    <row r="213" spans="1:34" ht="9.75" customHeight="1" thickBot="1" x14ac:dyDescent="0.25">
      <c r="M213" s="84"/>
      <c r="N213" s="84"/>
      <c r="O213" s="84"/>
      <c r="V213" s="21"/>
    </row>
    <row r="214" spans="1:34" ht="36.75" customHeight="1" thickBot="1" x14ac:dyDescent="0.25">
      <c r="B214" s="23">
        <f>1+B197</f>
        <v>13</v>
      </c>
      <c r="C214" s="336" t="s">
        <v>899</v>
      </c>
      <c r="D214" s="337"/>
      <c r="E214" s="337"/>
      <c r="F214" s="337"/>
      <c r="G214" s="337"/>
      <c r="H214" s="337"/>
      <c r="I214" s="338"/>
      <c r="J214" s="24" t="str">
        <f>+IF(C214="","","INTEGRANTES")</f>
        <v>INTEGRANTES</v>
      </c>
      <c r="K214" s="339" t="s">
        <v>900</v>
      </c>
      <c r="L214" s="339"/>
      <c r="M214" s="339"/>
      <c r="N214" s="339"/>
      <c r="O214" s="339"/>
      <c r="P214" s="339"/>
      <c r="Q214" s="339"/>
      <c r="R214" s="396" t="str">
        <f>+$R$10</f>
        <v>PROPONENTE No.</v>
      </c>
      <c r="S214" s="397"/>
      <c r="T214" s="25">
        <f>+B214</f>
        <v>13</v>
      </c>
      <c r="U214" s="161" t="str">
        <f>+$U$10</f>
        <v>PFMP</v>
      </c>
      <c r="V214" s="162">
        <f>IF(T228="",0,T228)</f>
        <v>126.624</v>
      </c>
      <c r="X214" s="325" t="s">
        <v>168</v>
      </c>
      <c r="Z214" s="163" t="str">
        <f>+$Z$10</f>
        <v>EXP. ESPECÍFICA 
A:</v>
      </c>
      <c r="AB214" s="163" t="str">
        <f>+$AB$10</f>
        <v>EXP. ESPECÍFICA 
B:</v>
      </c>
      <c r="AG214" s="1">
        <v>2</v>
      </c>
    </row>
    <row r="215" spans="1:34" ht="42" customHeight="1" x14ac:dyDescent="0.2">
      <c r="B215" s="331" t="str">
        <f>+$B$11</f>
        <v>ITEM</v>
      </c>
      <c r="C215" s="318" t="str">
        <f>+$C$11</f>
        <v>PROPONENTE 
/ 
INTEGRANTE OFERENTE PLURAL</v>
      </c>
      <c r="D215" s="333" t="str">
        <f>+$D$11</f>
        <v>INFORMACIÓN DEL CONTRATO</v>
      </c>
      <c r="E215" s="334"/>
      <c r="F215" s="334"/>
      <c r="G215" s="335"/>
      <c r="H215" s="318" t="str">
        <f>+H198</f>
        <v>CONSECUTIVO RUP</v>
      </c>
      <c r="I215" s="318" t="str">
        <f>+$I$11</f>
        <v>¿SE ENCUENTRA INSCRITO EN EL RUP Y CUMPLE CÓDIGOS UNSPSC?</v>
      </c>
      <c r="J215" s="318" t="str">
        <f>+$J$11</f>
        <v xml:space="preserve">VALOR EN RUP (SMMLV) </v>
      </c>
      <c r="K215" s="318" t="str">
        <f>+$K$11</f>
        <v>% PARTIC en el RUP</v>
      </c>
      <c r="L215" s="318" t="str">
        <f>+$L$11</f>
        <v>VALOR DEL CONTRATO TERMINADO (SMMLV) en el   RUP</v>
      </c>
      <c r="M215" s="318" t="str">
        <f>+$M$11</f>
        <v>FECHA DE INICIO</v>
      </c>
      <c r="N215" s="318" t="str">
        <f>+$N$11</f>
        <v>FECHA DE TERMINACION</v>
      </c>
      <c r="O215" s="318" t="str">
        <f>+$O$11</f>
        <v>PLAZO CONTRA-TO (Meses)</v>
      </c>
      <c r="P215" s="390" t="str">
        <f>+$P$11</f>
        <v>Tsusp i</v>
      </c>
      <c r="Q215" s="391"/>
      <c r="R215" s="392"/>
      <c r="S215" s="318" t="str">
        <f>+$S$11</f>
        <v>PLAZO i REAL</v>
      </c>
      <c r="T215" s="318" t="str">
        <f>+$T$11</f>
        <v>FACTURA-CION MENSUAL PROPO-NENTE</v>
      </c>
      <c r="U215" s="318" t="str">
        <f>+$U$11</f>
        <v>VALIDACIÓN DE LA EXPERIENCIA GENERAL
(SI/NO)</v>
      </c>
      <c r="V215" s="393" t="str">
        <f>+$V$11</f>
        <v>OBSERVACIONES</v>
      </c>
      <c r="W215" s="164"/>
      <c r="X215" s="326"/>
      <c r="Z215" s="381" t="str">
        <f>+$Z$11</f>
        <v>Interventoria a la ejecución de obras relacionadas con Colocación de capas granulares (tales como bases y/o sub-bases granulares).</v>
      </c>
      <c r="AB215" s="381" t="str">
        <f>+$AB$11</f>
        <v>Interventoria a la Ejecución de obras de subdrenaje y/o drenaje, en carreteras.</v>
      </c>
    </row>
    <row r="216" spans="1:34" ht="38.25" customHeight="1" thickBot="1" x14ac:dyDescent="0.25">
      <c r="B216" s="395"/>
      <c r="C216" s="348"/>
      <c r="D216" s="165" t="str">
        <f>+$D$12</f>
        <v>ENTIDAD</v>
      </c>
      <c r="E216" s="165" t="str">
        <f>+$E$12</f>
        <v>No. DE CONTRATO</v>
      </c>
      <c r="F216" s="165" t="str">
        <f>+$F$12</f>
        <v>OBJETO</v>
      </c>
      <c r="G216" s="165" t="str">
        <f>+$G$12</f>
        <v>CONTRATISTA</v>
      </c>
      <c r="H216" s="348"/>
      <c r="I216" s="348"/>
      <c r="J216" s="348"/>
      <c r="K216" s="348"/>
      <c r="L216" s="348"/>
      <c r="M216" s="348"/>
      <c r="N216" s="348"/>
      <c r="O216" s="348"/>
      <c r="P216" s="166" t="str">
        <f>+P199</f>
        <v>Finicsuspi</v>
      </c>
      <c r="Q216" s="166" t="str">
        <f>+Q199</f>
        <v xml:space="preserve"> Ftermsuspi </v>
      </c>
      <c r="R216" s="166" t="str">
        <f>+R199</f>
        <v>Tsusp i (meses)</v>
      </c>
      <c r="S216" s="348"/>
      <c r="T216" s="348"/>
      <c r="U216" s="348"/>
      <c r="V216" s="394"/>
      <c r="X216" s="327"/>
      <c r="Z216" s="381"/>
      <c r="AB216" s="381"/>
    </row>
    <row r="217" spans="1:34" s="27" customFormat="1" ht="46.5" customHeight="1" x14ac:dyDescent="0.2">
      <c r="A217" s="27">
        <f>+IF(T217="","",B217)</f>
        <v>1</v>
      </c>
      <c r="B217" s="28">
        <v>1</v>
      </c>
      <c r="C217" s="86" t="s">
        <v>69</v>
      </c>
      <c r="D217" s="343" t="s">
        <v>305</v>
      </c>
      <c r="E217" s="345" t="s">
        <v>306</v>
      </c>
      <c r="F217" s="345" t="s">
        <v>307</v>
      </c>
      <c r="G217" s="86" t="s">
        <v>72</v>
      </c>
      <c r="H217" s="30">
        <v>88</v>
      </c>
      <c r="I217" s="31" t="s">
        <v>16</v>
      </c>
      <c r="J217" s="32">
        <v>4817.8999999999996</v>
      </c>
      <c r="K217" s="33">
        <v>0.5</v>
      </c>
      <c r="L217" s="34">
        <f>IF(OR(H217="",I217&lt;&gt;"SI",I217="NO",J217="",J217=0,K217="",K217=0,X217&lt;&gt;"SI"),0,J217*K217)</f>
        <v>2408.9499999999998</v>
      </c>
      <c r="M217" s="204">
        <v>41673</v>
      </c>
      <c r="N217" s="204">
        <v>42338</v>
      </c>
      <c r="O217" s="169">
        <f>IF(OR(H217="",I217&lt;&gt;"SI",I217="NO",J217="",J217=0,K217="",K217=0,,M217="",N217=""),"",ROUND((((N217-M217)+1)/30),3))</f>
        <v>22.2</v>
      </c>
      <c r="P217" s="204"/>
      <c r="Q217" s="204"/>
      <c r="R217" s="170">
        <f>IF(OR((Q217-P217)=0,P217="",Q217=""),0,(ROUND((((Q217-P217)+1)/30),3)))</f>
        <v>0</v>
      </c>
      <c r="S217" s="171">
        <f>IF(O217="","",ROUND(SUM(O217)-SUM(R217),3))</f>
        <v>22.2</v>
      </c>
      <c r="T217" s="172">
        <f>+IF(C217="","",IF(OR(S217="",S217&lt;=0,I217="",I217="NO",U217="",U217="NO",X217="NO"),"",ROUND(SUM(L217)/S217,3)))</f>
        <v>108.511</v>
      </c>
      <c r="U217" s="35" t="s">
        <v>16</v>
      </c>
      <c r="V217" s="36"/>
      <c r="W217" s="401"/>
      <c r="X217" s="37" t="str">
        <f t="shared" ref="X217:X226" si="96">+IF(C217="","",IF(AND(H217&lt;&gt;"",I217="SI",J217&lt;&gt;"",J217&gt;0,K217&lt;&gt;"",K217&gt;0,S217&lt;&gt;"",S217&gt;0,U217="SI"),"SI","NO"))</f>
        <v>SI</v>
      </c>
      <c r="Z217" s="173" t="s">
        <v>16</v>
      </c>
      <c r="AB217" s="173" t="s">
        <v>16</v>
      </c>
      <c r="AD217" s="10" t="str">
        <f t="shared" ref="AD217:AD226" si="97">+IF($C$214="","",IF(C217="","",IF(L217&gt;=$H$6,"SI","NO")))</f>
        <v>SI</v>
      </c>
      <c r="AE217" s="92">
        <f>+IF(OR($T$217="",X217="",X217="NO"),"",L217)</f>
        <v>2408.9499999999998</v>
      </c>
      <c r="AF217" s="92">
        <f>+IF(AE217="","",L217/$S$217)</f>
        <v>108.51126126126125</v>
      </c>
      <c r="AG217" s="174">
        <f>0.1+B214</f>
        <v>13.1</v>
      </c>
      <c r="AH217" s="27" t="s">
        <v>69</v>
      </c>
    </row>
    <row r="218" spans="1:34" s="27" customFormat="1" ht="46.5" customHeight="1" x14ac:dyDescent="0.2">
      <c r="A218" s="27">
        <f t="shared" ref="A218:A226" si="98">+IF(T218="","",B218)</f>
        <v>1</v>
      </c>
      <c r="B218" s="38">
        <v>1</v>
      </c>
      <c r="C218" s="39" t="s">
        <v>73</v>
      </c>
      <c r="D218" s="344"/>
      <c r="E218" s="346"/>
      <c r="F218" s="346"/>
      <c r="G218" s="39" t="s">
        <v>72</v>
      </c>
      <c r="H218" s="40">
        <v>226</v>
      </c>
      <c r="I218" s="41" t="s">
        <v>16</v>
      </c>
      <c r="J218" s="42">
        <v>4817.8999999999996</v>
      </c>
      <c r="K218" s="43">
        <v>0.5</v>
      </c>
      <c r="L218" s="44">
        <f t="shared" ref="L218:L226" si="99">IF(OR(H218="",I218&lt;&gt;"SI",I218="NO",J218="",J218=0,K218="",K218=0,X218&lt;&gt;"SI"),0,J218*K218)</f>
        <v>2408.9499999999998</v>
      </c>
      <c r="M218" s="206">
        <v>41673</v>
      </c>
      <c r="N218" s="206">
        <v>42338</v>
      </c>
      <c r="O218" s="207">
        <f t="shared" ref="O218:O226" si="100">IF(OR(H218="",I218&lt;&gt;"SI",I218="NO",J218="",J218=0,K218="",K218=0,,M218="",N218=""),"",ROUND((((N218-M218)+1)/30),3))</f>
        <v>22.2</v>
      </c>
      <c r="P218" s="206"/>
      <c r="Q218" s="206"/>
      <c r="R218" s="177">
        <f t="shared" ref="R218:R226" si="101">IF(OR((Q218-P218)=0,P218="",Q218=""),0,(ROUND((((Q218-P218)+1)/30),3)))</f>
        <v>0</v>
      </c>
      <c r="S218" s="178">
        <f t="shared" ref="S218:S226" si="102">IF(O218="","",ROUND(SUM(O218)-SUM(R218),3))</f>
        <v>22.2</v>
      </c>
      <c r="T218" s="208">
        <f t="shared" ref="T218:T226" si="103">+IF(C218="","",IF(OR(S218="",S218&lt;=0,I218="",I218="NO",U218="",U218="NO",X218="NO"),"",ROUND(SUM(L218)/S218,3)))</f>
        <v>108.511</v>
      </c>
      <c r="U218" s="41" t="s">
        <v>16</v>
      </c>
      <c r="V218" s="209"/>
      <c r="W218" s="401"/>
      <c r="X218" s="37" t="str">
        <f t="shared" si="96"/>
        <v>SI</v>
      </c>
      <c r="Z218" s="173" t="s">
        <v>16</v>
      </c>
      <c r="AB218" s="173" t="s">
        <v>16</v>
      </c>
      <c r="AD218" s="10" t="str">
        <f t="shared" si="97"/>
        <v>SI</v>
      </c>
      <c r="AE218" s="92">
        <f>+IF(OR($T$218="",X218="",X218="NO"),"",L218)</f>
        <v>2408.9499999999998</v>
      </c>
      <c r="AF218" s="92">
        <f>+IF(AE218="","",L218/$S$218)</f>
        <v>108.51126126126125</v>
      </c>
      <c r="AG218" s="174">
        <f>0.2+B214</f>
        <v>13.2</v>
      </c>
      <c r="AH218" s="27" t="s">
        <v>73</v>
      </c>
    </row>
    <row r="219" spans="1:34" s="27" customFormat="1" ht="82.5" customHeight="1" x14ac:dyDescent="0.2">
      <c r="A219" s="27">
        <f t="shared" si="98"/>
        <v>2</v>
      </c>
      <c r="B219" s="38">
        <v>2</v>
      </c>
      <c r="C219" s="39" t="s">
        <v>69</v>
      </c>
      <c r="D219" s="39" t="s">
        <v>308</v>
      </c>
      <c r="E219" s="46" t="s">
        <v>309</v>
      </c>
      <c r="F219" s="46" t="s">
        <v>310</v>
      </c>
      <c r="G219" s="39" t="s">
        <v>69</v>
      </c>
      <c r="H219" s="40">
        <v>18</v>
      </c>
      <c r="I219" s="41" t="s">
        <v>16</v>
      </c>
      <c r="J219" s="42">
        <v>629.73</v>
      </c>
      <c r="K219" s="43">
        <v>1</v>
      </c>
      <c r="L219" s="44">
        <f t="shared" si="99"/>
        <v>629.73</v>
      </c>
      <c r="M219" s="206">
        <v>43325</v>
      </c>
      <c r="N219" s="206">
        <v>43508</v>
      </c>
      <c r="O219" s="207">
        <f t="shared" si="100"/>
        <v>6.133</v>
      </c>
      <c r="P219" s="206"/>
      <c r="Q219" s="206"/>
      <c r="R219" s="177">
        <f t="shared" si="101"/>
        <v>0</v>
      </c>
      <c r="S219" s="178">
        <f t="shared" si="102"/>
        <v>6.133</v>
      </c>
      <c r="T219" s="208">
        <f t="shared" si="103"/>
        <v>102.679</v>
      </c>
      <c r="U219" s="41" t="s">
        <v>16</v>
      </c>
      <c r="V219" s="45"/>
      <c r="W219" s="205"/>
      <c r="X219" s="37" t="str">
        <f t="shared" si="96"/>
        <v>SI</v>
      </c>
      <c r="Z219" s="173" t="s">
        <v>16</v>
      </c>
      <c r="AB219" s="173" t="s">
        <v>211</v>
      </c>
      <c r="AD219" s="10" t="str">
        <f t="shared" si="97"/>
        <v>SI</v>
      </c>
      <c r="AE219" s="92">
        <f>+IF(OR($T$219="",X219="",X219="NO"),"",L219)</f>
        <v>629.73</v>
      </c>
      <c r="AF219" s="92">
        <f>+IF(AE219="","",L219/$S$219)</f>
        <v>102.67894994293168</v>
      </c>
      <c r="AG219" s="174">
        <f>0.3+B214</f>
        <v>13.3</v>
      </c>
      <c r="AH219" s="27" t="s">
        <v>932</v>
      </c>
    </row>
    <row r="220" spans="1:34" s="27" customFormat="1" ht="65.25" customHeight="1" x14ac:dyDescent="0.2">
      <c r="A220" s="27">
        <f t="shared" si="98"/>
        <v>3</v>
      </c>
      <c r="B220" s="38">
        <v>3</v>
      </c>
      <c r="C220" s="39" t="s">
        <v>73</v>
      </c>
      <c r="D220" s="39" t="s">
        <v>121</v>
      </c>
      <c r="E220" s="46" t="s">
        <v>311</v>
      </c>
      <c r="F220" s="46" t="s">
        <v>312</v>
      </c>
      <c r="G220" s="39" t="s">
        <v>73</v>
      </c>
      <c r="H220" s="40">
        <v>76</v>
      </c>
      <c r="I220" s="41" t="s">
        <v>16</v>
      </c>
      <c r="J220" s="42">
        <v>553.57000000000005</v>
      </c>
      <c r="K220" s="43">
        <v>1</v>
      </c>
      <c r="L220" s="44">
        <f t="shared" si="99"/>
        <v>553.57000000000005</v>
      </c>
      <c r="M220" s="206">
        <v>35542</v>
      </c>
      <c r="N220" s="206">
        <v>35817</v>
      </c>
      <c r="O220" s="207">
        <f t="shared" si="100"/>
        <v>9.1999999999999993</v>
      </c>
      <c r="P220" s="206"/>
      <c r="Q220" s="206"/>
      <c r="R220" s="177">
        <f t="shared" si="101"/>
        <v>0</v>
      </c>
      <c r="S220" s="178">
        <f t="shared" si="102"/>
        <v>9.1999999999999993</v>
      </c>
      <c r="T220" s="208">
        <f t="shared" si="103"/>
        <v>60.170999999999999</v>
      </c>
      <c r="U220" s="41" t="s">
        <v>16</v>
      </c>
      <c r="V220" s="45"/>
      <c r="W220" s="205"/>
      <c r="X220" s="37" t="str">
        <f t="shared" si="96"/>
        <v>SI</v>
      </c>
      <c r="Z220" s="180" t="s">
        <v>16</v>
      </c>
      <c r="AB220" s="173" t="s">
        <v>211</v>
      </c>
      <c r="AD220" s="10" t="str">
        <f t="shared" si="97"/>
        <v>SI</v>
      </c>
      <c r="AE220" s="92">
        <f>+IF(OR($T$220="",X220="",X220="NO"),"",L220)</f>
        <v>553.57000000000005</v>
      </c>
      <c r="AF220" s="92">
        <f>+IF(AE220="","",L220/$S$220)</f>
        <v>60.170652173913055</v>
      </c>
      <c r="AG220" s="174"/>
      <c r="AH220" s="27" t="s">
        <v>932</v>
      </c>
    </row>
    <row r="221" spans="1:34" s="27" customFormat="1" ht="12.75" x14ac:dyDescent="0.2">
      <c r="A221" s="27" t="str">
        <f t="shared" si="98"/>
        <v/>
      </c>
      <c r="B221" s="38"/>
      <c r="C221" s="39"/>
      <c r="D221" s="39"/>
      <c r="E221" s="46"/>
      <c r="F221" s="46"/>
      <c r="G221" s="39"/>
      <c r="H221" s="40"/>
      <c r="I221" s="41"/>
      <c r="J221" s="42"/>
      <c r="K221" s="43"/>
      <c r="L221" s="44">
        <f t="shared" si="99"/>
        <v>0</v>
      </c>
      <c r="M221" s="206"/>
      <c r="N221" s="206"/>
      <c r="O221" s="207" t="str">
        <f t="shared" si="100"/>
        <v/>
      </c>
      <c r="P221" s="206"/>
      <c r="Q221" s="206"/>
      <c r="R221" s="177">
        <f t="shared" si="101"/>
        <v>0</v>
      </c>
      <c r="S221" s="178" t="str">
        <f t="shared" si="102"/>
        <v/>
      </c>
      <c r="T221" s="208" t="str">
        <f t="shared" si="103"/>
        <v/>
      </c>
      <c r="U221" s="41"/>
      <c r="V221" s="45"/>
      <c r="X221" s="37" t="str">
        <f t="shared" si="96"/>
        <v/>
      </c>
      <c r="Z221" s="181"/>
      <c r="AB221" s="173"/>
      <c r="AD221" s="10" t="str">
        <f t="shared" si="97"/>
        <v/>
      </c>
      <c r="AE221" s="92" t="str">
        <f>+IF(OR($T$221="",X221="",X221="NO"),"",L221)</f>
        <v/>
      </c>
      <c r="AF221" s="92" t="str">
        <f>+IF(AE221="","",L221/$S$221)</f>
        <v/>
      </c>
      <c r="AG221" s="174"/>
    </row>
    <row r="222" spans="1:34" s="27" customFormat="1" ht="12.75" x14ac:dyDescent="0.2">
      <c r="A222" s="27" t="str">
        <f t="shared" si="98"/>
        <v/>
      </c>
      <c r="B222" s="38"/>
      <c r="C222" s="39"/>
      <c r="D222" s="39"/>
      <c r="E222" s="46"/>
      <c r="F222" s="46"/>
      <c r="G222" s="39"/>
      <c r="H222" s="40"/>
      <c r="I222" s="41"/>
      <c r="J222" s="42"/>
      <c r="K222" s="43"/>
      <c r="L222" s="44">
        <f t="shared" si="99"/>
        <v>0</v>
      </c>
      <c r="M222" s="206"/>
      <c r="N222" s="206"/>
      <c r="O222" s="207" t="str">
        <f t="shared" si="100"/>
        <v/>
      </c>
      <c r="P222" s="206"/>
      <c r="Q222" s="206"/>
      <c r="R222" s="177">
        <f t="shared" si="101"/>
        <v>0</v>
      </c>
      <c r="S222" s="178" t="str">
        <f t="shared" si="102"/>
        <v/>
      </c>
      <c r="T222" s="208" t="str">
        <f t="shared" si="103"/>
        <v/>
      </c>
      <c r="U222" s="41"/>
      <c r="V222" s="45"/>
      <c r="X222" s="37" t="str">
        <f t="shared" si="96"/>
        <v/>
      </c>
      <c r="Z222" s="181"/>
      <c r="AB222" s="173"/>
      <c r="AD222" s="10" t="str">
        <f t="shared" si="97"/>
        <v/>
      </c>
      <c r="AE222" s="92" t="str">
        <f>+IF(OR($T$222="",X222="",X222="NO"),"",L222)</f>
        <v/>
      </c>
      <c r="AF222" s="92" t="str">
        <f>+IF(AE222="","",L222/$S$222)</f>
        <v/>
      </c>
      <c r="AG222" s="174"/>
    </row>
    <row r="223" spans="1:34" s="27" customFormat="1" ht="12.75" x14ac:dyDescent="0.2">
      <c r="A223" s="27" t="str">
        <f t="shared" si="98"/>
        <v/>
      </c>
      <c r="B223" s="38"/>
      <c r="C223" s="39"/>
      <c r="D223" s="39"/>
      <c r="E223" s="46"/>
      <c r="F223" s="46"/>
      <c r="G223" s="39"/>
      <c r="H223" s="40"/>
      <c r="I223" s="41"/>
      <c r="J223" s="42"/>
      <c r="K223" s="43"/>
      <c r="L223" s="44">
        <f t="shared" si="99"/>
        <v>0</v>
      </c>
      <c r="M223" s="206"/>
      <c r="N223" s="206"/>
      <c r="O223" s="207" t="str">
        <f t="shared" si="100"/>
        <v/>
      </c>
      <c r="P223" s="206"/>
      <c r="Q223" s="206"/>
      <c r="R223" s="177">
        <f t="shared" si="101"/>
        <v>0</v>
      </c>
      <c r="S223" s="178" t="str">
        <f t="shared" si="102"/>
        <v/>
      </c>
      <c r="T223" s="208" t="str">
        <f t="shared" si="103"/>
        <v/>
      </c>
      <c r="U223" s="41"/>
      <c r="V223" s="45"/>
      <c r="X223" s="37" t="str">
        <f t="shared" si="96"/>
        <v/>
      </c>
      <c r="Z223" s="181"/>
      <c r="AB223" s="173"/>
      <c r="AD223" s="10" t="str">
        <f t="shared" si="97"/>
        <v/>
      </c>
      <c r="AE223" s="92" t="str">
        <f>+IF(OR($T$223="",X223="",X223="NO"),"",L223)</f>
        <v/>
      </c>
      <c r="AF223" s="92" t="str">
        <f>+IF(AE223="","",L223/$S$223)</f>
        <v/>
      </c>
      <c r="AG223" s="174"/>
    </row>
    <row r="224" spans="1:34" s="27" customFormat="1" ht="12.75" x14ac:dyDescent="0.2">
      <c r="A224" s="27" t="str">
        <f t="shared" si="98"/>
        <v/>
      </c>
      <c r="B224" s="38"/>
      <c r="C224" s="39"/>
      <c r="D224" s="39"/>
      <c r="E224" s="46"/>
      <c r="F224" s="46"/>
      <c r="G224" s="39"/>
      <c r="H224" s="40"/>
      <c r="I224" s="41"/>
      <c r="J224" s="42"/>
      <c r="K224" s="43"/>
      <c r="L224" s="44">
        <f t="shared" si="99"/>
        <v>0</v>
      </c>
      <c r="M224" s="206"/>
      <c r="N224" s="206"/>
      <c r="O224" s="207" t="str">
        <f t="shared" si="100"/>
        <v/>
      </c>
      <c r="P224" s="206"/>
      <c r="Q224" s="206"/>
      <c r="R224" s="177">
        <f t="shared" si="101"/>
        <v>0</v>
      </c>
      <c r="S224" s="178" t="str">
        <f t="shared" si="102"/>
        <v/>
      </c>
      <c r="T224" s="208" t="str">
        <f t="shared" si="103"/>
        <v/>
      </c>
      <c r="U224" s="41"/>
      <c r="V224" s="45"/>
      <c r="X224" s="37" t="str">
        <f t="shared" si="96"/>
        <v/>
      </c>
      <c r="Z224" s="181"/>
      <c r="AB224" s="173"/>
      <c r="AD224" s="10" t="str">
        <f t="shared" si="97"/>
        <v/>
      </c>
      <c r="AE224" s="92" t="str">
        <f>+IF(OR($T$224="",X224="",X224="NO"),"",L224)</f>
        <v/>
      </c>
      <c r="AF224" s="92" t="str">
        <f>+IF(AE224="","",L224/$S$224)</f>
        <v/>
      </c>
      <c r="AG224" s="174"/>
    </row>
    <row r="225" spans="1:34" s="27" customFormat="1" ht="12.75" x14ac:dyDescent="0.2">
      <c r="A225" s="27" t="str">
        <f t="shared" si="98"/>
        <v/>
      </c>
      <c r="B225" s="38"/>
      <c r="C225" s="39"/>
      <c r="D225" s="39"/>
      <c r="E225" s="46"/>
      <c r="F225" s="46"/>
      <c r="G225" s="39"/>
      <c r="H225" s="40"/>
      <c r="I225" s="41"/>
      <c r="J225" s="42"/>
      <c r="K225" s="43"/>
      <c r="L225" s="44">
        <f t="shared" si="99"/>
        <v>0</v>
      </c>
      <c r="M225" s="206"/>
      <c r="N225" s="206"/>
      <c r="O225" s="207" t="str">
        <f t="shared" si="100"/>
        <v/>
      </c>
      <c r="P225" s="206"/>
      <c r="Q225" s="206"/>
      <c r="R225" s="177">
        <f t="shared" si="101"/>
        <v>0</v>
      </c>
      <c r="S225" s="178" t="str">
        <f t="shared" si="102"/>
        <v/>
      </c>
      <c r="T225" s="208" t="str">
        <f t="shared" si="103"/>
        <v/>
      </c>
      <c r="U225" s="41"/>
      <c r="V225" s="45"/>
      <c r="X225" s="37" t="str">
        <f t="shared" si="96"/>
        <v/>
      </c>
      <c r="Z225" s="181"/>
      <c r="AB225" s="173"/>
      <c r="AD225" s="10" t="str">
        <f t="shared" si="97"/>
        <v/>
      </c>
      <c r="AE225" s="92" t="str">
        <f>+IF(OR($T$225="",X225="",X225="NO"),"",L225)</f>
        <v/>
      </c>
      <c r="AF225" s="92" t="str">
        <f>+IF(AE225="","",L225/$S$225)</f>
        <v/>
      </c>
      <c r="AG225" s="174"/>
    </row>
    <row r="226" spans="1:34" s="27" customFormat="1" ht="13.5" thickBot="1" x14ac:dyDescent="0.25">
      <c r="A226" s="27" t="str">
        <f t="shared" si="98"/>
        <v/>
      </c>
      <c r="B226" s="47"/>
      <c r="C226" s="48"/>
      <c r="D226" s="48"/>
      <c r="E226" s="49"/>
      <c r="F226" s="49"/>
      <c r="G226" s="48"/>
      <c r="H226" s="50"/>
      <c r="I226" s="51"/>
      <c r="J226" s="14"/>
      <c r="K226" s="52"/>
      <c r="L226" s="53">
        <f t="shared" si="99"/>
        <v>0</v>
      </c>
      <c r="M226" s="211"/>
      <c r="N226" s="211"/>
      <c r="O226" s="212" t="str">
        <f t="shared" si="100"/>
        <v/>
      </c>
      <c r="P226" s="211"/>
      <c r="Q226" s="211"/>
      <c r="R226" s="184">
        <f t="shared" si="101"/>
        <v>0</v>
      </c>
      <c r="S226" s="185" t="str">
        <f t="shared" si="102"/>
        <v/>
      </c>
      <c r="T226" s="213" t="str">
        <f t="shared" si="103"/>
        <v/>
      </c>
      <c r="U226" s="51"/>
      <c r="V226" s="54"/>
      <c r="X226" s="55" t="str">
        <f t="shared" si="96"/>
        <v/>
      </c>
      <c r="Z226" s="187"/>
      <c r="AB226" s="188"/>
      <c r="AD226" s="10" t="str">
        <f t="shared" si="97"/>
        <v/>
      </c>
      <c r="AE226" s="92" t="str">
        <f>+IF(OR($T$226="",X226="",X226="NO"),"",L226)</f>
        <v/>
      </c>
      <c r="AF226" s="92" t="str">
        <f>+IF(AE226="","",L226/$S$226)</f>
        <v/>
      </c>
    </row>
    <row r="227" spans="1:34" ht="36" customHeight="1" x14ac:dyDescent="0.2">
      <c r="B227" s="57" t="str">
        <f>"A"&amp;B214</f>
        <v>A13</v>
      </c>
      <c r="C227" s="382" t="str">
        <f>+$C$23</f>
        <v>¿CADA INTEGRANTE DE PROPONENTE PLURAL APORTAN CONTRATO?  (SI; NO; NA)</v>
      </c>
      <c r="D227" s="383"/>
      <c r="E227" s="383"/>
      <c r="F227" s="383"/>
      <c r="G227" s="383"/>
      <c r="H227" s="384"/>
      <c r="I227" s="217" t="str">
        <f>+IF(AG214="","",IF(AG214=1,"NA",IF(AND(AG214=3,(IF(COUNTIFS(C217:C226,AH217,AE217:AE226,"&gt;0")&gt;=1,1,0)+IF(COUNTIFS(C217:C226,AH218,AE217:AE226,"&gt;0")&gt;=1,1,0)+IF(COUNTIFS(C217:C226,AH219,AE217:AE226,"&gt;0")&gt;=1,1,0))&gt;=AG214),"SI",IF(AND(AG214=2,(IF(COUNTIFS(C217:C226,AH217,AE217:AE226,"&gt;0")&gt;=1,1,0)+IF(COUNTIFS(C217:C226,AH218,AE217:AE226,"&gt;0")&gt;=1,1,0))&gt;=AG214),"SI","NO"))))</f>
        <v>SI</v>
      </c>
      <c r="J227" s="59"/>
      <c r="K227" s="27"/>
      <c r="L227" s="27"/>
      <c r="M227" s="27"/>
      <c r="N227" s="27"/>
      <c r="O227" s="27"/>
      <c r="P227" s="385" t="str">
        <f>+$P$23</f>
        <v>FACTURACION MENSUAL TOTAL</v>
      </c>
      <c r="Q227" s="386"/>
      <c r="R227" s="386"/>
      <c r="S227" s="386"/>
      <c r="T227" s="189">
        <f>ROUND(SUM(T217:T226),3)</f>
        <v>379.87200000000001</v>
      </c>
      <c r="U227" s="60"/>
      <c r="V227" s="1"/>
      <c r="W227" s="61"/>
      <c r="X227" s="61"/>
      <c r="Y227" s="61"/>
      <c r="Z227" s="61"/>
      <c r="AA227" s="61"/>
      <c r="AB227" s="61"/>
    </row>
    <row r="228" spans="1:34" ht="38.25" customHeight="1" thickBot="1" x14ac:dyDescent="0.25">
      <c r="B228" s="57" t="str">
        <f>"B"&amp;B214</f>
        <v>B13</v>
      </c>
      <c r="C228" s="387" t="str">
        <f>+C211</f>
        <v>En caso de proponente plural: ¿De la totalidad de los contratos aportados por el proponente plural, el valor ejecutado de uno de ellos deberá ser igual o superior al 30% del P.O.?  (SI; NO; NA)</v>
      </c>
      <c r="D228" s="388"/>
      <c r="E228" s="388"/>
      <c r="F228" s="388"/>
      <c r="G228" s="389"/>
      <c r="H228" s="190">
        <f>+$H$6</f>
        <v>268.14722506074827</v>
      </c>
      <c r="I228" s="191" t="str">
        <f>+IF(AG214="","",IF(AG214=1,"NA",IF(AND(AG214&gt;1,(COUNTIFS(AD217:AD226,"SI",AE217:AE226,"&gt;0"))&gt;=1),"SI","NO")))</f>
        <v>SI</v>
      </c>
      <c r="J228" s="192"/>
      <c r="K228" s="193"/>
      <c r="L228" s="194"/>
      <c r="M228" s="194"/>
      <c r="N228" s="194"/>
      <c r="O228" s="194"/>
      <c r="P228" s="387" t="str">
        <f>+$P$24</f>
        <v>PROMEDIO FACTURACIÓN MENSUAL DEL PROPONENTE (PFMP)</v>
      </c>
      <c r="Q228" s="388"/>
      <c r="R228" s="388"/>
      <c r="S228" s="388"/>
      <c r="T228" s="195">
        <f t="array" ref="T228">IF(T227=0,0,ROUND(T227/(SUM(IF(FREQUENCY(A217:A226,A217:A226)&gt;0,1))),3))</f>
        <v>126.624</v>
      </c>
      <c r="U228" s="214"/>
      <c r="V228" s="1"/>
      <c r="W228" s="61"/>
      <c r="X228" s="61"/>
      <c r="Y228" s="61"/>
      <c r="Z228" s="61"/>
      <c r="AA228" s="61"/>
      <c r="AB228" s="61"/>
    </row>
    <row r="229" spans="1:34" ht="21" customHeight="1" thickBot="1" x14ac:dyDescent="0.25">
      <c r="B229" s="197" t="str">
        <f>"C"&amp;B214</f>
        <v>C13</v>
      </c>
      <c r="C229" s="349" t="str">
        <f>+$C$25</f>
        <v>PROPONENTE CUMPLE CON LAS ACTIVIDADES a) y b)? (SI; NO)</v>
      </c>
      <c r="D229" s="350"/>
      <c r="E229" s="350"/>
      <c r="F229" s="350"/>
      <c r="G229" s="350"/>
      <c r="H229" s="351"/>
      <c r="I229" s="198" t="str">
        <f>IF(C214="","",(IF(AND(COUNTIFS(X217:X226,"SI",Z217:Z226,"SI")&gt;=$Z$8,COUNTIFS(X217:X226,"SI",AB217:AB226,"SI")&gt;=$Z$8),"SI","NO")))</f>
        <v>SI</v>
      </c>
      <c r="J229" s="199"/>
      <c r="K229" s="200"/>
      <c r="L229" s="200"/>
      <c r="M229" s="200"/>
      <c r="N229" s="200"/>
      <c r="P229" s="378" t="str">
        <f>+$P$25</f>
        <v>VALOR PUNTAJE POR EXPERIENCIA DEL PROPONENTE</v>
      </c>
      <c r="Q229" s="379"/>
      <c r="R229" s="379"/>
      <c r="S229" s="380"/>
      <c r="T229" s="201">
        <f>IF(OR(C214="",'ASIGNACION DE PUNTAJES'!$C$5=""),"",VLOOKUP(B214,'ASIGNACION DE PUNTAJES'!$A$15:$G$69,7,FALSE))</f>
        <v>651.995</v>
      </c>
      <c r="V229" s="202"/>
    </row>
    <row r="230" spans="1:34" ht="9.75" customHeight="1" thickBot="1" x14ac:dyDescent="0.25">
      <c r="M230" s="84"/>
      <c r="N230" s="84"/>
      <c r="O230" s="84"/>
      <c r="V230" s="21"/>
    </row>
    <row r="231" spans="1:34" ht="36.75" customHeight="1" thickBot="1" x14ac:dyDescent="0.25">
      <c r="B231" s="23">
        <f>1+B214</f>
        <v>14</v>
      </c>
      <c r="C231" s="336" t="s">
        <v>901</v>
      </c>
      <c r="D231" s="337"/>
      <c r="E231" s="337"/>
      <c r="F231" s="337"/>
      <c r="G231" s="337"/>
      <c r="H231" s="337"/>
      <c r="I231" s="338"/>
      <c r="J231" s="24" t="str">
        <f>+IF(C231="","","INTEGRANTES")</f>
        <v>INTEGRANTES</v>
      </c>
      <c r="K231" s="339" t="s">
        <v>902</v>
      </c>
      <c r="L231" s="339"/>
      <c r="M231" s="339"/>
      <c r="N231" s="339"/>
      <c r="O231" s="339"/>
      <c r="P231" s="339"/>
      <c r="Q231" s="339"/>
      <c r="R231" s="396" t="str">
        <f>+$R$10</f>
        <v>PROPONENTE No.</v>
      </c>
      <c r="S231" s="397"/>
      <c r="T231" s="25">
        <f>+B231</f>
        <v>14</v>
      </c>
      <c r="U231" s="161" t="str">
        <f>+$U$10</f>
        <v>PFMP</v>
      </c>
      <c r="V231" s="162">
        <f>IF(T245="",0,T245)</f>
        <v>119.176</v>
      </c>
      <c r="X231" s="325" t="s">
        <v>168</v>
      </c>
      <c r="Z231" s="163" t="str">
        <f>+$Z$10</f>
        <v>EXP. ESPECÍFICA 
A:</v>
      </c>
      <c r="AB231" s="163" t="str">
        <f>+$AB$10</f>
        <v>EXP. ESPECÍFICA 
B:</v>
      </c>
      <c r="AG231" s="1">
        <v>2</v>
      </c>
    </row>
    <row r="232" spans="1:34" ht="42" customHeight="1" x14ac:dyDescent="0.2">
      <c r="B232" s="331" t="str">
        <f>+$B$11</f>
        <v>ITEM</v>
      </c>
      <c r="C232" s="318" t="str">
        <f>+$C$11</f>
        <v>PROPONENTE 
/ 
INTEGRANTE OFERENTE PLURAL</v>
      </c>
      <c r="D232" s="333" t="str">
        <f>+$D$11</f>
        <v>INFORMACIÓN DEL CONTRATO</v>
      </c>
      <c r="E232" s="334"/>
      <c r="F232" s="334"/>
      <c r="G232" s="335"/>
      <c r="H232" s="318" t="str">
        <f>+H215</f>
        <v>CONSECUTIVO RUP</v>
      </c>
      <c r="I232" s="318" t="str">
        <f>+$I$11</f>
        <v>¿SE ENCUENTRA INSCRITO EN EL RUP Y CUMPLE CÓDIGOS UNSPSC?</v>
      </c>
      <c r="J232" s="318" t="str">
        <f>+$J$11</f>
        <v xml:space="preserve">VALOR EN RUP (SMMLV) </v>
      </c>
      <c r="K232" s="318" t="str">
        <f>+$K$11</f>
        <v>% PARTIC en el RUP</v>
      </c>
      <c r="L232" s="318" t="str">
        <f>+$L$11</f>
        <v>VALOR DEL CONTRATO TERMINADO (SMMLV) en el   RUP</v>
      </c>
      <c r="M232" s="318" t="str">
        <f>+$M$11</f>
        <v>FECHA DE INICIO</v>
      </c>
      <c r="N232" s="318" t="str">
        <f>+$N$11</f>
        <v>FECHA DE TERMINACION</v>
      </c>
      <c r="O232" s="318" t="str">
        <f>+$O$11</f>
        <v>PLAZO CONTRA-TO (Meses)</v>
      </c>
      <c r="P232" s="390" t="str">
        <f>+$P$11</f>
        <v>Tsusp i</v>
      </c>
      <c r="Q232" s="391"/>
      <c r="R232" s="392"/>
      <c r="S232" s="318" t="str">
        <f>+$S$11</f>
        <v>PLAZO i REAL</v>
      </c>
      <c r="T232" s="318" t="str">
        <f>+$T$11</f>
        <v>FACTURA-CION MENSUAL PROPO-NENTE</v>
      </c>
      <c r="U232" s="318" t="str">
        <f>+$U$11</f>
        <v>VALIDACIÓN DE LA EXPERIENCIA GENERAL
(SI/NO)</v>
      </c>
      <c r="V232" s="393" t="str">
        <f>+$V$11</f>
        <v>OBSERVACIONES</v>
      </c>
      <c r="W232" s="164"/>
      <c r="X232" s="326"/>
      <c r="Z232" s="381" t="str">
        <f>+$Z$11</f>
        <v>Interventoria a la ejecución de obras relacionadas con Colocación de capas granulares (tales como bases y/o sub-bases granulares).</v>
      </c>
      <c r="AB232" s="381" t="str">
        <f>+$AB$11</f>
        <v>Interventoria a la Ejecución de obras de subdrenaje y/o drenaje, en carreteras.</v>
      </c>
    </row>
    <row r="233" spans="1:34" ht="38.25" customHeight="1" thickBot="1" x14ac:dyDescent="0.25">
      <c r="B233" s="395"/>
      <c r="C233" s="348"/>
      <c r="D233" s="165" t="str">
        <f>+$D$12</f>
        <v>ENTIDAD</v>
      </c>
      <c r="E233" s="165" t="str">
        <f>+$E$12</f>
        <v>No. DE CONTRATO</v>
      </c>
      <c r="F233" s="165" t="str">
        <f>+$F$12</f>
        <v>OBJETO</v>
      </c>
      <c r="G233" s="165" t="str">
        <f>+$G$12</f>
        <v>CONTRATISTA</v>
      </c>
      <c r="H233" s="348"/>
      <c r="I233" s="348"/>
      <c r="J233" s="348"/>
      <c r="K233" s="348"/>
      <c r="L233" s="348"/>
      <c r="M233" s="348"/>
      <c r="N233" s="348"/>
      <c r="O233" s="348"/>
      <c r="P233" s="166" t="str">
        <f>+P216</f>
        <v>Finicsuspi</v>
      </c>
      <c r="Q233" s="166" t="str">
        <f>+Q216</f>
        <v xml:space="preserve"> Ftermsuspi </v>
      </c>
      <c r="R233" s="166" t="str">
        <f>+R216</f>
        <v>Tsusp i (meses)</v>
      </c>
      <c r="S233" s="348"/>
      <c r="T233" s="348"/>
      <c r="U233" s="348"/>
      <c r="V233" s="394"/>
      <c r="X233" s="327"/>
      <c r="Z233" s="381"/>
      <c r="AB233" s="381"/>
    </row>
    <row r="234" spans="1:34" s="27" customFormat="1" ht="87.75" customHeight="1" x14ac:dyDescent="0.2">
      <c r="A234" s="27">
        <f>+IF(T234="","",B234)</f>
        <v>1</v>
      </c>
      <c r="B234" s="28">
        <v>1</v>
      </c>
      <c r="C234" s="86" t="s">
        <v>74</v>
      </c>
      <c r="D234" s="86" t="s">
        <v>66</v>
      </c>
      <c r="E234" s="87" t="s">
        <v>313</v>
      </c>
      <c r="F234" s="87" t="s">
        <v>314</v>
      </c>
      <c r="G234" s="86" t="s">
        <v>315</v>
      </c>
      <c r="H234" s="30">
        <v>32</v>
      </c>
      <c r="I234" s="31" t="s">
        <v>16</v>
      </c>
      <c r="J234" s="32">
        <v>963.3</v>
      </c>
      <c r="K234" s="33">
        <v>0.25</v>
      </c>
      <c r="L234" s="34">
        <f>IF(OR(H234="",I234&lt;&gt;"SI",I234="NO",J234="",J234=0,K234="",K234=0,X234&lt;&gt;"SI"),0,J234*K234)</f>
        <v>240.82499999999999</v>
      </c>
      <c r="M234" s="204">
        <v>43516</v>
      </c>
      <c r="N234" s="204">
        <v>43790</v>
      </c>
      <c r="O234" s="169">
        <f>IF(OR(H234="",I234&lt;&gt;"SI",I234="NO",J234="",J234=0,K234="",K234=0,,M234="",N234=""),"",ROUND((((N234-M234)+1)/30),3))</f>
        <v>9.1669999999999998</v>
      </c>
      <c r="P234" s="204"/>
      <c r="Q234" s="204"/>
      <c r="R234" s="170">
        <f>IF(OR((Q234-P234)=0,P234="",Q234=""),0,(ROUND((((Q234-P234)+1)/30),3)))</f>
        <v>0</v>
      </c>
      <c r="S234" s="171">
        <f>IF(O234="","",ROUND(SUM(O234)-SUM(R234),3))</f>
        <v>9.1669999999999998</v>
      </c>
      <c r="T234" s="172">
        <f>+IF(C234="","",IF(OR(S234="",S234&lt;=0,I234="",I234="NO",U234="",U234="NO",X234="NO"),"",ROUND(SUM(L234)/S234,3)))</f>
        <v>26.271000000000001</v>
      </c>
      <c r="U234" s="35" t="s">
        <v>16</v>
      </c>
      <c r="V234" s="36"/>
      <c r="W234" s="205"/>
      <c r="X234" s="37" t="str">
        <f t="shared" ref="X234:X243" si="104">+IF(C234="","",IF(AND(H234&lt;&gt;"",I234="SI",J234&lt;&gt;"",J234&gt;0,K234&lt;&gt;"",K234&gt;0,S234&lt;&gt;"",S234&gt;0,U234="SI"),"SI","NO"))</f>
        <v>SI</v>
      </c>
      <c r="Z234" s="173" t="s">
        <v>16</v>
      </c>
      <c r="AB234" s="173" t="s">
        <v>211</v>
      </c>
      <c r="AD234" s="10" t="str">
        <f t="shared" ref="AD234:AD243" si="105">+IF($C$231="","",IF(C234="","",IF(L234&gt;=$H$6,"SI","NO")))</f>
        <v>NO</v>
      </c>
      <c r="AE234" s="92">
        <f>+IF(OR($T$234="",X234="",X234="NO"),"",L234)</f>
        <v>240.82499999999999</v>
      </c>
      <c r="AF234" s="92">
        <f>+IF(AE234="","",L234/$S$234)</f>
        <v>26.270862877713537</v>
      </c>
      <c r="AG234" s="174">
        <f>0.1+B231</f>
        <v>14.1</v>
      </c>
      <c r="AH234" s="27" t="s">
        <v>74</v>
      </c>
    </row>
    <row r="235" spans="1:34" s="27" customFormat="1" ht="72" customHeight="1" x14ac:dyDescent="0.2">
      <c r="A235" s="27">
        <f t="shared" ref="A235:A243" si="106">+IF(T235="","",B235)</f>
        <v>2</v>
      </c>
      <c r="B235" s="38">
        <v>2</v>
      </c>
      <c r="C235" s="39" t="s">
        <v>316</v>
      </c>
      <c r="D235" s="39" t="s">
        <v>317</v>
      </c>
      <c r="E235" s="46" t="s">
        <v>318</v>
      </c>
      <c r="F235" s="46" t="s">
        <v>319</v>
      </c>
      <c r="G235" s="39" t="s">
        <v>316</v>
      </c>
      <c r="H235" s="40">
        <v>4</v>
      </c>
      <c r="I235" s="41" t="s">
        <v>16</v>
      </c>
      <c r="J235" s="42">
        <v>8307.32</v>
      </c>
      <c r="K235" s="43">
        <v>1</v>
      </c>
      <c r="L235" s="44">
        <f t="shared" ref="L235:L243" si="107">IF(OR(H235="",I235&lt;&gt;"SI",I235="NO",J235="",J235=0,K235="",K235=0,X235&lt;&gt;"SI"),0,J235*K235)</f>
        <v>8307.32</v>
      </c>
      <c r="M235" s="206">
        <v>38671</v>
      </c>
      <c r="N235" s="206">
        <v>40144</v>
      </c>
      <c r="O235" s="207">
        <f t="shared" ref="O235:O243" si="108">IF(OR(H235="",I235&lt;&gt;"SI",I235="NO",J235="",J235=0,K235="",K235=0,,M235="",N235=""),"",ROUND((((N235-M235)+1)/30),3))</f>
        <v>49.133000000000003</v>
      </c>
      <c r="P235" s="206"/>
      <c r="Q235" s="206"/>
      <c r="R235" s="177">
        <f t="shared" ref="R235:R243" si="109">IF(OR((Q235-P235)=0,P235="",Q235=""),0,(ROUND((((Q235-P235)+1)/30),3)))</f>
        <v>0</v>
      </c>
      <c r="S235" s="178">
        <f t="shared" ref="S235:S243" si="110">IF(O235="","",ROUND(SUM(O235)-SUM(R235),3))</f>
        <v>49.133000000000003</v>
      </c>
      <c r="T235" s="208">
        <f t="shared" ref="T235:T243" si="111">+IF(C235="","",IF(OR(S235="",S235&lt;=0,I235="",I235="NO",U235="",U235="NO",X235="NO"),"",ROUND(SUM(L235)/S235,3)))</f>
        <v>169.078</v>
      </c>
      <c r="U235" s="41" t="s">
        <v>16</v>
      </c>
      <c r="V235" s="209"/>
      <c r="W235" s="205"/>
      <c r="X235" s="37" t="str">
        <f t="shared" si="104"/>
        <v>SI</v>
      </c>
      <c r="Z235" s="173" t="s">
        <v>211</v>
      </c>
      <c r="AB235" s="173" t="s">
        <v>211</v>
      </c>
      <c r="AD235" s="10" t="str">
        <f t="shared" si="105"/>
        <v>SI</v>
      </c>
      <c r="AE235" s="92">
        <f>+IF(OR($T$235="",X235="",X235="NO"),"",L235)</f>
        <v>8307.32</v>
      </c>
      <c r="AF235" s="92">
        <f>+IF(AE235="","",L235/$S$235)</f>
        <v>169.07821627012393</v>
      </c>
      <c r="AG235" s="174">
        <f>0.2+B231</f>
        <v>14.2</v>
      </c>
      <c r="AH235" s="27" t="s">
        <v>316</v>
      </c>
    </row>
    <row r="236" spans="1:34" s="27" customFormat="1" ht="149.25" customHeight="1" x14ac:dyDescent="0.2">
      <c r="A236" s="27">
        <f t="shared" si="106"/>
        <v>3</v>
      </c>
      <c r="B236" s="38">
        <v>3</v>
      </c>
      <c r="C236" s="39" t="s">
        <v>316</v>
      </c>
      <c r="D236" s="39" t="s">
        <v>317</v>
      </c>
      <c r="E236" s="46" t="s">
        <v>320</v>
      </c>
      <c r="F236" s="46" t="s">
        <v>321</v>
      </c>
      <c r="G236" s="39" t="s">
        <v>316</v>
      </c>
      <c r="H236" s="40">
        <v>6</v>
      </c>
      <c r="I236" s="41" t="s">
        <v>16</v>
      </c>
      <c r="J236" s="42">
        <v>7092.56</v>
      </c>
      <c r="K236" s="43">
        <v>1</v>
      </c>
      <c r="L236" s="44">
        <f t="shared" si="107"/>
        <v>7092.56</v>
      </c>
      <c r="M236" s="206">
        <v>38824</v>
      </c>
      <c r="N236" s="206">
        <v>40135</v>
      </c>
      <c r="O236" s="207">
        <f t="shared" si="108"/>
        <v>43.732999999999997</v>
      </c>
      <c r="P236" s="206"/>
      <c r="Q236" s="206"/>
      <c r="R236" s="177">
        <f t="shared" si="109"/>
        <v>0</v>
      </c>
      <c r="S236" s="178">
        <f t="shared" si="110"/>
        <v>43.732999999999997</v>
      </c>
      <c r="T236" s="208">
        <f t="shared" si="111"/>
        <v>162.179</v>
      </c>
      <c r="U236" s="41" t="s">
        <v>16</v>
      </c>
      <c r="V236" s="45"/>
      <c r="W236" s="205"/>
      <c r="X236" s="37" t="str">
        <f t="shared" si="104"/>
        <v>SI</v>
      </c>
      <c r="Z236" s="173" t="s">
        <v>211</v>
      </c>
      <c r="AB236" s="173" t="s">
        <v>16</v>
      </c>
      <c r="AD236" s="10" t="str">
        <f t="shared" si="105"/>
        <v>SI</v>
      </c>
      <c r="AE236" s="92">
        <f>+IF(OR($T$236="",X236="",X236="NO"),"",L236)</f>
        <v>7092.56</v>
      </c>
      <c r="AF236" s="92">
        <f>+IF(AE236="","",L236/$S$236)</f>
        <v>162.17867514234104</v>
      </c>
      <c r="AG236" s="174">
        <f>0.3+B231</f>
        <v>14.3</v>
      </c>
      <c r="AH236" s="27" t="s">
        <v>932</v>
      </c>
    </row>
    <row r="237" spans="1:34" s="27" customFormat="1" ht="12.75" x14ac:dyDescent="0.2">
      <c r="A237" s="27" t="str">
        <f t="shared" si="106"/>
        <v/>
      </c>
      <c r="B237" s="38"/>
      <c r="C237" s="39"/>
      <c r="D237" s="39"/>
      <c r="E237" s="46"/>
      <c r="F237" s="46"/>
      <c r="G237" s="39"/>
      <c r="H237" s="40"/>
      <c r="I237" s="41"/>
      <c r="J237" s="42"/>
      <c r="K237" s="43"/>
      <c r="L237" s="44">
        <f t="shared" si="107"/>
        <v>0</v>
      </c>
      <c r="M237" s="206"/>
      <c r="N237" s="206"/>
      <c r="O237" s="207" t="str">
        <f t="shared" si="108"/>
        <v/>
      </c>
      <c r="P237" s="206"/>
      <c r="Q237" s="206"/>
      <c r="R237" s="177">
        <f t="shared" si="109"/>
        <v>0</v>
      </c>
      <c r="S237" s="178" t="str">
        <f t="shared" si="110"/>
        <v/>
      </c>
      <c r="T237" s="208" t="str">
        <f t="shared" si="111"/>
        <v/>
      </c>
      <c r="U237" s="41"/>
      <c r="V237" s="45"/>
      <c r="W237" s="210"/>
      <c r="X237" s="37" t="str">
        <f t="shared" si="104"/>
        <v/>
      </c>
      <c r="Z237" s="180"/>
      <c r="AB237" s="173"/>
      <c r="AD237" s="10" t="str">
        <f t="shared" si="105"/>
        <v/>
      </c>
      <c r="AE237" s="92" t="str">
        <f>+IF(OR($T$237="",X237="",X237="NO"),"",L237)</f>
        <v/>
      </c>
      <c r="AF237" s="92" t="str">
        <f>+IF(AE237="","",L237/$S$237)</f>
        <v/>
      </c>
      <c r="AG237" s="174"/>
    </row>
    <row r="238" spans="1:34" s="27" customFormat="1" ht="12.75" x14ac:dyDescent="0.2">
      <c r="A238" s="27" t="str">
        <f t="shared" si="106"/>
        <v/>
      </c>
      <c r="B238" s="38"/>
      <c r="C238" s="39"/>
      <c r="D238" s="39"/>
      <c r="E238" s="46"/>
      <c r="F238" s="46"/>
      <c r="G238" s="39"/>
      <c r="H238" s="40"/>
      <c r="I238" s="41"/>
      <c r="J238" s="42"/>
      <c r="K238" s="43"/>
      <c r="L238" s="44">
        <f t="shared" si="107"/>
        <v>0</v>
      </c>
      <c r="M238" s="206"/>
      <c r="N238" s="206"/>
      <c r="O238" s="207" t="str">
        <f t="shared" si="108"/>
        <v/>
      </c>
      <c r="P238" s="206"/>
      <c r="Q238" s="206"/>
      <c r="R238" s="177">
        <f t="shared" si="109"/>
        <v>0</v>
      </c>
      <c r="S238" s="178" t="str">
        <f t="shared" si="110"/>
        <v/>
      </c>
      <c r="T238" s="208" t="str">
        <f t="shared" si="111"/>
        <v/>
      </c>
      <c r="U238" s="41"/>
      <c r="V238" s="45"/>
      <c r="X238" s="37" t="str">
        <f t="shared" si="104"/>
        <v/>
      </c>
      <c r="Z238" s="181"/>
      <c r="AB238" s="173"/>
      <c r="AD238" s="10" t="str">
        <f t="shared" si="105"/>
        <v/>
      </c>
      <c r="AE238" s="92" t="str">
        <f>+IF(OR($T$238="",X238="",X238="NO"),"",L238)</f>
        <v/>
      </c>
      <c r="AF238" s="92" t="str">
        <f>+IF(AE238="","",L238/$S$238)</f>
        <v/>
      </c>
      <c r="AG238" s="174"/>
    </row>
    <row r="239" spans="1:34" s="27" customFormat="1" ht="12.75" x14ac:dyDescent="0.2">
      <c r="A239" s="27" t="str">
        <f t="shared" si="106"/>
        <v/>
      </c>
      <c r="B239" s="38"/>
      <c r="C239" s="39"/>
      <c r="D239" s="39"/>
      <c r="E239" s="46"/>
      <c r="F239" s="46"/>
      <c r="G239" s="39"/>
      <c r="H239" s="40"/>
      <c r="I239" s="41"/>
      <c r="J239" s="42"/>
      <c r="K239" s="43"/>
      <c r="L239" s="44">
        <f t="shared" si="107"/>
        <v>0</v>
      </c>
      <c r="M239" s="206"/>
      <c r="N239" s="206"/>
      <c r="O239" s="207" t="str">
        <f t="shared" si="108"/>
        <v/>
      </c>
      <c r="P239" s="206"/>
      <c r="Q239" s="206"/>
      <c r="R239" s="177">
        <f t="shared" si="109"/>
        <v>0</v>
      </c>
      <c r="S239" s="178" t="str">
        <f t="shared" si="110"/>
        <v/>
      </c>
      <c r="T239" s="208" t="str">
        <f t="shared" si="111"/>
        <v/>
      </c>
      <c r="U239" s="41"/>
      <c r="V239" s="45"/>
      <c r="X239" s="37" t="str">
        <f t="shared" si="104"/>
        <v/>
      </c>
      <c r="Z239" s="181"/>
      <c r="AB239" s="173"/>
      <c r="AD239" s="10" t="str">
        <f t="shared" si="105"/>
        <v/>
      </c>
      <c r="AE239" s="92" t="str">
        <f>+IF(OR($T$239="",X239="",X239="NO"),"",L239)</f>
        <v/>
      </c>
      <c r="AF239" s="92" t="str">
        <f>+IF(AE239="","",L239/$S$239)</f>
        <v/>
      </c>
      <c r="AG239" s="174"/>
    </row>
    <row r="240" spans="1:34" s="27" customFormat="1" ht="12.75" x14ac:dyDescent="0.2">
      <c r="A240" s="27" t="str">
        <f t="shared" si="106"/>
        <v/>
      </c>
      <c r="B240" s="38"/>
      <c r="C240" s="39"/>
      <c r="D240" s="39"/>
      <c r="E240" s="46"/>
      <c r="F240" s="46"/>
      <c r="G240" s="39"/>
      <c r="H240" s="40"/>
      <c r="I240" s="41"/>
      <c r="J240" s="42"/>
      <c r="K240" s="43"/>
      <c r="L240" s="44">
        <f t="shared" si="107"/>
        <v>0</v>
      </c>
      <c r="M240" s="206"/>
      <c r="N240" s="206"/>
      <c r="O240" s="207" t="str">
        <f t="shared" si="108"/>
        <v/>
      </c>
      <c r="P240" s="206"/>
      <c r="Q240" s="206"/>
      <c r="R240" s="177">
        <f t="shared" si="109"/>
        <v>0</v>
      </c>
      <c r="S240" s="178" t="str">
        <f t="shared" si="110"/>
        <v/>
      </c>
      <c r="T240" s="208" t="str">
        <f t="shared" si="111"/>
        <v/>
      </c>
      <c r="U240" s="41"/>
      <c r="V240" s="45"/>
      <c r="X240" s="37" t="str">
        <f t="shared" si="104"/>
        <v/>
      </c>
      <c r="Z240" s="181"/>
      <c r="AB240" s="173"/>
      <c r="AD240" s="10" t="str">
        <f t="shared" si="105"/>
        <v/>
      </c>
      <c r="AE240" s="92" t="str">
        <f>+IF(OR($T$240="",X240="",X240="NO"),"",L240)</f>
        <v/>
      </c>
      <c r="AF240" s="92" t="str">
        <f>+IF(AE240="","",L240/$S$240)</f>
        <v/>
      </c>
      <c r="AG240" s="174"/>
    </row>
    <row r="241" spans="1:34" s="27" customFormat="1" ht="12.75" x14ac:dyDescent="0.2">
      <c r="A241" s="27" t="str">
        <f t="shared" si="106"/>
        <v/>
      </c>
      <c r="B241" s="38"/>
      <c r="C241" s="39"/>
      <c r="D241" s="39"/>
      <c r="E241" s="46"/>
      <c r="F241" s="46"/>
      <c r="G241" s="39"/>
      <c r="H241" s="40"/>
      <c r="I241" s="41"/>
      <c r="J241" s="42"/>
      <c r="K241" s="43"/>
      <c r="L241" s="44">
        <f t="shared" si="107"/>
        <v>0</v>
      </c>
      <c r="M241" s="206"/>
      <c r="N241" s="206"/>
      <c r="O241" s="207" t="str">
        <f t="shared" si="108"/>
        <v/>
      </c>
      <c r="P241" s="206"/>
      <c r="Q241" s="206"/>
      <c r="R241" s="177">
        <f t="shared" si="109"/>
        <v>0</v>
      </c>
      <c r="S241" s="178" t="str">
        <f t="shared" si="110"/>
        <v/>
      </c>
      <c r="T241" s="208" t="str">
        <f t="shared" si="111"/>
        <v/>
      </c>
      <c r="U241" s="41"/>
      <c r="V241" s="45"/>
      <c r="X241" s="37" t="str">
        <f t="shared" si="104"/>
        <v/>
      </c>
      <c r="Z241" s="181"/>
      <c r="AB241" s="173"/>
      <c r="AD241" s="10" t="str">
        <f t="shared" si="105"/>
        <v/>
      </c>
      <c r="AE241" s="92" t="str">
        <f>+IF(OR($T$241="",X241="",X241="NO"),"",L241)</f>
        <v/>
      </c>
      <c r="AF241" s="92" t="str">
        <f>+IF(AE241="","",L241/$S$241)</f>
        <v/>
      </c>
      <c r="AG241" s="174"/>
    </row>
    <row r="242" spans="1:34" s="27" customFormat="1" ht="12.75" x14ac:dyDescent="0.2">
      <c r="A242" s="27" t="str">
        <f t="shared" si="106"/>
        <v/>
      </c>
      <c r="B242" s="38"/>
      <c r="C242" s="39"/>
      <c r="D242" s="39"/>
      <c r="E242" s="46"/>
      <c r="F242" s="46"/>
      <c r="G242" s="39"/>
      <c r="H242" s="40"/>
      <c r="I242" s="41"/>
      <c r="J242" s="42"/>
      <c r="K242" s="43"/>
      <c r="L242" s="44">
        <f t="shared" si="107"/>
        <v>0</v>
      </c>
      <c r="M242" s="206"/>
      <c r="N242" s="206"/>
      <c r="O242" s="207" t="str">
        <f t="shared" si="108"/>
        <v/>
      </c>
      <c r="P242" s="206"/>
      <c r="Q242" s="206"/>
      <c r="R242" s="177">
        <f t="shared" si="109"/>
        <v>0</v>
      </c>
      <c r="S242" s="178" t="str">
        <f t="shared" si="110"/>
        <v/>
      </c>
      <c r="T242" s="208" t="str">
        <f t="shared" si="111"/>
        <v/>
      </c>
      <c r="U242" s="41"/>
      <c r="V242" s="45"/>
      <c r="X242" s="37" t="str">
        <f t="shared" si="104"/>
        <v/>
      </c>
      <c r="Z242" s="181"/>
      <c r="AB242" s="173"/>
      <c r="AD242" s="10" t="str">
        <f t="shared" si="105"/>
        <v/>
      </c>
      <c r="AE242" s="92" t="str">
        <f>+IF(OR($T$242="",X242="",X242="NO"),"",L242)</f>
        <v/>
      </c>
      <c r="AF242" s="92" t="str">
        <f>+IF(AE242="","",L242/$S$242)</f>
        <v/>
      </c>
      <c r="AG242" s="174"/>
    </row>
    <row r="243" spans="1:34" s="27" customFormat="1" ht="13.5" thickBot="1" x14ac:dyDescent="0.25">
      <c r="A243" s="27" t="str">
        <f t="shared" si="106"/>
        <v/>
      </c>
      <c r="B243" s="47"/>
      <c r="C243" s="48"/>
      <c r="D243" s="48"/>
      <c r="E243" s="49"/>
      <c r="F243" s="49"/>
      <c r="G243" s="48"/>
      <c r="H243" s="50"/>
      <c r="I243" s="51"/>
      <c r="J243" s="14"/>
      <c r="K243" s="52"/>
      <c r="L243" s="53">
        <f t="shared" si="107"/>
        <v>0</v>
      </c>
      <c r="M243" s="211"/>
      <c r="N243" s="211"/>
      <c r="O243" s="212" t="str">
        <f t="shared" si="108"/>
        <v/>
      </c>
      <c r="P243" s="211"/>
      <c r="Q243" s="211"/>
      <c r="R243" s="184">
        <f t="shared" si="109"/>
        <v>0</v>
      </c>
      <c r="S243" s="185" t="str">
        <f t="shared" si="110"/>
        <v/>
      </c>
      <c r="T243" s="213" t="str">
        <f t="shared" si="111"/>
        <v/>
      </c>
      <c r="U243" s="51"/>
      <c r="V243" s="54"/>
      <c r="X243" s="55" t="str">
        <f t="shared" si="104"/>
        <v/>
      </c>
      <c r="Z243" s="187"/>
      <c r="AB243" s="188"/>
      <c r="AD243" s="10" t="str">
        <f t="shared" si="105"/>
        <v/>
      </c>
      <c r="AE243" s="92" t="str">
        <f>+IF(OR($T$243="",X243="",X243="NO"),"",L243)</f>
        <v/>
      </c>
      <c r="AF243" s="92" t="str">
        <f>+IF(AE243="","",L243/$S$243)</f>
        <v/>
      </c>
    </row>
    <row r="244" spans="1:34" ht="36" customHeight="1" x14ac:dyDescent="0.2">
      <c r="B244" s="57" t="str">
        <f>"A"&amp;B231</f>
        <v>A14</v>
      </c>
      <c r="C244" s="382" t="str">
        <f>+$C$23</f>
        <v>¿CADA INTEGRANTE DE PROPONENTE PLURAL APORTAN CONTRATO?  (SI; NO; NA)</v>
      </c>
      <c r="D244" s="383"/>
      <c r="E244" s="383"/>
      <c r="F244" s="383"/>
      <c r="G244" s="383"/>
      <c r="H244" s="384"/>
      <c r="I244" s="217" t="str">
        <f>+IF(AG231="","",IF(AG231=1,"NA",IF(AND(AG231=3,(IF(COUNTIFS(C234:C243,AH234,AE234:AE243,"&gt;0")&gt;=1,1,0)+IF(COUNTIFS(C234:C243,AH235,AE234:AE243,"&gt;0")&gt;=1,1,0)+IF(COUNTIFS(C234:C243,AH236,AE234:AE243,"&gt;0")&gt;=1,1,0))&gt;=AG231),"SI",IF(AND(AG231=2,(IF(COUNTIFS(C234:C243,AH234,AE234:AE243,"&gt;0")&gt;=1,1,0)+IF(COUNTIFS(C234:C243,AH235,AE234:AE243,"&gt;0")&gt;=1,1,0))&gt;=AG231),"SI","NO"))))</f>
        <v>SI</v>
      </c>
      <c r="J244" s="59"/>
      <c r="K244" s="27"/>
      <c r="L244" s="27"/>
      <c r="M244" s="27"/>
      <c r="N244" s="27"/>
      <c r="O244" s="27"/>
      <c r="P244" s="385" t="str">
        <f>+$P$23</f>
        <v>FACTURACION MENSUAL TOTAL</v>
      </c>
      <c r="Q244" s="386"/>
      <c r="R244" s="386"/>
      <c r="S244" s="386"/>
      <c r="T244" s="189">
        <f>ROUND(SUM(T234:T243),3)</f>
        <v>357.52800000000002</v>
      </c>
      <c r="U244" s="60"/>
      <c r="V244" s="1"/>
      <c r="W244" s="61"/>
      <c r="X244" s="61"/>
      <c r="Y244" s="61"/>
      <c r="Z244" s="61"/>
      <c r="AA244" s="61"/>
      <c r="AB244" s="61"/>
    </row>
    <row r="245" spans="1:34" ht="38.25" customHeight="1" thickBot="1" x14ac:dyDescent="0.25">
      <c r="B245" s="57" t="str">
        <f>"B"&amp;B231</f>
        <v>B14</v>
      </c>
      <c r="C245" s="387" t="str">
        <f>+C228</f>
        <v>En caso de proponente plural: ¿De la totalidad de los contratos aportados por el proponente plural, el valor ejecutado de uno de ellos deberá ser igual o superior al 30% del P.O.?  (SI; NO; NA)</v>
      </c>
      <c r="D245" s="388"/>
      <c r="E245" s="388"/>
      <c r="F245" s="388"/>
      <c r="G245" s="389"/>
      <c r="H245" s="190">
        <f>+$H$6</f>
        <v>268.14722506074827</v>
      </c>
      <c r="I245" s="191" t="str">
        <f>+IF(AG231="","",IF(AG231=1,"NA",IF(AND(AG231&gt;1,(COUNTIFS(AD234:AD243,"SI",AE234:AE243,"&gt;0"))&gt;=1),"SI","NO")))</f>
        <v>SI</v>
      </c>
      <c r="J245" s="192"/>
      <c r="K245" s="193"/>
      <c r="L245" s="194"/>
      <c r="M245" s="194"/>
      <c r="N245" s="194"/>
      <c r="O245" s="194"/>
      <c r="P245" s="387" t="str">
        <f>+$P$24</f>
        <v>PROMEDIO FACTURACIÓN MENSUAL DEL PROPONENTE (PFMP)</v>
      </c>
      <c r="Q245" s="388"/>
      <c r="R245" s="388"/>
      <c r="S245" s="388"/>
      <c r="T245" s="195">
        <f t="array" ref="T245">IF(T244=0,0,ROUND(T244/(SUM(IF(FREQUENCY(A234:A243,A234:A243)&gt;0,1))),3))</f>
        <v>119.176</v>
      </c>
      <c r="U245" s="214"/>
      <c r="V245" s="1"/>
      <c r="W245" s="61"/>
      <c r="X245" s="61"/>
      <c r="Y245" s="61"/>
      <c r="Z245" s="61"/>
      <c r="AA245" s="61"/>
      <c r="AB245" s="61"/>
    </row>
    <row r="246" spans="1:34" ht="21" customHeight="1" thickBot="1" x14ac:dyDescent="0.25">
      <c r="B246" s="197" t="str">
        <f>"C"&amp;B231</f>
        <v>C14</v>
      </c>
      <c r="C246" s="349" t="str">
        <f>+$C$25</f>
        <v>PROPONENTE CUMPLE CON LAS ACTIVIDADES a) y b)? (SI; NO)</v>
      </c>
      <c r="D246" s="350"/>
      <c r="E246" s="350"/>
      <c r="F246" s="350"/>
      <c r="G246" s="350"/>
      <c r="H246" s="351"/>
      <c r="I246" s="198" t="str">
        <f>IF(C231="","",(IF(AND(COUNTIFS(X234:X243,"SI",Z234:Z243,"SI")&gt;=$Z$8,COUNTIFS(X234:X243,"SI",AB234:AB243,"SI")&gt;=$Z$8),"SI","NO")))</f>
        <v>SI</v>
      </c>
      <c r="J246" s="199"/>
      <c r="K246" s="200"/>
      <c r="L246" s="200"/>
      <c r="M246" s="200"/>
      <c r="N246" s="200"/>
      <c r="P246" s="378" t="str">
        <f>+$P$25</f>
        <v>VALOR PUNTAJE POR EXPERIENCIA DEL PROPONENTE</v>
      </c>
      <c r="Q246" s="379"/>
      <c r="R246" s="379"/>
      <c r="S246" s="380"/>
      <c r="T246" s="201">
        <f>IF(OR(C231="",'ASIGNACION DE PUNTAJES'!$C$5=""),"",VLOOKUP(B231,'ASIGNACION DE PUNTAJES'!$A$15:$G$69,7,FALSE))</f>
        <v>613.64499999999998</v>
      </c>
      <c r="V246" s="202"/>
    </row>
    <row r="247" spans="1:34" ht="9.75" customHeight="1" thickBot="1" x14ac:dyDescent="0.25">
      <c r="M247" s="84"/>
      <c r="N247" s="84"/>
      <c r="O247" s="84"/>
      <c r="V247" s="21"/>
    </row>
    <row r="248" spans="1:34" ht="36.75" customHeight="1" thickBot="1" x14ac:dyDescent="0.25">
      <c r="B248" s="23">
        <f>1+B231</f>
        <v>15</v>
      </c>
      <c r="C248" s="336" t="s">
        <v>903</v>
      </c>
      <c r="D248" s="337"/>
      <c r="E248" s="337"/>
      <c r="F248" s="337"/>
      <c r="G248" s="337"/>
      <c r="H248" s="337"/>
      <c r="I248" s="338"/>
      <c r="J248" s="24" t="str">
        <f>+IF(C248="","","INTEGRANTES")</f>
        <v>INTEGRANTES</v>
      </c>
      <c r="K248" s="339" t="s">
        <v>904</v>
      </c>
      <c r="L248" s="339"/>
      <c r="M248" s="339"/>
      <c r="N248" s="339"/>
      <c r="O248" s="339"/>
      <c r="P248" s="339"/>
      <c r="Q248" s="339"/>
      <c r="R248" s="396" t="str">
        <f>+$R$10</f>
        <v>PROPONENTE No.</v>
      </c>
      <c r="S248" s="397"/>
      <c r="T248" s="25">
        <f>+B248</f>
        <v>15</v>
      </c>
      <c r="U248" s="161" t="str">
        <f>+$U$10</f>
        <v>PFMP</v>
      </c>
      <c r="V248" s="162">
        <f>IF(T262="",0,T262)</f>
        <v>133.982</v>
      </c>
      <c r="X248" s="325" t="s">
        <v>168</v>
      </c>
      <c r="Z248" s="163" t="str">
        <f>+$Z$10</f>
        <v>EXP. ESPECÍFICA 
A:</v>
      </c>
      <c r="AB248" s="163" t="str">
        <f>+$AB$10</f>
        <v>EXP. ESPECÍFICA 
B:</v>
      </c>
      <c r="AG248" s="1">
        <v>2</v>
      </c>
    </row>
    <row r="249" spans="1:34" ht="42" customHeight="1" x14ac:dyDescent="0.2">
      <c r="B249" s="331" t="str">
        <f>+$B$11</f>
        <v>ITEM</v>
      </c>
      <c r="C249" s="318" t="str">
        <f>+$C$11</f>
        <v>PROPONENTE 
/ 
INTEGRANTE OFERENTE PLURAL</v>
      </c>
      <c r="D249" s="333" t="str">
        <f>+$D$11</f>
        <v>INFORMACIÓN DEL CONTRATO</v>
      </c>
      <c r="E249" s="334"/>
      <c r="F249" s="334"/>
      <c r="G249" s="335"/>
      <c r="H249" s="318" t="str">
        <f>+H232</f>
        <v>CONSECUTIVO RUP</v>
      </c>
      <c r="I249" s="318" t="str">
        <f>+$I$11</f>
        <v>¿SE ENCUENTRA INSCRITO EN EL RUP Y CUMPLE CÓDIGOS UNSPSC?</v>
      </c>
      <c r="J249" s="318" t="str">
        <f>+$J$11</f>
        <v xml:space="preserve">VALOR EN RUP (SMMLV) </v>
      </c>
      <c r="K249" s="318" t="str">
        <f>+$K$11</f>
        <v>% PARTIC en el RUP</v>
      </c>
      <c r="L249" s="318" t="str">
        <f>+$L$11</f>
        <v>VALOR DEL CONTRATO TERMINADO (SMMLV) en el   RUP</v>
      </c>
      <c r="M249" s="318" t="str">
        <f>+$M$11</f>
        <v>FECHA DE INICIO</v>
      </c>
      <c r="N249" s="318" t="str">
        <f>+$N$11</f>
        <v>FECHA DE TERMINACION</v>
      </c>
      <c r="O249" s="318" t="str">
        <f>+$O$11</f>
        <v>PLAZO CONTRA-TO (Meses)</v>
      </c>
      <c r="P249" s="390" t="str">
        <f>+$P$11</f>
        <v>Tsusp i</v>
      </c>
      <c r="Q249" s="391"/>
      <c r="R249" s="392"/>
      <c r="S249" s="318" t="str">
        <f>+$S$11</f>
        <v>PLAZO i REAL</v>
      </c>
      <c r="T249" s="318" t="str">
        <f>+$T$11</f>
        <v>FACTURA-CION MENSUAL PROPO-NENTE</v>
      </c>
      <c r="U249" s="318" t="str">
        <f>+$U$11</f>
        <v>VALIDACIÓN DE LA EXPERIENCIA GENERAL
(SI/NO)</v>
      </c>
      <c r="V249" s="393" t="str">
        <f>+$V$11</f>
        <v>OBSERVACIONES</v>
      </c>
      <c r="X249" s="326"/>
      <c r="Z249" s="381" t="str">
        <f>+$Z$11</f>
        <v>Interventoria a la ejecución de obras relacionadas con Colocación de capas granulares (tales como bases y/o sub-bases granulares).</v>
      </c>
      <c r="AB249" s="381" t="str">
        <f>+$AB$11</f>
        <v>Interventoria a la Ejecución de obras de subdrenaje y/o drenaje, en carreteras.</v>
      </c>
    </row>
    <row r="250" spans="1:34" ht="38.25" customHeight="1" thickBot="1" x14ac:dyDescent="0.25">
      <c r="B250" s="395"/>
      <c r="C250" s="348"/>
      <c r="D250" s="165" t="str">
        <f>+$D$12</f>
        <v>ENTIDAD</v>
      </c>
      <c r="E250" s="165" t="str">
        <f>+$E$12</f>
        <v>No. DE CONTRATO</v>
      </c>
      <c r="F250" s="165" t="str">
        <f>+$F$12</f>
        <v>OBJETO</v>
      </c>
      <c r="G250" s="165" t="str">
        <f>+$G$12</f>
        <v>CONTRATISTA</v>
      </c>
      <c r="H250" s="348"/>
      <c r="I250" s="348"/>
      <c r="J250" s="348"/>
      <c r="K250" s="348"/>
      <c r="L250" s="348"/>
      <c r="M250" s="348"/>
      <c r="N250" s="348"/>
      <c r="O250" s="348"/>
      <c r="P250" s="166" t="str">
        <f>+P233</f>
        <v>Finicsuspi</v>
      </c>
      <c r="Q250" s="166" t="str">
        <f>+Q233</f>
        <v xml:space="preserve"> Ftermsuspi </v>
      </c>
      <c r="R250" s="166" t="str">
        <f>+R233</f>
        <v>Tsusp i (meses)</v>
      </c>
      <c r="S250" s="348"/>
      <c r="T250" s="348"/>
      <c r="U250" s="348"/>
      <c r="V250" s="394"/>
      <c r="X250" s="327"/>
      <c r="Z250" s="381"/>
      <c r="AB250" s="381"/>
    </row>
    <row r="251" spans="1:34" s="27" customFormat="1" ht="86.25" customHeight="1" x14ac:dyDescent="0.2">
      <c r="A251" s="27">
        <f>+IF(T251="","",B251)</f>
        <v>1</v>
      </c>
      <c r="B251" s="28">
        <v>1</v>
      </c>
      <c r="C251" s="86" t="s">
        <v>322</v>
      </c>
      <c r="D251" s="86" t="s">
        <v>323</v>
      </c>
      <c r="E251" s="87" t="s">
        <v>324</v>
      </c>
      <c r="F251" s="87" t="s">
        <v>325</v>
      </c>
      <c r="G251" s="86" t="s">
        <v>326</v>
      </c>
      <c r="H251" s="30">
        <v>11</v>
      </c>
      <c r="I251" s="31" t="s">
        <v>16</v>
      </c>
      <c r="J251" s="32">
        <v>790.11</v>
      </c>
      <c r="K251" s="33">
        <v>0.45</v>
      </c>
      <c r="L251" s="34">
        <f>IF(OR(H251="",I251&lt;&gt;"SI",I251="NO",J251="",J251=0,K251="",K251=0,X251&lt;&gt;"SI"),0,J251*K251)</f>
        <v>355.54950000000002</v>
      </c>
      <c r="M251" s="204">
        <v>41337</v>
      </c>
      <c r="N251" s="204">
        <v>41551</v>
      </c>
      <c r="O251" s="169">
        <f>IF(OR(H251="",I251&lt;&gt;"SI",I251="NO",J251="",J251=0,K251="",K251=0,,M251="",N251=""),"",ROUND((((N251-M251)+1)/30),3))</f>
        <v>7.1669999999999998</v>
      </c>
      <c r="P251" s="204"/>
      <c r="Q251" s="204"/>
      <c r="R251" s="170">
        <f>IF(OR((Q251-P251)=0,P251="",Q251=""),0,(ROUND((((Q251-P251)+1)/30),3)))</f>
        <v>0</v>
      </c>
      <c r="S251" s="171">
        <f>IF(O251="","",ROUND(SUM(O251)-SUM(R251),3))</f>
        <v>7.1669999999999998</v>
      </c>
      <c r="T251" s="172">
        <f>+IF(C251="","",IF(OR(S251="",S251&lt;=0,I251="",I251="NO",U251="",U251="NO",X251="NO"),"",ROUND(SUM(L251)/S251,3)))</f>
        <v>49.609000000000002</v>
      </c>
      <c r="U251" s="35" t="s">
        <v>16</v>
      </c>
      <c r="V251" s="36"/>
      <c r="W251" s="205"/>
      <c r="X251" s="37" t="str">
        <f t="shared" ref="X251:X260" si="112">+IF(C251="","",IF(AND(H251&lt;&gt;"",I251="SI",J251&lt;&gt;"",J251&gt;0,K251&lt;&gt;"",K251&gt;0,S251&lt;&gt;"",S251&gt;0,U251="SI"),"SI","NO"))</f>
        <v>SI</v>
      </c>
      <c r="Z251" s="173" t="s">
        <v>211</v>
      </c>
      <c r="AB251" s="173" t="s">
        <v>16</v>
      </c>
      <c r="AD251" s="10" t="str">
        <f t="shared" ref="AD251:AD260" si="113">+IF($C$248="","",IF(C251="","",IF(L251&gt;=$H$6,"SI","NO")))</f>
        <v>SI</v>
      </c>
      <c r="AE251" s="92">
        <f>+IF(OR($T$251="",X251="",X251="NO"),"",L251)</f>
        <v>355.54950000000002</v>
      </c>
      <c r="AF251" s="92">
        <f>+IF(AE251="","",L251/$S$251)</f>
        <v>49.609250732524075</v>
      </c>
      <c r="AG251" s="174">
        <f>0.1+B248</f>
        <v>15.1</v>
      </c>
      <c r="AH251" s="27" t="s">
        <v>322</v>
      </c>
    </row>
    <row r="252" spans="1:34" s="27" customFormat="1" ht="73.5" customHeight="1" x14ac:dyDescent="0.2">
      <c r="A252" s="27">
        <f t="shared" ref="A252:A260" si="114">+IF(T252="","",B252)</f>
        <v>2</v>
      </c>
      <c r="B252" s="38">
        <v>2</v>
      </c>
      <c r="C252" s="39" t="s">
        <v>79</v>
      </c>
      <c r="D252" s="39" t="s">
        <v>327</v>
      </c>
      <c r="E252" s="46" t="s">
        <v>328</v>
      </c>
      <c r="F252" s="46" t="s">
        <v>329</v>
      </c>
      <c r="G252" s="39" t="s">
        <v>79</v>
      </c>
      <c r="H252" s="40">
        <v>6</v>
      </c>
      <c r="I252" s="41" t="s">
        <v>16</v>
      </c>
      <c r="J252" s="42">
        <v>711.77</v>
      </c>
      <c r="K252" s="43">
        <v>1</v>
      </c>
      <c r="L252" s="44">
        <f t="shared" ref="L252:L260" si="115">IF(OR(H252="",I252&lt;&gt;"SI",I252="NO",J252="",J252=0,K252="",K252=0,X252&lt;&gt;"SI"),0,J252*K252)</f>
        <v>711.77</v>
      </c>
      <c r="M252" s="206">
        <v>35993</v>
      </c>
      <c r="N252" s="206">
        <v>36082</v>
      </c>
      <c r="O252" s="207">
        <f t="shared" ref="O252:O260" si="116">IF(OR(H252="",I252&lt;&gt;"SI",I252="NO",J252="",J252=0,K252="",K252=0,,M252="",N252=""),"",ROUND((((N252-M252)+1)/30),3))</f>
        <v>3</v>
      </c>
      <c r="P252" s="206"/>
      <c r="Q252" s="206"/>
      <c r="R252" s="177">
        <f t="shared" ref="R252:R260" si="117">IF(OR((Q252-P252)=0,P252="",Q252=""),0,(ROUND((((Q252-P252)+1)/30),3)))</f>
        <v>0</v>
      </c>
      <c r="S252" s="178">
        <f t="shared" ref="S252:S260" si="118">IF(O252="","",ROUND(SUM(O252)-SUM(R252),3))</f>
        <v>3</v>
      </c>
      <c r="T252" s="208">
        <f t="shared" ref="T252:T260" si="119">+IF(C252="","",IF(OR(S252="",S252&lt;=0,I252="",I252="NO",U252="",U252="NO",X252="NO"),"",ROUND(SUM(L252)/S252,3)))</f>
        <v>237.25700000000001</v>
      </c>
      <c r="U252" s="41" t="s">
        <v>16</v>
      </c>
      <c r="V252" s="209"/>
      <c r="W252" s="205"/>
      <c r="X252" s="37" t="str">
        <f t="shared" si="112"/>
        <v>SI</v>
      </c>
      <c r="Z252" s="173" t="s">
        <v>16</v>
      </c>
      <c r="AB252" s="173" t="s">
        <v>16</v>
      </c>
      <c r="AD252" s="10" t="str">
        <f t="shared" si="113"/>
        <v>SI</v>
      </c>
      <c r="AE252" s="92">
        <f>+IF(OR($T$252="",X252="",X252="NO"),"",L252)</f>
        <v>711.77</v>
      </c>
      <c r="AF252" s="92">
        <f>+IF(AE252="","",L252/$S$252)</f>
        <v>237.25666666666666</v>
      </c>
      <c r="AG252" s="174">
        <f>0.2+B248</f>
        <v>15.2</v>
      </c>
      <c r="AH252" s="27" t="s">
        <v>79</v>
      </c>
    </row>
    <row r="253" spans="1:34" s="27" customFormat="1" ht="78" customHeight="1" x14ac:dyDescent="0.2">
      <c r="A253" s="27">
        <f t="shared" si="114"/>
        <v>3</v>
      </c>
      <c r="B253" s="38">
        <v>3</v>
      </c>
      <c r="C253" s="39" t="s">
        <v>79</v>
      </c>
      <c r="D253" s="39" t="s">
        <v>330</v>
      </c>
      <c r="E253" s="46" t="s">
        <v>331</v>
      </c>
      <c r="F253" s="46" t="s">
        <v>332</v>
      </c>
      <c r="G253" s="39" t="s">
        <v>79</v>
      </c>
      <c r="H253" s="40">
        <v>11</v>
      </c>
      <c r="I253" s="41" t="s">
        <v>16</v>
      </c>
      <c r="J253" s="42">
        <v>279.99</v>
      </c>
      <c r="K253" s="43">
        <v>1</v>
      </c>
      <c r="L253" s="44">
        <f t="shared" si="115"/>
        <v>279.99</v>
      </c>
      <c r="M253" s="206">
        <v>35989</v>
      </c>
      <c r="N253" s="206">
        <v>36061</v>
      </c>
      <c r="O253" s="207">
        <f t="shared" si="116"/>
        <v>2.4329999999999998</v>
      </c>
      <c r="P253" s="206"/>
      <c r="Q253" s="206"/>
      <c r="R253" s="177">
        <f t="shared" si="117"/>
        <v>0</v>
      </c>
      <c r="S253" s="178">
        <f t="shared" si="118"/>
        <v>2.4329999999999998</v>
      </c>
      <c r="T253" s="208">
        <f t="shared" si="119"/>
        <v>115.08</v>
      </c>
      <c r="U253" s="41" t="s">
        <v>16</v>
      </c>
      <c r="V253" s="45"/>
      <c r="W253" s="205"/>
      <c r="X253" s="37" t="str">
        <f t="shared" si="112"/>
        <v>SI</v>
      </c>
      <c r="Z253" s="173" t="s">
        <v>16</v>
      </c>
      <c r="AB253" s="173" t="s">
        <v>16</v>
      </c>
      <c r="AD253" s="10" t="str">
        <f t="shared" si="113"/>
        <v>SI</v>
      </c>
      <c r="AE253" s="92">
        <f>+IF(OR($T$253="",X253="",X253="NO"),"",L253)</f>
        <v>279.99</v>
      </c>
      <c r="AF253" s="92">
        <f>+IF(AE253="","",L253/$S$253)</f>
        <v>115.08014796547474</v>
      </c>
      <c r="AG253" s="174">
        <f>0.3+B248</f>
        <v>15.3</v>
      </c>
      <c r="AH253" s="27" t="s">
        <v>932</v>
      </c>
    </row>
    <row r="254" spans="1:34" s="27" customFormat="1" ht="12.75" x14ac:dyDescent="0.2">
      <c r="A254" s="27" t="str">
        <f t="shared" si="114"/>
        <v/>
      </c>
      <c r="B254" s="38"/>
      <c r="C254" s="39"/>
      <c r="D254" s="39"/>
      <c r="E254" s="46"/>
      <c r="F254" s="46"/>
      <c r="G254" s="39"/>
      <c r="H254" s="40"/>
      <c r="I254" s="41"/>
      <c r="J254" s="42"/>
      <c r="K254" s="43"/>
      <c r="L254" s="44">
        <f t="shared" si="115"/>
        <v>0</v>
      </c>
      <c r="M254" s="206"/>
      <c r="N254" s="206"/>
      <c r="O254" s="207" t="str">
        <f t="shared" si="116"/>
        <v/>
      </c>
      <c r="P254" s="206"/>
      <c r="Q254" s="206"/>
      <c r="R254" s="177">
        <f t="shared" si="117"/>
        <v>0</v>
      </c>
      <c r="S254" s="178" t="str">
        <f t="shared" si="118"/>
        <v/>
      </c>
      <c r="T254" s="208" t="str">
        <f t="shared" si="119"/>
        <v/>
      </c>
      <c r="U254" s="41"/>
      <c r="V254" s="45"/>
      <c r="W254" s="210"/>
      <c r="X254" s="37" t="str">
        <f t="shared" si="112"/>
        <v/>
      </c>
      <c r="Z254" s="180"/>
      <c r="AB254" s="173"/>
      <c r="AD254" s="10" t="str">
        <f t="shared" si="113"/>
        <v/>
      </c>
      <c r="AE254" s="92" t="str">
        <f>+IF(OR($T$254="",X254="",X254="NO"),"",L254)</f>
        <v/>
      </c>
      <c r="AF254" s="92" t="str">
        <f>+IF(AE254="","",L254/$S$254)</f>
        <v/>
      </c>
      <c r="AG254" s="174"/>
    </row>
    <row r="255" spans="1:34" s="27" customFormat="1" ht="12.75" x14ac:dyDescent="0.2">
      <c r="A255" s="27" t="str">
        <f t="shared" si="114"/>
        <v/>
      </c>
      <c r="B255" s="38"/>
      <c r="C255" s="39"/>
      <c r="D255" s="39"/>
      <c r="E255" s="46"/>
      <c r="F255" s="46"/>
      <c r="G255" s="39"/>
      <c r="H255" s="40"/>
      <c r="I255" s="41"/>
      <c r="J255" s="42"/>
      <c r="K255" s="43"/>
      <c r="L255" s="44">
        <f t="shared" si="115"/>
        <v>0</v>
      </c>
      <c r="M255" s="206"/>
      <c r="N255" s="206"/>
      <c r="O255" s="207" t="str">
        <f t="shared" si="116"/>
        <v/>
      </c>
      <c r="P255" s="206"/>
      <c r="Q255" s="206"/>
      <c r="R255" s="177">
        <f t="shared" si="117"/>
        <v>0</v>
      </c>
      <c r="S255" s="178" t="str">
        <f t="shared" si="118"/>
        <v/>
      </c>
      <c r="T255" s="208" t="str">
        <f t="shared" si="119"/>
        <v/>
      </c>
      <c r="U255" s="41"/>
      <c r="V255" s="45"/>
      <c r="X255" s="37" t="str">
        <f t="shared" si="112"/>
        <v/>
      </c>
      <c r="Z255" s="181"/>
      <c r="AB255" s="173"/>
      <c r="AD255" s="10" t="str">
        <f t="shared" si="113"/>
        <v/>
      </c>
      <c r="AE255" s="92" t="str">
        <f>+IF(OR($T$255="",X255="",X255="NO"),"",L255)</f>
        <v/>
      </c>
      <c r="AF255" s="92" t="str">
        <f>+IF(AE255="","",L255/$S$255)</f>
        <v/>
      </c>
      <c r="AG255" s="174"/>
    </row>
    <row r="256" spans="1:34" s="27" customFormat="1" ht="12.75" x14ac:dyDescent="0.2">
      <c r="A256" s="27" t="str">
        <f t="shared" si="114"/>
        <v/>
      </c>
      <c r="B256" s="38"/>
      <c r="C256" s="39"/>
      <c r="D256" s="39"/>
      <c r="E256" s="46"/>
      <c r="F256" s="46"/>
      <c r="G256" s="39"/>
      <c r="H256" s="40"/>
      <c r="I256" s="41"/>
      <c r="J256" s="42"/>
      <c r="K256" s="43"/>
      <c r="L256" s="44">
        <f t="shared" si="115"/>
        <v>0</v>
      </c>
      <c r="M256" s="206"/>
      <c r="N256" s="206"/>
      <c r="O256" s="207" t="str">
        <f t="shared" si="116"/>
        <v/>
      </c>
      <c r="P256" s="206"/>
      <c r="Q256" s="206"/>
      <c r="R256" s="177">
        <f t="shared" si="117"/>
        <v>0</v>
      </c>
      <c r="S256" s="178" t="str">
        <f t="shared" si="118"/>
        <v/>
      </c>
      <c r="T256" s="208" t="str">
        <f t="shared" si="119"/>
        <v/>
      </c>
      <c r="U256" s="41"/>
      <c r="V256" s="45"/>
      <c r="X256" s="37" t="str">
        <f t="shared" si="112"/>
        <v/>
      </c>
      <c r="Z256" s="181"/>
      <c r="AB256" s="173"/>
      <c r="AD256" s="10" t="str">
        <f t="shared" si="113"/>
        <v/>
      </c>
      <c r="AE256" s="92" t="str">
        <f>+IF(OR($T$256="",X256="",X256="NO"),"",L256)</f>
        <v/>
      </c>
      <c r="AF256" s="92" t="str">
        <f>+IF(AE256="","",L256/$S$256)</f>
        <v/>
      </c>
      <c r="AG256" s="174"/>
    </row>
    <row r="257" spans="1:34" s="27" customFormat="1" ht="12.75" x14ac:dyDescent="0.2">
      <c r="A257" s="27" t="str">
        <f t="shared" si="114"/>
        <v/>
      </c>
      <c r="B257" s="38"/>
      <c r="C257" s="39"/>
      <c r="D257" s="39"/>
      <c r="E257" s="46"/>
      <c r="F257" s="46"/>
      <c r="G257" s="39"/>
      <c r="H257" s="40"/>
      <c r="I257" s="41"/>
      <c r="J257" s="42"/>
      <c r="K257" s="43"/>
      <c r="L257" s="44">
        <f t="shared" si="115"/>
        <v>0</v>
      </c>
      <c r="M257" s="206"/>
      <c r="N257" s="206"/>
      <c r="O257" s="207" t="str">
        <f t="shared" si="116"/>
        <v/>
      </c>
      <c r="P257" s="206"/>
      <c r="Q257" s="206"/>
      <c r="R257" s="177">
        <f t="shared" si="117"/>
        <v>0</v>
      </c>
      <c r="S257" s="178" t="str">
        <f t="shared" si="118"/>
        <v/>
      </c>
      <c r="T257" s="208" t="str">
        <f t="shared" si="119"/>
        <v/>
      </c>
      <c r="U257" s="41"/>
      <c r="V257" s="45"/>
      <c r="X257" s="37" t="str">
        <f t="shared" si="112"/>
        <v/>
      </c>
      <c r="Z257" s="181"/>
      <c r="AB257" s="173"/>
      <c r="AD257" s="10" t="str">
        <f t="shared" si="113"/>
        <v/>
      </c>
      <c r="AE257" s="92" t="str">
        <f>+IF(OR($T$257="",X257="",X257="NO"),"",L257)</f>
        <v/>
      </c>
      <c r="AF257" s="92" t="str">
        <f>+IF(AE257="","",L257/$S$257)</f>
        <v/>
      </c>
      <c r="AG257" s="174"/>
    </row>
    <row r="258" spans="1:34" s="27" customFormat="1" ht="12.75" x14ac:dyDescent="0.2">
      <c r="A258" s="27" t="str">
        <f t="shared" si="114"/>
        <v/>
      </c>
      <c r="B258" s="38"/>
      <c r="C258" s="39"/>
      <c r="D258" s="39"/>
      <c r="E258" s="46"/>
      <c r="F258" s="46"/>
      <c r="G258" s="39"/>
      <c r="H258" s="40"/>
      <c r="I258" s="41"/>
      <c r="J258" s="42"/>
      <c r="K258" s="43"/>
      <c r="L258" s="44">
        <f t="shared" si="115"/>
        <v>0</v>
      </c>
      <c r="M258" s="206"/>
      <c r="N258" s="206"/>
      <c r="O258" s="207" t="str">
        <f t="shared" si="116"/>
        <v/>
      </c>
      <c r="P258" s="206"/>
      <c r="Q258" s="206"/>
      <c r="R258" s="177">
        <f t="shared" si="117"/>
        <v>0</v>
      </c>
      <c r="S258" s="178" t="str">
        <f t="shared" si="118"/>
        <v/>
      </c>
      <c r="T258" s="208" t="str">
        <f t="shared" si="119"/>
        <v/>
      </c>
      <c r="U258" s="41"/>
      <c r="V258" s="45"/>
      <c r="X258" s="37" t="str">
        <f t="shared" si="112"/>
        <v/>
      </c>
      <c r="Z258" s="181"/>
      <c r="AB258" s="173"/>
      <c r="AD258" s="10" t="str">
        <f t="shared" si="113"/>
        <v/>
      </c>
      <c r="AE258" s="92" t="str">
        <f>+IF(OR($T$258="",X258="",X258="NO"),"",L258)</f>
        <v/>
      </c>
      <c r="AF258" s="92" t="str">
        <f>+IF(AE258="","",L258/$S$258)</f>
        <v/>
      </c>
      <c r="AG258" s="174"/>
    </row>
    <row r="259" spans="1:34" s="27" customFormat="1" ht="12.75" x14ac:dyDescent="0.2">
      <c r="A259" s="27" t="str">
        <f t="shared" si="114"/>
        <v/>
      </c>
      <c r="B259" s="38"/>
      <c r="C259" s="39"/>
      <c r="D259" s="39"/>
      <c r="E259" s="46"/>
      <c r="F259" s="46"/>
      <c r="G259" s="39"/>
      <c r="H259" s="40"/>
      <c r="I259" s="41"/>
      <c r="J259" s="42"/>
      <c r="K259" s="43"/>
      <c r="L259" s="44">
        <f t="shared" si="115"/>
        <v>0</v>
      </c>
      <c r="M259" s="206"/>
      <c r="N259" s="206"/>
      <c r="O259" s="207" t="str">
        <f t="shared" si="116"/>
        <v/>
      </c>
      <c r="P259" s="206"/>
      <c r="Q259" s="206"/>
      <c r="R259" s="177">
        <f t="shared" si="117"/>
        <v>0</v>
      </c>
      <c r="S259" s="178" t="str">
        <f t="shared" si="118"/>
        <v/>
      </c>
      <c r="T259" s="208" t="str">
        <f t="shared" si="119"/>
        <v/>
      </c>
      <c r="U259" s="41"/>
      <c r="V259" s="45"/>
      <c r="X259" s="37" t="str">
        <f t="shared" si="112"/>
        <v/>
      </c>
      <c r="Z259" s="181"/>
      <c r="AB259" s="173"/>
      <c r="AD259" s="10" t="str">
        <f t="shared" si="113"/>
        <v/>
      </c>
      <c r="AE259" s="92" t="str">
        <f>+IF(OR($T$259="",X259="",X259="NO"),"",L259)</f>
        <v/>
      </c>
      <c r="AF259" s="92" t="str">
        <f>+IF(AE259="","",L259/$S$259)</f>
        <v/>
      </c>
      <c r="AG259" s="174"/>
    </row>
    <row r="260" spans="1:34" s="27" customFormat="1" ht="13.5" thickBot="1" x14ac:dyDescent="0.25">
      <c r="A260" s="27" t="str">
        <f t="shared" si="114"/>
        <v/>
      </c>
      <c r="B260" s="47"/>
      <c r="C260" s="48"/>
      <c r="D260" s="48"/>
      <c r="E260" s="49"/>
      <c r="F260" s="49"/>
      <c r="G260" s="48"/>
      <c r="H260" s="50"/>
      <c r="I260" s="51"/>
      <c r="J260" s="14"/>
      <c r="K260" s="52"/>
      <c r="L260" s="53">
        <f t="shared" si="115"/>
        <v>0</v>
      </c>
      <c r="M260" s="211"/>
      <c r="N260" s="211"/>
      <c r="O260" s="212" t="str">
        <f t="shared" si="116"/>
        <v/>
      </c>
      <c r="P260" s="211"/>
      <c r="Q260" s="211"/>
      <c r="R260" s="184">
        <f t="shared" si="117"/>
        <v>0</v>
      </c>
      <c r="S260" s="185" t="str">
        <f t="shared" si="118"/>
        <v/>
      </c>
      <c r="T260" s="213" t="str">
        <f t="shared" si="119"/>
        <v/>
      </c>
      <c r="U260" s="51"/>
      <c r="V260" s="54"/>
      <c r="X260" s="55" t="str">
        <f t="shared" si="112"/>
        <v/>
      </c>
      <c r="Z260" s="187"/>
      <c r="AB260" s="188"/>
      <c r="AD260" s="10" t="str">
        <f t="shared" si="113"/>
        <v/>
      </c>
      <c r="AE260" s="92" t="str">
        <f>+IF(OR($T$260="",X260="",X260="NO"),"",L260)</f>
        <v/>
      </c>
      <c r="AF260" s="92" t="str">
        <f>+IF(AE260="","",L260/$S$260)</f>
        <v/>
      </c>
    </row>
    <row r="261" spans="1:34" ht="36" customHeight="1" x14ac:dyDescent="0.2">
      <c r="B261" s="57" t="str">
        <f>"A"&amp;B248</f>
        <v>A15</v>
      </c>
      <c r="C261" s="382" t="str">
        <f>+$C$23</f>
        <v>¿CADA INTEGRANTE DE PROPONENTE PLURAL APORTAN CONTRATO?  (SI; NO; NA)</v>
      </c>
      <c r="D261" s="383"/>
      <c r="E261" s="383"/>
      <c r="F261" s="383"/>
      <c r="G261" s="383"/>
      <c r="H261" s="384"/>
      <c r="I261" s="217" t="str">
        <f>+IF(AG248="","",IF(AG248=1,"NA",IF(AND(AG248=3,(IF(COUNTIFS(C251:C260,AH251,AE251:AE260,"&gt;0")&gt;=1,1,0)+IF(COUNTIFS(C251:C260,AH252,AE251:AE260,"&gt;0")&gt;=1,1,0)+IF(COUNTIFS(C251:C260,AH253,AE251:AE260,"&gt;0")&gt;=1,1,0))&gt;=AG248),"SI",IF(AND(AG248=2,(IF(COUNTIFS(C251:C260,AH251,AE251:AE260,"&gt;0")&gt;=1,1,0)+IF(COUNTIFS(C251:C260,AH252,AE251:AE260,"&gt;0")&gt;=1,1,0))&gt;=AG248),"SI","NO"))))</f>
        <v>SI</v>
      </c>
      <c r="J261" s="59"/>
      <c r="K261" s="27"/>
      <c r="L261" s="27"/>
      <c r="M261" s="27"/>
      <c r="N261" s="27"/>
      <c r="O261" s="27"/>
      <c r="P261" s="385" t="str">
        <f>+$P$23</f>
        <v>FACTURACION MENSUAL TOTAL</v>
      </c>
      <c r="Q261" s="386"/>
      <c r="R261" s="386"/>
      <c r="S261" s="386"/>
      <c r="T261" s="189">
        <f>ROUND(SUM(T251:T260),3)</f>
        <v>401.94600000000003</v>
      </c>
      <c r="U261" s="60"/>
      <c r="V261" s="1"/>
      <c r="W261" s="61"/>
      <c r="X261" s="61"/>
      <c r="Y261" s="61"/>
      <c r="Z261" s="61"/>
      <c r="AA261" s="61"/>
      <c r="AB261" s="61"/>
    </row>
    <row r="262" spans="1:34" ht="38.25" customHeight="1" thickBot="1" x14ac:dyDescent="0.25">
      <c r="B262" s="57" t="str">
        <f>"B"&amp;B248</f>
        <v>B15</v>
      </c>
      <c r="C262" s="387" t="str">
        <f>+C245</f>
        <v>En caso de proponente plural: ¿De la totalidad de los contratos aportados por el proponente plural, el valor ejecutado de uno de ellos deberá ser igual o superior al 30% del P.O.?  (SI; NO; NA)</v>
      </c>
      <c r="D262" s="388"/>
      <c r="E262" s="388"/>
      <c r="F262" s="388"/>
      <c r="G262" s="389"/>
      <c r="H262" s="190">
        <f>+$H$6</f>
        <v>268.14722506074827</v>
      </c>
      <c r="I262" s="191" t="str">
        <f>+IF(AG248="","",IF(AG248=1,"NA",IF(AND(AG248&gt;1,(COUNTIFS(AD251:AD260,"SI",AE251:AE260,"&gt;0"))&gt;=1),"SI","NO")))</f>
        <v>SI</v>
      </c>
      <c r="J262" s="192"/>
      <c r="K262" s="193"/>
      <c r="L262" s="194"/>
      <c r="M262" s="194"/>
      <c r="N262" s="194"/>
      <c r="O262" s="194"/>
      <c r="P262" s="387" t="str">
        <f>+$P$24</f>
        <v>PROMEDIO FACTURACIÓN MENSUAL DEL PROPONENTE (PFMP)</v>
      </c>
      <c r="Q262" s="388"/>
      <c r="R262" s="388"/>
      <c r="S262" s="388"/>
      <c r="T262" s="195">
        <f t="array" ref="T262">IF(T261=0,0,ROUND(T261/(SUM(IF(FREQUENCY(A251:A260,A251:A260)&gt;0,1))),3))</f>
        <v>133.982</v>
      </c>
      <c r="U262" s="214"/>
      <c r="V262" s="1"/>
      <c r="W262" s="61"/>
      <c r="X262" s="61"/>
      <c r="Y262" s="61"/>
      <c r="Z262" s="61"/>
      <c r="AA262" s="61"/>
      <c r="AB262" s="61"/>
    </row>
    <row r="263" spans="1:34" ht="21" customHeight="1" thickBot="1" x14ac:dyDescent="0.25">
      <c r="B263" s="197" t="str">
        <f>"C"&amp;B248</f>
        <v>C15</v>
      </c>
      <c r="C263" s="349" t="str">
        <f>+$C$25</f>
        <v>PROPONENTE CUMPLE CON LAS ACTIVIDADES a) y b)? (SI; NO)</v>
      </c>
      <c r="D263" s="350"/>
      <c r="E263" s="350"/>
      <c r="F263" s="350"/>
      <c r="G263" s="350"/>
      <c r="H263" s="351"/>
      <c r="I263" s="198" t="str">
        <f>IF(C248="","",(IF(AND(COUNTIFS(X251:X260,"SI",Z251:Z260,"SI")&gt;=$Z$8,COUNTIFS(X251:X260,"SI",AB251:AB260,"SI")&gt;=$Z$8),"SI","NO")))</f>
        <v>SI</v>
      </c>
      <c r="J263" s="199"/>
      <c r="K263" s="200"/>
      <c r="L263" s="200"/>
      <c r="M263" s="200"/>
      <c r="N263" s="200"/>
      <c r="P263" s="378" t="str">
        <f>+$P$25</f>
        <v>VALOR PUNTAJE POR EXPERIENCIA DEL PROPONENTE</v>
      </c>
      <c r="Q263" s="379"/>
      <c r="R263" s="379"/>
      <c r="S263" s="380"/>
      <c r="T263" s="201">
        <f>IF(OR(C248="",'ASIGNACION DE PUNTAJES'!$C$5=""),"",VLOOKUP(B248,'ASIGNACION DE PUNTAJES'!$A$15:$G$69,7,FALSE))</f>
        <v>689.88199999999995</v>
      </c>
      <c r="V263" s="202"/>
    </row>
    <row r="264" spans="1:34" ht="9.75" customHeight="1" thickBot="1" x14ac:dyDescent="0.25">
      <c r="M264" s="84"/>
      <c r="N264" s="84"/>
      <c r="O264" s="84"/>
      <c r="V264" s="21"/>
    </row>
    <row r="265" spans="1:34" ht="36.75" customHeight="1" thickBot="1" x14ac:dyDescent="0.25">
      <c r="B265" s="23">
        <f>1+B248</f>
        <v>16</v>
      </c>
      <c r="C265" s="336" t="s">
        <v>905</v>
      </c>
      <c r="D265" s="337"/>
      <c r="E265" s="337"/>
      <c r="F265" s="337"/>
      <c r="G265" s="337"/>
      <c r="H265" s="337"/>
      <c r="I265" s="338"/>
      <c r="J265" s="24" t="str">
        <f>+IF(C265="","","INTEGRANTES")</f>
        <v>INTEGRANTES</v>
      </c>
      <c r="K265" s="339" t="s">
        <v>906</v>
      </c>
      <c r="L265" s="339"/>
      <c r="M265" s="339"/>
      <c r="N265" s="339"/>
      <c r="O265" s="339"/>
      <c r="P265" s="339"/>
      <c r="Q265" s="339"/>
      <c r="R265" s="396" t="str">
        <f>+$R$10</f>
        <v>PROPONENTE No.</v>
      </c>
      <c r="S265" s="397"/>
      <c r="T265" s="25">
        <f>+B265</f>
        <v>16</v>
      </c>
      <c r="U265" s="161" t="str">
        <f>+$U$10</f>
        <v>PFMP</v>
      </c>
      <c r="V265" s="162">
        <f>IF(T279="",0,T279)</f>
        <v>119.19499999999999</v>
      </c>
      <c r="X265" s="325" t="s">
        <v>168</v>
      </c>
      <c r="Z265" s="163" t="str">
        <f>+$Z$10</f>
        <v>EXP. ESPECÍFICA 
A:</v>
      </c>
      <c r="AB265" s="163" t="str">
        <f>+$AB$10</f>
        <v>EXP. ESPECÍFICA 
B:</v>
      </c>
      <c r="AG265" s="1">
        <v>2</v>
      </c>
    </row>
    <row r="266" spans="1:34" ht="42" customHeight="1" x14ac:dyDescent="0.2">
      <c r="B266" s="331" t="str">
        <f>+$B$11</f>
        <v>ITEM</v>
      </c>
      <c r="C266" s="318" t="str">
        <f>+$C$11</f>
        <v>PROPONENTE 
/ 
INTEGRANTE OFERENTE PLURAL</v>
      </c>
      <c r="D266" s="333" t="str">
        <f>+$D$11</f>
        <v>INFORMACIÓN DEL CONTRATO</v>
      </c>
      <c r="E266" s="334"/>
      <c r="F266" s="334"/>
      <c r="G266" s="335"/>
      <c r="H266" s="318" t="str">
        <f>+H249</f>
        <v>CONSECUTIVO RUP</v>
      </c>
      <c r="I266" s="318" t="str">
        <f>+$I$11</f>
        <v>¿SE ENCUENTRA INSCRITO EN EL RUP Y CUMPLE CÓDIGOS UNSPSC?</v>
      </c>
      <c r="J266" s="318" t="str">
        <f>+$J$11</f>
        <v xml:space="preserve">VALOR EN RUP (SMMLV) </v>
      </c>
      <c r="K266" s="318" t="str">
        <f>+$K$11</f>
        <v>% PARTIC en el RUP</v>
      </c>
      <c r="L266" s="318" t="str">
        <f>+$L$11</f>
        <v>VALOR DEL CONTRATO TERMINADO (SMMLV) en el   RUP</v>
      </c>
      <c r="M266" s="318" t="str">
        <f>+$M$11</f>
        <v>FECHA DE INICIO</v>
      </c>
      <c r="N266" s="318" t="str">
        <f>+$N$11</f>
        <v>FECHA DE TERMINACION</v>
      </c>
      <c r="O266" s="318" t="str">
        <f>+$O$11</f>
        <v>PLAZO CONTRA-TO (Meses)</v>
      </c>
      <c r="P266" s="390" t="str">
        <f>+$P$11</f>
        <v>Tsusp i</v>
      </c>
      <c r="Q266" s="391"/>
      <c r="R266" s="392"/>
      <c r="S266" s="318" t="str">
        <f>+$S$11</f>
        <v>PLAZO i REAL</v>
      </c>
      <c r="T266" s="318" t="str">
        <f>+$T$11</f>
        <v>FACTURA-CION MENSUAL PROPO-NENTE</v>
      </c>
      <c r="U266" s="318" t="str">
        <f>+$U$11</f>
        <v>VALIDACIÓN DE LA EXPERIENCIA GENERAL
(SI/NO)</v>
      </c>
      <c r="V266" s="393" t="str">
        <f>+$V$11</f>
        <v>OBSERVACIONES</v>
      </c>
      <c r="X266" s="326"/>
      <c r="Z266" s="381" t="str">
        <f>+$Z$11</f>
        <v>Interventoria a la ejecución de obras relacionadas con Colocación de capas granulares (tales como bases y/o sub-bases granulares).</v>
      </c>
      <c r="AB266" s="381" t="str">
        <f>+$AB$11</f>
        <v>Interventoria a la Ejecución de obras de subdrenaje y/o drenaje, en carreteras.</v>
      </c>
    </row>
    <row r="267" spans="1:34" ht="38.25" customHeight="1" thickBot="1" x14ac:dyDescent="0.25">
      <c r="B267" s="395"/>
      <c r="C267" s="348"/>
      <c r="D267" s="165" t="str">
        <f>+$D$12</f>
        <v>ENTIDAD</v>
      </c>
      <c r="E267" s="165" t="str">
        <f>+$E$12</f>
        <v>No. DE CONTRATO</v>
      </c>
      <c r="F267" s="165" t="str">
        <f>+$F$12</f>
        <v>OBJETO</v>
      </c>
      <c r="G267" s="165" t="str">
        <f>+$G$12</f>
        <v>CONTRATISTA</v>
      </c>
      <c r="H267" s="348"/>
      <c r="I267" s="348"/>
      <c r="J267" s="348"/>
      <c r="K267" s="348"/>
      <c r="L267" s="348"/>
      <c r="M267" s="348"/>
      <c r="N267" s="348"/>
      <c r="O267" s="348"/>
      <c r="P267" s="166" t="str">
        <f>+P250</f>
        <v>Finicsuspi</v>
      </c>
      <c r="Q267" s="166" t="str">
        <f>+Q250</f>
        <v xml:space="preserve"> Ftermsuspi </v>
      </c>
      <c r="R267" s="166" t="str">
        <f>+R250</f>
        <v>Tsusp i (meses)</v>
      </c>
      <c r="S267" s="348"/>
      <c r="T267" s="348"/>
      <c r="U267" s="348"/>
      <c r="V267" s="394"/>
      <c r="X267" s="327"/>
      <c r="Z267" s="381"/>
      <c r="AB267" s="381"/>
    </row>
    <row r="268" spans="1:34" s="27" customFormat="1" ht="48" customHeight="1" x14ac:dyDescent="0.2">
      <c r="A268" s="27">
        <f>+IF(T268="","",B268)</f>
        <v>1</v>
      </c>
      <c r="B268" s="28">
        <v>1</v>
      </c>
      <c r="C268" s="86" t="s">
        <v>84</v>
      </c>
      <c r="D268" s="343" t="s">
        <v>121</v>
      </c>
      <c r="E268" s="345" t="s">
        <v>333</v>
      </c>
      <c r="F268" s="345" t="s">
        <v>334</v>
      </c>
      <c r="G268" s="343" t="s">
        <v>335</v>
      </c>
      <c r="H268" s="30">
        <v>44</v>
      </c>
      <c r="I268" s="31" t="s">
        <v>16</v>
      </c>
      <c r="J268" s="32">
        <v>582.85</v>
      </c>
      <c r="K268" s="33">
        <v>0.5</v>
      </c>
      <c r="L268" s="34">
        <f>IF(OR(H268="",I268&lt;&gt;"SI",I268="NO",J268="",J268=0,K268="",K268=0,X268&lt;&gt;"SI"),0,J268*K268)</f>
        <v>291.42500000000001</v>
      </c>
      <c r="M268" s="204">
        <v>36507</v>
      </c>
      <c r="N268" s="204">
        <v>36751</v>
      </c>
      <c r="O268" s="169">
        <f>IF(OR(H268="",I268&lt;&gt;"SI",I268="NO",J268="",J268=0,K268="",K268=0,,M268="",N268=""),"",ROUND((((N268-M268)+1)/30),3))</f>
        <v>8.1669999999999998</v>
      </c>
      <c r="P268" s="204"/>
      <c r="Q268" s="204"/>
      <c r="R268" s="170">
        <f>IF(OR((Q268-P268)=0,P268="",Q268=""),0,(ROUND((((Q268-P268)+1)/30),3)))</f>
        <v>0</v>
      </c>
      <c r="S268" s="171">
        <f>IF(O268="","",ROUND(SUM(O268)-SUM(R268),3))</f>
        <v>8.1669999999999998</v>
      </c>
      <c r="T268" s="172">
        <f>+IF(C268="","",IF(OR(S268="",S268&lt;=0,I268="",I268="NO",U268="",U268="NO",X268="NO"),"",ROUND(SUM(L268)/S268,3)))</f>
        <v>35.683</v>
      </c>
      <c r="U268" s="35" t="s">
        <v>16</v>
      </c>
      <c r="V268" s="36"/>
      <c r="W268" s="401"/>
      <c r="X268" s="37" t="str">
        <f t="shared" ref="X268:X277" si="120">+IF(C268="","",IF(AND(H268&lt;&gt;"",I268="SI",J268&lt;&gt;"",J268&gt;0,K268&lt;&gt;"",K268&gt;0,S268&lt;&gt;"",S268&gt;0,U268="SI"),"SI","NO"))</f>
        <v>SI</v>
      </c>
      <c r="Z268" s="173" t="s">
        <v>16</v>
      </c>
      <c r="AB268" s="173" t="s">
        <v>16</v>
      </c>
      <c r="AD268" s="10" t="str">
        <f t="shared" ref="AD268:AD277" si="121">+IF($C$265="","",IF(C268="","",IF(L268&gt;=$H$6,"SI","NO")))</f>
        <v>SI</v>
      </c>
      <c r="AE268" s="92">
        <f>+IF(OR($T$268="",X268="",X268="NO"),"",L268)</f>
        <v>291.42500000000001</v>
      </c>
      <c r="AF268" s="92">
        <f>+IF(AE268="","",L268/$S$268)</f>
        <v>35.683237418880864</v>
      </c>
      <c r="AG268" s="174">
        <f>0.1+B265</f>
        <v>16.100000000000001</v>
      </c>
      <c r="AH268" s="27" t="s">
        <v>84</v>
      </c>
    </row>
    <row r="269" spans="1:34" s="27" customFormat="1" ht="48" customHeight="1" x14ac:dyDescent="0.2">
      <c r="A269" s="27">
        <f t="shared" ref="A269:A277" si="122">+IF(T269="","",B269)</f>
        <v>1</v>
      </c>
      <c r="B269" s="38">
        <v>1</v>
      </c>
      <c r="C269" s="39" t="s">
        <v>336</v>
      </c>
      <c r="D269" s="344"/>
      <c r="E269" s="346"/>
      <c r="F269" s="346"/>
      <c r="G269" s="344"/>
      <c r="H269" s="40">
        <v>1</v>
      </c>
      <c r="I269" s="41" t="s">
        <v>16</v>
      </c>
      <c r="J269" s="42">
        <v>582.85</v>
      </c>
      <c r="K269" s="43">
        <v>0.5</v>
      </c>
      <c r="L269" s="44">
        <f t="shared" ref="L269:L277" si="123">IF(OR(H269="",I269&lt;&gt;"SI",I269="NO",J269="",J269=0,K269="",K269=0,X269&lt;&gt;"SI"),0,J269*K269)</f>
        <v>291.42500000000001</v>
      </c>
      <c r="M269" s="206">
        <v>36507</v>
      </c>
      <c r="N269" s="206">
        <v>36751</v>
      </c>
      <c r="O269" s="207">
        <f t="shared" ref="O269:O277" si="124">IF(OR(H269="",I269&lt;&gt;"SI",I269="NO",J269="",J269=0,K269="",K269=0,,M269="",N269=""),"",ROUND((((N269-M269)+1)/30),3))</f>
        <v>8.1669999999999998</v>
      </c>
      <c r="P269" s="206"/>
      <c r="Q269" s="206"/>
      <c r="R269" s="177">
        <f t="shared" ref="R269:R277" si="125">IF(OR((Q269-P269)=0,P269="",Q269=""),0,(ROUND((((Q269-P269)+1)/30),3)))</f>
        <v>0</v>
      </c>
      <c r="S269" s="178">
        <f t="shared" ref="S269:S277" si="126">IF(O269="","",ROUND(SUM(O269)-SUM(R269),3))</f>
        <v>8.1669999999999998</v>
      </c>
      <c r="T269" s="208">
        <f t="shared" ref="T269:T277" si="127">+IF(C269="","",IF(OR(S269="",S269&lt;=0,I269="",I269="NO",U269="",U269="NO",X269="NO"),"",ROUND(SUM(L269)/S269,3)))</f>
        <v>35.683</v>
      </c>
      <c r="U269" s="41" t="s">
        <v>16</v>
      </c>
      <c r="V269" s="209"/>
      <c r="W269" s="401"/>
      <c r="X269" s="37" t="str">
        <f t="shared" si="120"/>
        <v>SI</v>
      </c>
      <c r="Z269" s="173" t="s">
        <v>16</v>
      </c>
      <c r="AB269" s="173" t="s">
        <v>16</v>
      </c>
      <c r="AD269" s="10" t="str">
        <f t="shared" si="121"/>
        <v>SI</v>
      </c>
      <c r="AE269" s="92">
        <f>+IF(OR($T$269="",X269="",X269="NO"),"",L269)</f>
        <v>291.42500000000001</v>
      </c>
      <c r="AF269" s="92">
        <f>+IF(AE269="","",L269/$S$269)</f>
        <v>35.683237418880864</v>
      </c>
      <c r="AG269" s="174">
        <f>0.2+B265</f>
        <v>16.2</v>
      </c>
      <c r="AH269" s="27" t="s">
        <v>336</v>
      </c>
    </row>
    <row r="270" spans="1:34" s="27" customFormat="1" ht="92.25" customHeight="1" x14ac:dyDescent="0.2">
      <c r="A270" s="27">
        <f t="shared" si="122"/>
        <v>2</v>
      </c>
      <c r="B270" s="38">
        <v>2</v>
      </c>
      <c r="C270" s="39" t="s">
        <v>84</v>
      </c>
      <c r="D270" s="39" t="s">
        <v>337</v>
      </c>
      <c r="E270" s="46" t="s">
        <v>338</v>
      </c>
      <c r="F270" s="46" t="s">
        <v>339</v>
      </c>
      <c r="G270" s="39" t="s">
        <v>340</v>
      </c>
      <c r="H270" s="40">
        <v>123</v>
      </c>
      <c r="I270" s="41" t="s">
        <v>16</v>
      </c>
      <c r="J270" s="42">
        <v>1603.85</v>
      </c>
      <c r="K270" s="43">
        <v>0.5</v>
      </c>
      <c r="L270" s="44">
        <f t="shared" si="123"/>
        <v>801.92499999999995</v>
      </c>
      <c r="M270" s="206">
        <v>42248</v>
      </c>
      <c r="N270" s="206">
        <v>42444</v>
      </c>
      <c r="O270" s="207">
        <f t="shared" si="124"/>
        <v>6.5670000000000002</v>
      </c>
      <c r="P270" s="206">
        <v>42412</v>
      </c>
      <c r="Q270" s="206">
        <v>42426</v>
      </c>
      <c r="R270" s="177">
        <f t="shared" si="125"/>
        <v>0.5</v>
      </c>
      <c r="S270" s="178">
        <f t="shared" si="126"/>
        <v>6.0670000000000002</v>
      </c>
      <c r="T270" s="208">
        <f t="shared" si="127"/>
        <v>132.178</v>
      </c>
      <c r="U270" s="41" t="s">
        <v>16</v>
      </c>
      <c r="V270" s="215" t="s">
        <v>244</v>
      </c>
      <c r="W270" s="205"/>
      <c r="X270" s="37" t="str">
        <f t="shared" si="120"/>
        <v>SI</v>
      </c>
      <c r="Z270" s="173" t="s">
        <v>16</v>
      </c>
      <c r="AB270" s="173" t="s">
        <v>211</v>
      </c>
      <c r="AD270" s="10" t="str">
        <f t="shared" si="121"/>
        <v>SI</v>
      </c>
      <c r="AE270" s="92">
        <f>+IF(OR($T$270="",X270="",X270="NO"),"",L270)</f>
        <v>801.92499999999995</v>
      </c>
      <c r="AF270" s="92">
        <f>+IF(AE270="","",L270/$S$270)</f>
        <v>132.17817702324047</v>
      </c>
      <c r="AG270" s="174">
        <f>0.3+B265</f>
        <v>16.3</v>
      </c>
      <c r="AH270" s="27" t="s">
        <v>932</v>
      </c>
    </row>
    <row r="271" spans="1:34" s="27" customFormat="1" ht="31.5" customHeight="1" x14ac:dyDescent="0.2">
      <c r="A271" s="27">
        <f t="shared" si="122"/>
        <v>3</v>
      </c>
      <c r="B271" s="38">
        <v>3</v>
      </c>
      <c r="C271" s="39" t="s">
        <v>84</v>
      </c>
      <c r="D271" s="398" t="s">
        <v>337</v>
      </c>
      <c r="E271" s="399" t="s">
        <v>341</v>
      </c>
      <c r="F271" s="399" t="s">
        <v>342</v>
      </c>
      <c r="G271" s="398" t="s">
        <v>343</v>
      </c>
      <c r="H271" s="40">
        <v>124</v>
      </c>
      <c r="I271" s="41" t="s">
        <v>16</v>
      </c>
      <c r="J271" s="42">
        <v>3463.48</v>
      </c>
      <c r="K271" s="43">
        <v>0.5</v>
      </c>
      <c r="L271" s="44">
        <f t="shared" si="123"/>
        <v>1731.74</v>
      </c>
      <c r="M271" s="206">
        <v>41705</v>
      </c>
      <c r="N271" s="206">
        <v>42461</v>
      </c>
      <c r="O271" s="207">
        <f t="shared" si="124"/>
        <v>25.233000000000001</v>
      </c>
      <c r="P271" s="206">
        <v>41913</v>
      </c>
      <c r="Q271" s="206">
        <v>41966</v>
      </c>
      <c r="R271" s="177">
        <f t="shared" si="125"/>
        <v>1.8</v>
      </c>
      <c r="S271" s="178">
        <f>IF(O271="","",ROUND(SUM(O271)-SUM(R271:R273),3))</f>
        <v>20.132999999999999</v>
      </c>
      <c r="T271" s="208">
        <f t="shared" si="127"/>
        <v>86.015000000000001</v>
      </c>
      <c r="U271" s="41" t="s">
        <v>16</v>
      </c>
      <c r="V271" s="45"/>
      <c r="W271" s="401"/>
      <c r="X271" s="37" t="str">
        <f t="shared" si="120"/>
        <v>SI</v>
      </c>
      <c r="Z271" s="180" t="s">
        <v>16</v>
      </c>
      <c r="AB271" s="173" t="s">
        <v>16</v>
      </c>
      <c r="AD271" s="10" t="str">
        <f t="shared" si="121"/>
        <v>SI</v>
      </c>
      <c r="AE271" s="92">
        <f>+IF(OR($T$271="",X271="",X271="NO"),"",L271)</f>
        <v>1731.74</v>
      </c>
      <c r="AF271" s="92">
        <f>+IF(AE271="","",L271/$S$271)</f>
        <v>86.015000248348485</v>
      </c>
      <c r="AG271" s="174"/>
    </row>
    <row r="272" spans="1:34" s="27" customFormat="1" ht="31.5" customHeight="1" x14ac:dyDescent="0.2">
      <c r="A272" s="27">
        <f t="shared" si="122"/>
        <v>3</v>
      </c>
      <c r="B272" s="38">
        <v>3</v>
      </c>
      <c r="C272" s="39" t="s">
        <v>336</v>
      </c>
      <c r="D272" s="344"/>
      <c r="E272" s="346"/>
      <c r="F272" s="346"/>
      <c r="G272" s="344"/>
      <c r="H272" s="40">
        <v>39</v>
      </c>
      <c r="I272" s="41" t="s">
        <v>16</v>
      </c>
      <c r="J272" s="42">
        <v>3423.91</v>
      </c>
      <c r="K272" s="43">
        <v>0.4</v>
      </c>
      <c r="L272" s="44">
        <f t="shared" si="123"/>
        <v>1369.5640000000001</v>
      </c>
      <c r="M272" s="206">
        <v>41705</v>
      </c>
      <c r="N272" s="206">
        <v>42461</v>
      </c>
      <c r="O272" s="207">
        <f t="shared" si="124"/>
        <v>25.233000000000001</v>
      </c>
      <c r="P272" s="206">
        <v>42135</v>
      </c>
      <c r="Q272" s="206">
        <v>42156</v>
      </c>
      <c r="R272" s="177">
        <f t="shared" si="125"/>
        <v>0.73299999999999998</v>
      </c>
      <c r="S272" s="178">
        <f>IF(O272="","",ROUND(SUM(O272)-SUM(R271:R273),3))</f>
        <v>20.132999999999999</v>
      </c>
      <c r="T272" s="208">
        <f t="shared" si="127"/>
        <v>68.025999999999996</v>
      </c>
      <c r="U272" s="41" t="s">
        <v>16</v>
      </c>
      <c r="V272" s="45"/>
      <c r="W272" s="401"/>
      <c r="X272" s="37" t="str">
        <f t="shared" si="120"/>
        <v>SI</v>
      </c>
      <c r="Z272" s="181" t="s">
        <v>16</v>
      </c>
      <c r="AB272" s="173" t="s">
        <v>16</v>
      </c>
      <c r="AD272" s="10" t="str">
        <f t="shared" si="121"/>
        <v>SI</v>
      </c>
      <c r="AE272" s="92">
        <f>+IF(OR($T$272="",X272="",X272="NO"),"",L272)</f>
        <v>1369.5640000000001</v>
      </c>
      <c r="AF272" s="92">
        <f>+IF(AE272="","",L272/$S$272)</f>
        <v>68.025828242189448</v>
      </c>
      <c r="AG272" s="174"/>
    </row>
    <row r="273" spans="1:34" s="27" customFormat="1" ht="12.75" x14ac:dyDescent="0.2">
      <c r="A273" s="27" t="str">
        <f t="shared" si="122"/>
        <v/>
      </c>
      <c r="B273" s="38"/>
      <c r="C273" s="39"/>
      <c r="D273" s="39"/>
      <c r="E273" s="46"/>
      <c r="F273" s="46"/>
      <c r="G273" s="39"/>
      <c r="H273" s="40"/>
      <c r="I273" s="41"/>
      <c r="J273" s="42"/>
      <c r="K273" s="43"/>
      <c r="L273" s="44">
        <f t="shared" si="123"/>
        <v>0</v>
      </c>
      <c r="M273" s="206"/>
      <c r="N273" s="206"/>
      <c r="O273" s="207" t="str">
        <f t="shared" si="124"/>
        <v/>
      </c>
      <c r="P273" s="206">
        <v>42244</v>
      </c>
      <c r="Q273" s="206">
        <v>42320</v>
      </c>
      <c r="R273" s="177">
        <f t="shared" si="125"/>
        <v>2.5670000000000002</v>
      </c>
      <c r="S273" s="178" t="str">
        <f t="shared" si="126"/>
        <v/>
      </c>
      <c r="T273" s="208" t="str">
        <f t="shared" si="127"/>
        <v/>
      </c>
      <c r="U273" s="41"/>
      <c r="V273" s="45"/>
      <c r="X273" s="37" t="str">
        <f t="shared" si="120"/>
        <v/>
      </c>
      <c r="Z273" s="181"/>
      <c r="AB273" s="173"/>
      <c r="AD273" s="10" t="str">
        <f t="shared" si="121"/>
        <v/>
      </c>
      <c r="AE273" s="92" t="str">
        <f>+IF(OR($T$273="",X273="",X273="NO"),"",L273)</f>
        <v/>
      </c>
      <c r="AF273" s="92" t="str">
        <f>+IF(AE273="","",L273/$S$273)</f>
        <v/>
      </c>
      <c r="AG273" s="174"/>
    </row>
    <row r="274" spans="1:34" s="27" customFormat="1" ht="12.75" x14ac:dyDescent="0.2">
      <c r="A274" s="27" t="str">
        <f t="shared" si="122"/>
        <v/>
      </c>
      <c r="B274" s="38"/>
      <c r="C274" s="39"/>
      <c r="D274" s="39"/>
      <c r="E274" s="46"/>
      <c r="F274" s="46"/>
      <c r="G274" s="39"/>
      <c r="H274" s="40"/>
      <c r="I274" s="41"/>
      <c r="J274" s="42"/>
      <c r="K274" s="43"/>
      <c r="L274" s="44">
        <f t="shared" si="123"/>
        <v>0</v>
      </c>
      <c r="M274" s="206"/>
      <c r="N274" s="206"/>
      <c r="O274" s="207" t="str">
        <f t="shared" si="124"/>
        <v/>
      </c>
      <c r="P274" s="206"/>
      <c r="Q274" s="206"/>
      <c r="R274" s="177">
        <f t="shared" si="125"/>
        <v>0</v>
      </c>
      <c r="S274" s="178" t="str">
        <f t="shared" si="126"/>
        <v/>
      </c>
      <c r="T274" s="208" t="str">
        <f t="shared" si="127"/>
        <v/>
      </c>
      <c r="U274" s="41"/>
      <c r="V274" s="45"/>
      <c r="X274" s="37" t="str">
        <f t="shared" si="120"/>
        <v/>
      </c>
      <c r="Z274" s="181"/>
      <c r="AB274" s="173"/>
      <c r="AD274" s="10" t="str">
        <f t="shared" si="121"/>
        <v/>
      </c>
      <c r="AE274" s="92" t="str">
        <f>+IF(OR($T$274="",X274="",X274="NO"),"",L274)</f>
        <v/>
      </c>
      <c r="AF274" s="92" t="str">
        <f>+IF(AE274="","",L274/$S$274)</f>
        <v/>
      </c>
      <c r="AG274" s="174"/>
    </row>
    <row r="275" spans="1:34" s="27" customFormat="1" ht="12.75" x14ac:dyDescent="0.2">
      <c r="A275" s="27" t="str">
        <f t="shared" si="122"/>
        <v/>
      </c>
      <c r="B275" s="38"/>
      <c r="C275" s="39"/>
      <c r="D275" s="39"/>
      <c r="E275" s="46"/>
      <c r="F275" s="46"/>
      <c r="G275" s="39"/>
      <c r="H275" s="40"/>
      <c r="I275" s="41"/>
      <c r="J275" s="42"/>
      <c r="K275" s="43"/>
      <c r="L275" s="44">
        <f t="shared" si="123"/>
        <v>0</v>
      </c>
      <c r="M275" s="206"/>
      <c r="N275" s="206"/>
      <c r="O275" s="207" t="str">
        <f t="shared" si="124"/>
        <v/>
      </c>
      <c r="P275" s="206"/>
      <c r="Q275" s="206"/>
      <c r="R275" s="177">
        <f t="shared" si="125"/>
        <v>0</v>
      </c>
      <c r="S275" s="178" t="str">
        <f t="shared" si="126"/>
        <v/>
      </c>
      <c r="T275" s="208" t="str">
        <f t="shared" si="127"/>
        <v/>
      </c>
      <c r="U275" s="41"/>
      <c r="V275" s="45"/>
      <c r="X275" s="37" t="str">
        <f t="shared" si="120"/>
        <v/>
      </c>
      <c r="Z275" s="181"/>
      <c r="AB275" s="173"/>
      <c r="AD275" s="10" t="str">
        <f t="shared" si="121"/>
        <v/>
      </c>
      <c r="AE275" s="92" t="str">
        <f>+IF(OR($T$275="",X275="",X275="NO"),"",L275)</f>
        <v/>
      </c>
      <c r="AF275" s="92" t="str">
        <f>+IF(AE275="","",L275/$S$275)</f>
        <v/>
      </c>
      <c r="AG275" s="174"/>
    </row>
    <row r="276" spans="1:34" s="27" customFormat="1" ht="12.75" x14ac:dyDescent="0.2">
      <c r="A276" s="27" t="str">
        <f t="shared" si="122"/>
        <v/>
      </c>
      <c r="B276" s="38"/>
      <c r="C276" s="39"/>
      <c r="D276" s="39"/>
      <c r="E276" s="46"/>
      <c r="F276" s="46"/>
      <c r="G276" s="39"/>
      <c r="H276" s="40"/>
      <c r="I276" s="41"/>
      <c r="J276" s="42"/>
      <c r="K276" s="43"/>
      <c r="L276" s="44">
        <f t="shared" si="123"/>
        <v>0</v>
      </c>
      <c r="M276" s="206"/>
      <c r="N276" s="206"/>
      <c r="O276" s="207" t="str">
        <f t="shared" si="124"/>
        <v/>
      </c>
      <c r="P276" s="206"/>
      <c r="Q276" s="206"/>
      <c r="R276" s="177">
        <f t="shared" si="125"/>
        <v>0</v>
      </c>
      <c r="S276" s="178" t="str">
        <f t="shared" si="126"/>
        <v/>
      </c>
      <c r="T276" s="208" t="str">
        <f t="shared" si="127"/>
        <v/>
      </c>
      <c r="U276" s="41"/>
      <c r="V276" s="45"/>
      <c r="X276" s="37" t="str">
        <f t="shared" si="120"/>
        <v/>
      </c>
      <c r="Z276" s="181"/>
      <c r="AB276" s="173"/>
      <c r="AD276" s="10" t="str">
        <f t="shared" si="121"/>
        <v/>
      </c>
      <c r="AE276" s="92" t="str">
        <f>+IF(OR($T$276="",X276="",X276="NO"),"",L276)</f>
        <v/>
      </c>
      <c r="AF276" s="92" t="str">
        <f>+IF(AE276="","",L276/$S$276)</f>
        <v/>
      </c>
      <c r="AG276" s="174"/>
    </row>
    <row r="277" spans="1:34" s="27" customFormat="1" ht="13.5" thickBot="1" x14ac:dyDescent="0.25">
      <c r="A277" s="27" t="str">
        <f t="shared" si="122"/>
        <v/>
      </c>
      <c r="B277" s="47"/>
      <c r="C277" s="48"/>
      <c r="D277" s="48"/>
      <c r="E277" s="49"/>
      <c r="F277" s="49"/>
      <c r="G277" s="48"/>
      <c r="H277" s="50"/>
      <c r="I277" s="51"/>
      <c r="J277" s="14"/>
      <c r="K277" s="52"/>
      <c r="L277" s="53">
        <f t="shared" si="123"/>
        <v>0</v>
      </c>
      <c r="M277" s="211"/>
      <c r="N277" s="211"/>
      <c r="O277" s="212" t="str">
        <f t="shared" si="124"/>
        <v/>
      </c>
      <c r="P277" s="211"/>
      <c r="Q277" s="211"/>
      <c r="R277" s="184">
        <f t="shared" si="125"/>
        <v>0</v>
      </c>
      <c r="S277" s="185" t="str">
        <f t="shared" si="126"/>
        <v/>
      </c>
      <c r="T277" s="213" t="str">
        <f t="shared" si="127"/>
        <v/>
      </c>
      <c r="U277" s="51"/>
      <c r="V277" s="54"/>
      <c r="X277" s="55" t="str">
        <f t="shared" si="120"/>
        <v/>
      </c>
      <c r="Z277" s="187"/>
      <c r="AB277" s="188"/>
      <c r="AD277" s="10" t="str">
        <f t="shared" si="121"/>
        <v/>
      </c>
      <c r="AE277" s="92" t="str">
        <f>+IF(OR($T$277="",X277="",X277="NO"),"",L277)</f>
        <v/>
      </c>
      <c r="AF277" s="92" t="str">
        <f>+IF(AE277="","",L277/$S$277)</f>
        <v/>
      </c>
    </row>
    <row r="278" spans="1:34" ht="36" customHeight="1" x14ac:dyDescent="0.2">
      <c r="B278" s="57" t="str">
        <f>"A"&amp;B265</f>
        <v>A16</v>
      </c>
      <c r="C278" s="382" t="str">
        <f>+$C$23</f>
        <v>¿CADA INTEGRANTE DE PROPONENTE PLURAL APORTAN CONTRATO?  (SI; NO; NA)</v>
      </c>
      <c r="D278" s="383"/>
      <c r="E278" s="383"/>
      <c r="F278" s="383"/>
      <c r="G278" s="383"/>
      <c r="H278" s="384"/>
      <c r="I278" s="217" t="str">
        <f>+IF(AG265="","",IF(AG265=1,"NA",IF(AND(AG265=3,(IF(COUNTIFS(C268:C277,AH268,AE268:AE277,"&gt;0")&gt;=1,1,0)+IF(COUNTIFS(C268:C277,AH269,AE268:AE277,"&gt;0")&gt;=1,1,0)+IF(COUNTIFS(C268:C277,AH270,AE268:AE277,"&gt;0")&gt;=1,1,0))&gt;=AG265),"SI",IF(AND(AG265=2,(IF(COUNTIFS(C268:C277,AH268,AE268:AE277,"&gt;0")&gt;=1,1,0)+IF(COUNTIFS(C268:C277,AH269,AE268:AE277,"&gt;0")&gt;=1,1,0))&gt;=AG265),"SI","NO"))))</f>
        <v>SI</v>
      </c>
      <c r="J278" s="59"/>
      <c r="K278" s="27"/>
      <c r="L278" s="27"/>
      <c r="M278" s="27"/>
      <c r="N278" s="27"/>
      <c r="O278" s="27"/>
      <c r="P278" s="385" t="str">
        <f>+$P$23</f>
        <v>FACTURACION MENSUAL TOTAL</v>
      </c>
      <c r="Q278" s="386"/>
      <c r="R278" s="386"/>
      <c r="S278" s="386"/>
      <c r="T278" s="189">
        <f>ROUND(SUM(T268:T277),3)</f>
        <v>357.58499999999998</v>
      </c>
      <c r="U278" s="60"/>
      <c r="V278" s="1"/>
      <c r="W278" s="61"/>
      <c r="X278" s="61"/>
      <c r="Y278" s="61"/>
      <c r="Z278" s="61"/>
      <c r="AA278" s="61"/>
      <c r="AB278" s="61"/>
    </row>
    <row r="279" spans="1:34" ht="38.25" customHeight="1" thickBot="1" x14ac:dyDescent="0.25">
      <c r="B279" s="57" t="str">
        <f>"B"&amp;B265</f>
        <v>B16</v>
      </c>
      <c r="C279" s="387" t="str">
        <f>+C262</f>
        <v>En caso de proponente plural: ¿De la totalidad de los contratos aportados por el proponente plural, el valor ejecutado de uno de ellos deberá ser igual o superior al 30% del P.O.?  (SI; NO; NA)</v>
      </c>
      <c r="D279" s="388"/>
      <c r="E279" s="388"/>
      <c r="F279" s="388"/>
      <c r="G279" s="389"/>
      <c r="H279" s="190">
        <f>+$H$6</f>
        <v>268.14722506074827</v>
      </c>
      <c r="I279" s="191" t="str">
        <f>+IF(AG265="","",IF(AG265=1,"NA",IF(AND(AG265&gt;1,(COUNTIFS(AD268:AD277,"SI",AE268:AE277,"&gt;0"))&gt;=1),"SI","NO")))</f>
        <v>SI</v>
      </c>
      <c r="J279" s="192"/>
      <c r="K279" s="193"/>
      <c r="L279" s="194"/>
      <c r="M279" s="194"/>
      <c r="N279" s="194"/>
      <c r="O279" s="194"/>
      <c r="P279" s="387" t="str">
        <f>+$P$24</f>
        <v>PROMEDIO FACTURACIÓN MENSUAL DEL PROPONENTE (PFMP)</v>
      </c>
      <c r="Q279" s="388"/>
      <c r="R279" s="388"/>
      <c r="S279" s="388"/>
      <c r="T279" s="195">
        <f t="array" ref="T279">IF(T278=0,0,ROUND(T278/(SUM(IF(FREQUENCY(A268:A277,A268:A277)&gt;0,1))),3))</f>
        <v>119.19499999999999</v>
      </c>
      <c r="U279" s="214"/>
      <c r="V279" s="1"/>
      <c r="W279" s="61"/>
      <c r="X279" s="61"/>
      <c r="Y279" s="61"/>
      <c r="Z279" s="61"/>
      <c r="AA279" s="61"/>
      <c r="AB279" s="61"/>
    </row>
    <row r="280" spans="1:34" ht="21" customHeight="1" thickBot="1" x14ac:dyDescent="0.25">
      <c r="B280" s="197" t="str">
        <f>"C"&amp;B265</f>
        <v>C16</v>
      </c>
      <c r="C280" s="349" t="str">
        <f>+$C$25</f>
        <v>PROPONENTE CUMPLE CON LAS ACTIVIDADES a) y b)? (SI; NO)</v>
      </c>
      <c r="D280" s="350"/>
      <c r="E280" s="350"/>
      <c r="F280" s="350"/>
      <c r="G280" s="350"/>
      <c r="H280" s="351"/>
      <c r="I280" s="198" t="str">
        <f>IF(C265="","",(IF(AND(COUNTIFS(X268:X277,"SI",Z268:Z277,"SI")&gt;=$Z$8,COUNTIFS(X268:X277,"SI",AB268:AB277,"SI")&gt;=$Z$8),"SI","NO")))</f>
        <v>SI</v>
      </c>
      <c r="J280" s="199"/>
      <c r="K280" s="200"/>
      <c r="L280" s="200"/>
      <c r="M280" s="200"/>
      <c r="N280" s="200"/>
      <c r="P280" s="378" t="str">
        <f>+$P$25</f>
        <v>VALOR PUNTAJE POR EXPERIENCIA DEL PROPONENTE</v>
      </c>
      <c r="Q280" s="379"/>
      <c r="R280" s="379"/>
      <c r="S280" s="380"/>
      <c r="T280" s="201">
        <f>IF(OR(C265="",'ASIGNACION DE PUNTAJES'!$C$5=""),"",VLOOKUP(B265,'ASIGNACION DE PUNTAJES'!$A$15:$G$69,7,FALSE))</f>
        <v>613.74199999999996</v>
      </c>
      <c r="V280" s="202"/>
    </row>
    <row r="281" spans="1:34" ht="9.75" customHeight="1" thickBot="1" x14ac:dyDescent="0.25">
      <c r="M281" s="84"/>
      <c r="N281" s="84"/>
      <c r="O281" s="84"/>
      <c r="V281" s="21"/>
    </row>
    <row r="282" spans="1:34" ht="36.75" customHeight="1" thickBot="1" x14ac:dyDescent="0.25">
      <c r="B282" s="23">
        <f>1+B265</f>
        <v>17</v>
      </c>
      <c r="C282" s="336" t="s">
        <v>907</v>
      </c>
      <c r="D282" s="337"/>
      <c r="E282" s="337"/>
      <c r="F282" s="337"/>
      <c r="G282" s="337"/>
      <c r="H282" s="337"/>
      <c r="I282" s="338"/>
      <c r="J282" s="24" t="str">
        <f>+IF(C282="","","INTEGRANTES")</f>
        <v>INTEGRANTES</v>
      </c>
      <c r="K282" s="339" t="s">
        <v>908</v>
      </c>
      <c r="L282" s="339"/>
      <c r="M282" s="339"/>
      <c r="N282" s="339"/>
      <c r="O282" s="339"/>
      <c r="P282" s="339"/>
      <c r="Q282" s="339"/>
      <c r="R282" s="396" t="str">
        <f>+$R$10</f>
        <v>PROPONENTE No.</v>
      </c>
      <c r="S282" s="397"/>
      <c r="T282" s="25">
        <f>+B282</f>
        <v>17</v>
      </c>
      <c r="U282" s="161" t="str">
        <f>+$U$10</f>
        <v>PFMP</v>
      </c>
      <c r="V282" s="162">
        <f>IF(T296="",0,T296)</f>
        <v>134.17599999999999</v>
      </c>
      <c r="X282" s="325" t="s">
        <v>168</v>
      </c>
      <c r="Z282" s="163" t="str">
        <f>+$Z$10</f>
        <v>EXP. ESPECÍFICA 
A:</v>
      </c>
      <c r="AB282" s="163" t="str">
        <f>+$AB$10</f>
        <v>EXP. ESPECÍFICA 
B:</v>
      </c>
      <c r="AG282" s="1">
        <v>2</v>
      </c>
    </row>
    <row r="283" spans="1:34" ht="42" customHeight="1" x14ac:dyDescent="0.2">
      <c r="B283" s="331" t="str">
        <f>+$B$11</f>
        <v>ITEM</v>
      </c>
      <c r="C283" s="318" t="str">
        <f>+$C$11</f>
        <v>PROPONENTE 
/ 
INTEGRANTE OFERENTE PLURAL</v>
      </c>
      <c r="D283" s="333" t="str">
        <f>+$D$11</f>
        <v>INFORMACIÓN DEL CONTRATO</v>
      </c>
      <c r="E283" s="334"/>
      <c r="F283" s="334"/>
      <c r="G283" s="335"/>
      <c r="H283" s="318" t="str">
        <f>+H266</f>
        <v>CONSECUTIVO RUP</v>
      </c>
      <c r="I283" s="318" t="str">
        <f>+$I$11</f>
        <v>¿SE ENCUENTRA INSCRITO EN EL RUP Y CUMPLE CÓDIGOS UNSPSC?</v>
      </c>
      <c r="J283" s="318" t="str">
        <f>+$J$11</f>
        <v xml:space="preserve">VALOR EN RUP (SMMLV) </v>
      </c>
      <c r="K283" s="318" t="str">
        <f>+$K$11</f>
        <v>% PARTIC en el RUP</v>
      </c>
      <c r="L283" s="318" t="str">
        <f>+$L$11</f>
        <v>VALOR DEL CONTRATO TERMINADO (SMMLV) en el   RUP</v>
      </c>
      <c r="M283" s="318" t="str">
        <f>+$M$11</f>
        <v>FECHA DE INICIO</v>
      </c>
      <c r="N283" s="318" t="str">
        <f>+$N$11</f>
        <v>FECHA DE TERMINACION</v>
      </c>
      <c r="O283" s="318" t="str">
        <f>+$O$11</f>
        <v>PLAZO CONTRA-TO (Meses)</v>
      </c>
      <c r="P283" s="390" t="str">
        <f>+$P$11</f>
        <v>Tsusp i</v>
      </c>
      <c r="Q283" s="391"/>
      <c r="R283" s="392"/>
      <c r="S283" s="318" t="str">
        <f>+$S$11</f>
        <v>PLAZO i REAL</v>
      </c>
      <c r="T283" s="318" t="str">
        <f>+$T$11</f>
        <v>FACTURA-CION MENSUAL PROPO-NENTE</v>
      </c>
      <c r="U283" s="318" t="str">
        <f>+$U$11</f>
        <v>VALIDACIÓN DE LA EXPERIENCIA GENERAL
(SI/NO)</v>
      </c>
      <c r="V283" s="393" t="str">
        <f>+$V$11</f>
        <v>OBSERVACIONES</v>
      </c>
      <c r="X283" s="326"/>
      <c r="Z283" s="381" t="str">
        <f>+$Z$11</f>
        <v>Interventoria a la ejecución de obras relacionadas con Colocación de capas granulares (tales como bases y/o sub-bases granulares).</v>
      </c>
      <c r="AB283" s="381" t="str">
        <f>+$AB$11</f>
        <v>Interventoria a la Ejecución de obras de subdrenaje y/o drenaje, en carreteras.</v>
      </c>
    </row>
    <row r="284" spans="1:34" ht="38.25" customHeight="1" thickBot="1" x14ac:dyDescent="0.25">
      <c r="B284" s="395"/>
      <c r="C284" s="348"/>
      <c r="D284" s="165" t="str">
        <f>+$D$12</f>
        <v>ENTIDAD</v>
      </c>
      <c r="E284" s="165" t="str">
        <f>+$E$12</f>
        <v>No. DE CONTRATO</v>
      </c>
      <c r="F284" s="165" t="str">
        <f>+$F$12</f>
        <v>OBJETO</v>
      </c>
      <c r="G284" s="165" t="str">
        <f>+$G$12</f>
        <v>CONTRATISTA</v>
      </c>
      <c r="H284" s="348"/>
      <c r="I284" s="348"/>
      <c r="J284" s="348"/>
      <c r="K284" s="348"/>
      <c r="L284" s="348"/>
      <c r="M284" s="348"/>
      <c r="N284" s="348"/>
      <c r="O284" s="348"/>
      <c r="P284" s="166" t="str">
        <f>+P267</f>
        <v>Finicsuspi</v>
      </c>
      <c r="Q284" s="166" t="str">
        <f>+Q267</f>
        <v xml:space="preserve"> Ftermsuspi </v>
      </c>
      <c r="R284" s="166" t="str">
        <f>+R267</f>
        <v>Tsusp i (meses)</v>
      </c>
      <c r="S284" s="348"/>
      <c r="T284" s="348"/>
      <c r="U284" s="348"/>
      <c r="V284" s="394"/>
      <c r="X284" s="327"/>
      <c r="Z284" s="381"/>
      <c r="AB284" s="381"/>
    </row>
    <row r="285" spans="1:34" s="27" customFormat="1" ht="107.25" customHeight="1" x14ac:dyDescent="0.2">
      <c r="A285" s="27">
        <f>+IF(T285="","",B285)</f>
        <v>1</v>
      </c>
      <c r="B285" s="28">
        <v>1</v>
      </c>
      <c r="C285" s="86" t="s">
        <v>89</v>
      </c>
      <c r="D285" s="86" t="s">
        <v>344</v>
      </c>
      <c r="E285" s="87" t="s">
        <v>345</v>
      </c>
      <c r="F285" s="87" t="s">
        <v>346</v>
      </c>
      <c r="G285" s="86" t="s">
        <v>89</v>
      </c>
      <c r="H285" s="30">
        <v>26</v>
      </c>
      <c r="I285" s="31" t="s">
        <v>16</v>
      </c>
      <c r="J285" s="32">
        <v>4872.37</v>
      </c>
      <c r="K285" s="33">
        <v>1</v>
      </c>
      <c r="L285" s="34">
        <f>IF(OR(H285="",I285&lt;&gt;"SI",I285="NO",J285="",J285=0,K285="",K285=0,X285&lt;&gt;"SI"),0,J285*K285)</f>
        <v>4872.37</v>
      </c>
      <c r="M285" s="204">
        <v>41614</v>
      </c>
      <c r="N285" s="204">
        <v>42563</v>
      </c>
      <c r="O285" s="169">
        <f>IF(OR(H285="",I285&lt;&gt;"SI",I285="NO",J285="",J285=0,K285="",K285=0,,M285="",N285=""),"",ROUND((((N285-M285)+1)/30),3))</f>
        <v>31.667000000000002</v>
      </c>
      <c r="P285" s="204">
        <v>42327</v>
      </c>
      <c r="Q285" s="204">
        <v>42381</v>
      </c>
      <c r="R285" s="170">
        <f>IF(OR((Q285-P285)=0,P285="",Q285=""),0,(ROUND((((Q285-P285)+1)/30),3)))</f>
        <v>1.833</v>
      </c>
      <c r="S285" s="171">
        <f>IF(O285="","",ROUND(SUM(O285)-SUM(R285),3))</f>
        <v>29.834</v>
      </c>
      <c r="T285" s="172">
        <f>+IF(C285="","",IF(OR(S285="",S285&lt;=0,I285="",I285="NO",U285="",U285="NO",X285="NO"),"",ROUND(SUM(L285)/S285,3)))</f>
        <v>163.316</v>
      </c>
      <c r="U285" s="35" t="s">
        <v>16</v>
      </c>
      <c r="V285" s="36"/>
      <c r="W285" s="205"/>
      <c r="X285" s="37" t="str">
        <f t="shared" ref="X285:X294" si="128">+IF(C285="","",IF(AND(H285&lt;&gt;"",I285="SI",J285&lt;&gt;"",J285&gt;0,K285&lt;&gt;"",K285&gt;0,S285&lt;&gt;"",S285&gt;0,U285="SI"),"SI","NO"))</f>
        <v>SI</v>
      </c>
      <c r="Z285" s="173" t="s">
        <v>211</v>
      </c>
      <c r="AB285" s="173" t="s">
        <v>16</v>
      </c>
      <c r="AD285" s="10" t="str">
        <f t="shared" ref="AD285:AD294" si="129">+IF($C$282="","",IF(C285="","",IF(L285&gt;=$H$6,"SI","NO")))</f>
        <v>SI</v>
      </c>
      <c r="AE285" s="92">
        <f>+IF(OR($T$285="",X285="",X285="NO"),"",L285)</f>
        <v>4872.37</v>
      </c>
      <c r="AF285" s="92">
        <f>+IF(AE285="","",L285/$S$285)</f>
        <v>163.31601528457463</v>
      </c>
      <c r="AG285" s="174">
        <f>0.1+B282</f>
        <v>17.100000000000001</v>
      </c>
      <c r="AH285" s="27" t="s">
        <v>347</v>
      </c>
    </row>
    <row r="286" spans="1:34" s="27" customFormat="1" ht="70.5" customHeight="1" x14ac:dyDescent="0.2">
      <c r="A286" s="27">
        <f t="shared" ref="A286:A294" si="130">+IF(T286="","",B286)</f>
        <v>2</v>
      </c>
      <c r="B286" s="38">
        <v>2</v>
      </c>
      <c r="C286" s="39" t="s">
        <v>347</v>
      </c>
      <c r="D286" s="39" t="s">
        <v>348</v>
      </c>
      <c r="E286" s="46" t="s">
        <v>349</v>
      </c>
      <c r="F286" s="46" t="s">
        <v>350</v>
      </c>
      <c r="G286" s="39" t="s">
        <v>347</v>
      </c>
      <c r="H286" s="40">
        <v>85</v>
      </c>
      <c r="I286" s="41" t="s">
        <v>16</v>
      </c>
      <c r="J286" s="42">
        <v>1400.66</v>
      </c>
      <c r="K286" s="43">
        <v>1</v>
      </c>
      <c r="L286" s="44">
        <f t="shared" ref="L286:L294" si="131">IF(OR(H286="",I286&lt;&gt;"SI",I286="NO",J286="",J286=0,K286="",K286=0,X286&lt;&gt;"SI"),0,J286*K286)</f>
        <v>1400.66</v>
      </c>
      <c r="M286" s="206">
        <v>42614</v>
      </c>
      <c r="N286" s="206">
        <v>42902</v>
      </c>
      <c r="O286" s="207">
        <f t="shared" ref="O286:O294" si="132">IF(OR(H286="",I286&lt;&gt;"SI",I286="NO",J286="",J286=0,K286="",K286=0,,M286="",N286=""),"",ROUND((((N286-M286)+1)/30),3))</f>
        <v>9.6329999999999991</v>
      </c>
      <c r="P286" s="206"/>
      <c r="Q286" s="206"/>
      <c r="R286" s="177">
        <f t="shared" ref="R286:R294" si="133">IF(OR((Q286-P286)=0,P286="",Q286=""),0,(ROUND((((Q286-P286)+1)/30),3)))</f>
        <v>0</v>
      </c>
      <c r="S286" s="178">
        <f t="shared" ref="S286:S294" si="134">IF(O286="","",ROUND(SUM(O286)-SUM(R286),3))</f>
        <v>9.6329999999999991</v>
      </c>
      <c r="T286" s="208">
        <f t="shared" ref="T286:T294" si="135">+IF(C286="","",IF(OR(S286="",S286&lt;=0,I286="",I286="NO",U286="",U286="NO",X286="NO"),"",ROUND(SUM(L286)/S286,3)))</f>
        <v>145.40199999999999</v>
      </c>
      <c r="U286" s="41" t="s">
        <v>16</v>
      </c>
      <c r="V286" s="209"/>
      <c r="W286" s="205"/>
      <c r="X286" s="37" t="str">
        <f t="shared" si="128"/>
        <v>SI</v>
      </c>
      <c r="Z286" s="173" t="s">
        <v>211</v>
      </c>
      <c r="AB286" s="173" t="s">
        <v>211</v>
      </c>
      <c r="AD286" s="10" t="str">
        <f t="shared" si="129"/>
        <v>SI</v>
      </c>
      <c r="AE286" s="92">
        <f>+IF(OR($T$286="",X286="",X286="NO"),"",L286)</f>
        <v>1400.66</v>
      </c>
      <c r="AF286" s="92">
        <f>+IF(AE286="","",L286/$S$286)</f>
        <v>145.40226305408493</v>
      </c>
      <c r="AG286" s="174">
        <f>0.2+B282</f>
        <v>17.2</v>
      </c>
      <c r="AH286" s="27" t="s">
        <v>89</v>
      </c>
    </row>
    <row r="287" spans="1:34" s="27" customFormat="1" ht="69" customHeight="1" x14ac:dyDescent="0.2">
      <c r="A287" s="27">
        <f t="shared" si="130"/>
        <v>3</v>
      </c>
      <c r="B287" s="38">
        <v>3</v>
      </c>
      <c r="C287" s="39" t="s">
        <v>347</v>
      </c>
      <c r="D287" s="39" t="s">
        <v>66</v>
      </c>
      <c r="E287" s="46" t="s">
        <v>351</v>
      </c>
      <c r="F287" s="46" t="s">
        <v>352</v>
      </c>
      <c r="G287" s="39" t="s">
        <v>353</v>
      </c>
      <c r="H287" s="40">
        <v>51</v>
      </c>
      <c r="I287" s="41" t="s">
        <v>16</v>
      </c>
      <c r="J287" s="42">
        <v>3179.1</v>
      </c>
      <c r="K287" s="43">
        <v>0.6</v>
      </c>
      <c r="L287" s="44">
        <f t="shared" si="131"/>
        <v>1907.4599999999998</v>
      </c>
      <c r="M287" s="206">
        <v>39937</v>
      </c>
      <c r="N287" s="206">
        <v>40785</v>
      </c>
      <c r="O287" s="207">
        <f t="shared" si="132"/>
        <v>28.3</v>
      </c>
      <c r="P287" s="206">
        <v>40253</v>
      </c>
      <c r="Q287" s="206">
        <v>40440</v>
      </c>
      <c r="R287" s="177">
        <f t="shared" si="133"/>
        <v>6.2670000000000003</v>
      </c>
      <c r="S287" s="178">
        <f>IF(O287="","",ROUND(SUM(O287)-SUM(R287:R288),3))</f>
        <v>20.332999999999998</v>
      </c>
      <c r="T287" s="208">
        <f t="shared" si="135"/>
        <v>93.811000000000007</v>
      </c>
      <c r="U287" s="41" t="s">
        <v>16</v>
      </c>
      <c r="V287" s="45"/>
      <c r="W287" s="205"/>
      <c r="X287" s="37" t="str">
        <f t="shared" si="128"/>
        <v>SI</v>
      </c>
      <c r="Z287" s="173" t="s">
        <v>16</v>
      </c>
      <c r="AB287" s="173" t="s">
        <v>16</v>
      </c>
      <c r="AD287" s="10" t="str">
        <f t="shared" si="129"/>
        <v>SI</v>
      </c>
      <c r="AE287" s="92">
        <f>+IF(OR($T$287="",X287="",X287="NO"),"",L287)</f>
        <v>1907.4599999999998</v>
      </c>
      <c r="AF287" s="92">
        <f>+IF(AE287="","",L287/$S$287)</f>
        <v>93.811046082722669</v>
      </c>
      <c r="AG287" s="174">
        <f>0.3+B282</f>
        <v>17.3</v>
      </c>
      <c r="AH287" s="27" t="s">
        <v>932</v>
      </c>
    </row>
    <row r="288" spans="1:34" s="27" customFormat="1" ht="12.75" x14ac:dyDescent="0.2">
      <c r="A288" s="27" t="str">
        <f t="shared" si="130"/>
        <v/>
      </c>
      <c r="B288" s="38"/>
      <c r="C288" s="39"/>
      <c r="D288" s="39"/>
      <c r="E288" s="46"/>
      <c r="F288" s="46"/>
      <c r="G288" s="39"/>
      <c r="H288" s="40"/>
      <c r="I288" s="41"/>
      <c r="J288" s="42"/>
      <c r="K288" s="43"/>
      <c r="L288" s="44">
        <f t="shared" si="131"/>
        <v>0</v>
      </c>
      <c r="M288" s="206"/>
      <c r="N288" s="206"/>
      <c r="O288" s="207" t="str">
        <f t="shared" si="132"/>
        <v/>
      </c>
      <c r="P288" s="206">
        <v>40714</v>
      </c>
      <c r="Q288" s="206">
        <v>40764</v>
      </c>
      <c r="R288" s="177">
        <f t="shared" si="133"/>
        <v>1.7</v>
      </c>
      <c r="S288" s="178" t="str">
        <f t="shared" si="134"/>
        <v/>
      </c>
      <c r="T288" s="208" t="str">
        <f t="shared" si="135"/>
        <v/>
      </c>
      <c r="U288" s="41"/>
      <c r="V288" s="45"/>
      <c r="W288" s="210"/>
      <c r="X288" s="37" t="str">
        <f t="shared" si="128"/>
        <v/>
      </c>
      <c r="Z288" s="180"/>
      <c r="AB288" s="173"/>
      <c r="AD288" s="10" t="str">
        <f t="shared" si="129"/>
        <v/>
      </c>
      <c r="AE288" s="92" t="str">
        <f>+IF(OR($T$288="",X288="",X288="NO"),"",L288)</f>
        <v/>
      </c>
      <c r="AF288" s="92" t="str">
        <f>+IF(AE288="","",L288/$S$288)</f>
        <v/>
      </c>
      <c r="AG288" s="174"/>
    </row>
    <row r="289" spans="1:34" s="27" customFormat="1" ht="12.75" x14ac:dyDescent="0.2">
      <c r="A289" s="27" t="str">
        <f t="shared" si="130"/>
        <v/>
      </c>
      <c r="B289" s="38"/>
      <c r="C289" s="39"/>
      <c r="D289" s="39"/>
      <c r="E289" s="46"/>
      <c r="F289" s="46"/>
      <c r="G289" s="39"/>
      <c r="H289" s="40"/>
      <c r="I289" s="41"/>
      <c r="J289" s="42"/>
      <c r="K289" s="43"/>
      <c r="L289" s="44">
        <f t="shared" si="131"/>
        <v>0</v>
      </c>
      <c r="M289" s="206"/>
      <c r="N289" s="206"/>
      <c r="O289" s="207" t="str">
        <f t="shared" si="132"/>
        <v/>
      </c>
      <c r="P289" s="206"/>
      <c r="Q289" s="206"/>
      <c r="R289" s="177">
        <f t="shared" si="133"/>
        <v>0</v>
      </c>
      <c r="S289" s="178" t="str">
        <f t="shared" si="134"/>
        <v/>
      </c>
      <c r="T289" s="208" t="str">
        <f t="shared" si="135"/>
        <v/>
      </c>
      <c r="U289" s="41"/>
      <c r="V289" s="45"/>
      <c r="X289" s="37" t="str">
        <f t="shared" si="128"/>
        <v/>
      </c>
      <c r="Z289" s="181"/>
      <c r="AB289" s="173"/>
      <c r="AD289" s="10" t="str">
        <f t="shared" si="129"/>
        <v/>
      </c>
      <c r="AE289" s="92" t="str">
        <f>+IF(OR($T$289="",X289="",X289="NO"),"",L289)</f>
        <v/>
      </c>
      <c r="AF289" s="92" t="str">
        <f>+IF(AE289="","",L289/$S$289)</f>
        <v/>
      </c>
      <c r="AG289" s="174"/>
    </row>
    <row r="290" spans="1:34" s="27" customFormat="1" ht="12.75" x14ac:dyDescent="0.2">
      <c r="A290" s="27" t="str">
        <f t="shared" si="130"/>
        <v/>
      </c>
      <c r="B290" s="38"/>
      <c r="C290" s="39"/>
      <c r="D290" s="39"/>
      <c r="E290" s="46"/>
      <c r="F290" s="46"/>
      <c r="G290" s="39"/>
      <c r="H290" s="40"/>
      <c r="I290" s="41"/>
      <c r="J290" s="42"/>
      <c r="K290" s="43"/>
      <c r="L290" s="44">
        <f t="shared" si="131"/>
        <v>0</v>
      </c>
      <c r="M290" s="206"/>
      <c r="N290" s="206"/>
      <c r="O290" s="207" t="str">
        <f t="shared" si="132"/>
        <v/>
      </c>
      <c r="P290" s="206"/>
      <c r="Q290" s="206"/>
      <c r="R290" s="177">
        <f t="shared" si="133"/>
        <v>0</v>
      </c>
      <c r="S290" s="178" t="str">
        <f t="shared" si="134"/>
        <v/>
      </c>
      <c r="T290" s="208" t="str">
        <f t="shared" si="135"/>
        <v/>
      </c>
      <c r="U290" s="41"/>
      <c r="V290" s="45"/>
      <c r="X290" s="37" t="str">
        <f t="shared" si="128"/>
        <v/>
      </c>
      <c r="Z290" s="181"/>
      <c r="AB290" s="173"/>
      <c r="AD290" s="10" t="str">
        <f t="shared" si="129"/>
        <v/>
      </c>
      <c r="AE290" s="92" t="str">
        <f>+IF(OR($T$290="",X290="",X290="NO"),"",L290)</f>
        <v/>
      </c>
      <c r="AF290" s="92" t="str">
        <f>+IF(AE290="","",L290/$S$290)</f>
        <v/>
      </c>
      <c r="AG290" s="174"/>
    </row>
    <row r="291" spans="1:34" s="27" customFormat="1" ht="12.75" x14ac:dyDescent="0.2">
      <c r="A291" s="27" t="str">
        <f t="shared" si="130"/>
        <v/>
      </c>
      <c r="B291" s="38"/>
      <c r="C291" s="39"/>
      <c r="D291" s="39"/>
      <c r="E291" s="46"/>
      <c r="F291" s="46"/>
      <c r="G291" s="39"/>
      <c r="H291" s="40"/>
      <c r="I291" s="41"/>
      <c r="J291" s="42"/>
      <c r="K291" s="43"/>
      <c r="L291" s="44">
        <f t="shared" si="131"/>
        <v>0</v>
      </c>
      <c r="M291" s="206"/>
      <c r="N291" s="206"/>
      <c r="O291" s="207" t="str">
        <f t="shared" si="132"/>
        <v/>
      </c>
      <c r="P291" s="206"/>
      <c r="Q291" s="206"/>
      <c r="R291" s="177">
        <f t="shared" si="133"/>
        <v>0</v>
      </c>
      <c r="S291" s="178" t="str">
        <f t="shared" si="134"/>
        <v/>
      </c>
      <c r="T291" s="208" t="str">
        <f t="shared" si="135"/>
        <v/>
      </c>
      <c r="U291" s="41"/>
      <c r="V291" s="45"/>
      <c r="X291" s="37" t="str">
        <f t="shared" si="128"/>
        <v/>
      </c>
      <c r="Z291" s="181"/>
      <c r="AB291" s="173"/>
      <c r="AD291" s="10" t="str">
        <f t="shared" si="129"/>
        <v/>
      </c>
      <c r="AE291" s="92" t="str">
        <f>+IF(OR($T$291="",X291="",X291="NO"),"",L291)</f>
        <v/>
      </c>
      <c r="AF291" s="92" t="str">
        <f>+IF(AE291="","",L291/$S$291)</f>
        <v/>
      </c>
      <c r="AG291" s="174"/>
    </row>
    <row r="292" spans="1:34" s="27" customFormat="1" ht="12.75" x14ac:dyDescent="0.2">
      <c r="A292" s="27" t="str">
        <f t="shared" si="130"/>
        <v/>
      </c>
      <c r="B292" s="38"/>
      <c r="C292" s="39"/>
      <c r="D292" s="39"/>
      <c r="E292" s="46"/>
      <c r="F292" s="46"/>
      <c r="G292" s="39"/>
      <c r="H292" s="40"/>
      <c r="I292" s="41"/>
      <c r="J292" s="42"/>
      <c r="K292" s="43"/>
      <c r="L292" s="44">
        <f t="shared" si="131"/>
        <v>0</v>
      </c>
      <c r="M292" s="206"/>
      <c r="N292" s="206"/>
      <c r="O292" s="207" t="str">
        <f t="shared" si="132"/>
        <v/>
      </c>
      <c r="P292" s="206"/>
      <c r="Q292" s="206"/>
      <c r="R292" s="177">
        <f t="shared" si="133"/>
        <v>0</v>
      </c>
      <c r="S292" s="178" t="str">
        <f t="shared" si="134"/>
        <v/>
      </c>
      <c r="T292" s="208" t="str">
        <f t="shared" si="135"/>
        <v/>
      </c>
      <c r="U292" s="41"/>
      <c r="V292" s="45"/>
      <c r="X292" s="37" t="str">
        <f t="shared" si="128"/>
        <v/>
      </c>
      <c r="Z292" s="181"/>
      <c r="AB292" s="173"/>
      <c r="AD292" s="10" t="str">
        <f t="shared" si="129"/>
        <v/>
      </c>
      <c r="AE292" s="92" t="str">
        <f>+IF(OR($T$292="",X292="",X292="NO"),"",L292)</f>
        <v/>
      </c>
      <c r="AF292" s="92" t="str">
        <f>+IF(AE292="","",L292/$S$292)</f>
        <v/>
      </c>
      <c r="AG292" s="174"/>
    </row>
    <row r="293" spans="1:34" s="27" customFormat="1" ht="12.75" x14ac:dyDescent="0.2">
      <c r="A293" s="27" t="str">
        <f t="shared" si="130"/>
        <v/>
      </c>
      <c r="B293" s="38"/>
      <c r="C293" s="39"/>
      <c r="D293" s="39"/>
      <c r="E293" s="46"/>
      <c r="F293" s="46"/>
      <c r="G293" s="39"/>
      <c r="H293" s="40"/>
      <c r="I293" s="41"/>
      <c r="J293" s="42"/>
      <c r="K293" s="43"/>
      <c r="L293" s="44">
        <f t="shared" si="131"/>
        <v>0</v>
      </c>
      <c r="M293" s="206"/>
      <c r="N293" s="206"/>
      <c r="O293" s="207" t="str">
        <f t="shared" si="132"/>
        <v/>
      </c>
      <c r="P293" s="206"/>
      <c r="Q293" s="206"/>
      <c r="R293" s="177">
        <f t="shared" si="133"/>
        <v>0</v>
      </c>
      <c r="S293" s="178" t="str">
        <f t="shared" si="134"/>
        <v/>
      </c>
      <c r="T293" s="208" t="str">
        <f t="shared" si="135"/>
        <v/>
      </c>
      <c r="U293" s="41"/>
      <c r="V293" s="45"/>
      <c r="X293" s="37" t="str">
        <f t="shared" si="128"/>
        <v/>
      </c>
      <c r="Z293" s="181"/>
      <c r="AB293" s="173"/>
      <c r="AD293" s="10" t="str">
        <f t="shared" si="129"/>
        <v/>
      </c>
      <c r="AE293" s="92" t="str">
        <f>+IF(OR($T$293="",X293="",X293="NO"),"",L293)</f>
        <v/>
      </c>
      <c r="AF293" s="92" t="str">
        <f>+IF(AE293="","",L293/$S$293)</f>
        <v/>
      </c>
      <c r="AG293" s="174"/>
    </row>
    <row r="294" spans="1:34" s="27" customFormat="1" ht="13.5" thickBot="1" x14ac:dyDescent="0.25">
      <c r="A294" s="27" t="str">
        <f t="shared" si="130"/>
        <v/>
      </c>
      <c r="B294" s="47"/>
      <c r="C294" s="48"/>
      <c r="D294" s="48"/>
      <c r="E294" s="49"/>
      <c r="F294" s="49"/>
      <c r="G294" s="48"/>
      <c r="H294" s="50"/>
      <c r="I294" s="51"/>
      <c r="J294" s="14"/>
      <c r="K294" s="52"/>
      <c r="L294" s="53">
        <f t="shared" si="131"/>
        <v>0</v>
      </c>
      <c r="M294" s="211"/>
      <c r="N294" s="211"/>
      <c r="O294" s="212" t="str">
        <f t="shared" si="132"/>
        <v/>
      </c>
      <c r="P294" s="211"/>
      <c r="Q294" s="211"/>
      <c r="R294" s="184">
        <f t="shared" si="133"/>
        <v>0</v>
      </c>
      <c r="S294" s="185" t="str">
        <f t="shared" si="134"/>
        <v/>
      </c>
      <c r="T294" s="213" t="str">
        <f t="shared" si="135"/>
        <v/>
      </c>
      <c r="U294" s="51"/>
      <c r="V294" s="54"/>
      <c r="X294" s="55" t="str">
        <f t="shared" si="128"/>
        <v/>
      </c>
      <c r="Z294" s="187"/>
      <c r="AB294" s="188"/>
      <c r="AD294" s="10" t="str">
        <f t="shared" si="129"/>
        <v/>
      </c>
      <c r="AE294" s="92" t="str">
        <f>+IF(OR($T$294="",X294="",X294="NO"),"",L294)</f>
        <v/>
      </c>
      <c r="AF294" s="92" t="str">
        <f>+IF(AE294="","",L294/$S$294)</f>
        <v/>
      </c>
    </row>
    <row r="295" spans="1:34" ht="36" customHeight="1" x14ac:dyDescent="0.2">
      <c r="B295" s="57" t="str">
        <f>"A"&amp;B282</f>
        <v>A17</v>
      </c>
      <c r="C295" s="382" t="str">
        <f>+$C$23</f>
        <v>¿CADA INTEGRANTE DE PROPONENTE PLURAL APORTAN CONTRATO?  (SI; NO; NA)</v>
      </c>
      <c r="D295" s="383"/>
      <c r="E295" s="383"/>
      <c r="F295" s="383"/>
      <c r="G295" s="383"/>
      <c r="H295" s="384"/>
      <c r="I295" s="217" t="str">
        <f>+IF(AG282="","",IF(AG282=1,"NA",IF(AND(AG282=3,(IF(COUNTIFS(C285:C294,AH285,AE285:AE294,"&gt;0")&gt;=1,1,0)+IF(COUNTIFS(C285:C294,AH286,AE285:AE294,"&gt;0")&gt;=1,1,0)+IF(COUNTIFS(C285:C294,AH287,AE285:AE294,"&gt;0")&gt;=1,1,0))&gt;=AG282),"SI",IF(AND(AG282=2,(IF(COUNTIFS(C285:C294,AH285,AE285:AE294,"&gt;0")&gt;=1,1,0)+IF(COUNTIFS(C285:C294,AH286,AE285:AE294,"&gt;0")&gt;=1,1,0))&gt;=AG282),"SI","NO"))))</f>
        <v>SI</v>
      </c>
      <c r="J295" s="59"/>
      <c r="K295" s="27"/>
      <c r="L295" s="27"/>
      <c r="M295" s="27"/>
      <c r="N295" s="27"/>
      <c r="O295" s="27"/>
      <c r="P295" s="385" t="str">
        <f>+$P$23</f>
        <v>FACTURACION MENSUAL TOTAL</v>
      </c>
      <c r="Q295" s="386"/>
      <c r="R295" s="386"/>
      <c r="S295" s="386"/>
      <c r="T295" s="189">
        <f>ROUND(SUM(T285:T294),3)</f>
        <v>402.529</v>
      </c>
      <c r="U295" s="60"/>
      <c r="V295" s="1"/>
      <c r="W295" s="61"/>
      <c r="X295" s="61"/>
      <c r="Y295" s="61"/>
      <c r="Z295" s="61"/>
      <c r="AA295" s="61"/>
      <c r="AB295" s="61"/>
    </row>
    <row r="296" spans="1:34" ht="38.25" customHeight="1" thickBot="1" x14ac:dyDescent="0.25">
      <c r="B296" s="57" t="str">
        <f>"B"&amp;B282</f>
        <v>B17</v>
      </c>
      <c r="C296" s="387" t="str">
        <f>+C279</f>
        <v>En caso de proponente plural: ¿De la totalidad de los contratos aportados por el proponente plural, el valor ejecutado de uno de ellos deberá ser igual o superior al 30% del P.O.?  (SI; NO; NA)</v>
      </c>
      <c r="D296" s="388"/>
      <c r="E296" s="388"/>
      <c r="F296" s="388"/>
      <c r="G296" s="389"/>
      <c r="H296" s="190">
        <f>+$H$6</f>
        <v>268.14722506074827</v>
      </c>
      <c r="I296" s="191" t="str">
        <f>+IF(AG282="","",IF(AG282=1,"NA",IF(AND(AG282&gt;1,(COUNTIFS(AD285:AD294,"SI",AE285:AE294,"&gt;0"))&gt;=1),"SI","NO")))</f>
        <v>SI</v>
      </c>
      <c r="J296" s="192"/>
      <c r="K296" s="193"/>
      <c r="L296" s="194"/>
      <c r="M296" s="194"/>
      <c r="N296" s="194"/>
      <c r="O296" s="194"/>
      <c r="P296" s="387" t="str">
        <f>+$P$24</f>
        <v>PROMEDIO FACTURACIÓN MENSUAL DEL PROPONENTE (PFMP)</v>
      </c>
      <c r="Q296" s="388"/>
      <c r="R296" s="388"/>
      <c r="S296" s="388"/>
      <c r="T296" s="195">
        <f t="array" ref="T296">IF(T295=0,0,ROUND(T295/(SUM(IF(FREQUENCY(A285:A294,A285:A294)&gt;0,1))),3))</f>
        <v>134.17599999999999</v>
      </c>
      <c r="U296" s="214"/>
      <c r="V296" s="1"/>
      <c r="W296" s="61"/>
      <c r="X296" s="61"/>
      <c r="Y296" s="61"/>
      <c r="Z296" s="61"/>
      <c r="AA296" s="61"/>
      <c r="AB296" s="61"/>
    </row>
    <row r="297" spans="1:34" ht="21" customHeight="1" thickBot="1" x14ac:dyDescent="0.25">
      <c r="B297" s="197" t="str">
        <f>"C"&amp;B282</f>
        <v>C17</v>
      </c>
      <c r="C297" s="349" t="str">
        <f>+$C$25</f>
        <v>PROPONENTE CUMPLE CON LAS ACTIVIDADES a) y b)? (SI; NO)</v>
      </c>
      <c r="D297" s="350"/>
      <c r="E297" s="350"/>
      <c r="F297" s="350"/>
      <c r="G297" s="350"/>
      <c r="H297" s="351"/>
      <c r="I297" s="198" t="str">
        <f>IF(C282="","",(IF(AND(COUNTIFS(X285:X294,"SI",Z285:Z294,"SI")&gt;=$Z$8,COUNTIFS(X285:X294,"SI",AB285:AB294,"SI")&gt;=$Z$8),"SI","NO")))</f>
        <v>SI</v>
      </c>
      <c r="J297" s="199"/>
      <c r="K297" s="200"/>
      <c r="L297" s="200"/>
      <c r="M297" s="200"/>
      <c r="N297" s="200"/>
      <c r="P297" s="378" t="str">
        <f>+$P$25</f>
        <v>VALOR PUNTAJE POR EXPERIENCIA DEL PROPONENTE</v>
      </c>
      <c r="Q297" s="379"/>
      <c r="R297" s="379"/>
      <c r="S297" s="380"/>
      <c r="T297" s="201">
        <f>IF(OR(C282="",'ASIGNACION DE PUNTAJES'!$C$5=""),"",VLOOKUP(B282,'ASIGNACION DE PUNTAJES'!$A$15:$G$69,7,FALSE))</f>
        <v>689.12</v>
      </c>
      <c r="V297" s="202"/>
    </row>
    <row r="298" spans="1:34" ht="9.75" customHeight="1" thickBot="1" x14ac:dyDescent="0.25">
      <c r="M298" s="84"/>
      <c r="N298" s="84"/>
      <c r="O298" s="84"/>
      <c r="V298" s="21"/>
    </row>
    <row r="299" spans="1:34" ht="36.75" customHeight="1" thickBot="1" x14ac:dyDescent="0.25">
      <c r="B299" s="23">
        <f>1+B282</f>
        <v>18</v>
      </c>
      <c r="C299" s="336" t="s">
        <v>909</v>
      </c>
      <c r="D299" s="337"/>
      <c r="E299" s="337"/>
      <c r="F299" s="337"/>
      <c r="G299" s="337"/>
      <c r="H299" s="337"/>
      <c r="I299" s="338"/>
      <c r="J299" s="24" t="str">
        <f>+IF(C299="","","INTEGRANTES")</f>
        <v>INTEGRANTES</v>
      </c>
      <c r="K299" s="339" t="s">
        <v>910</v>
      </c>
      <c r="L299" s="339"/>
      <c r="M299" s="339"/>
      <c r="N299" s="339"/>
      <c r="O299" s="339"/>
      <c r="P299" s="339"/>
      <c r="Q299" s="339"/>
      <c r="R299" s="396" t="str">
        <f>+$R$10</f>
        <v>PROPONENTE No.</v>
      </c>
      <c r="S299" s="397"/>
      <c r="T299" s="25">
        <f>+B299</f>
        <v>18</v>
      </c>
      <c r="U299" s="161" t="str">
        <f>+$U$10</f>
        <v>PFMP</v>
      </c>
      <c r="V299" s="162">
        <f>IF(T313="",0,T313)</f>
        <v>119.405</v>
      </c>
      <c r="X299" s="325" t="s">
        <v>168</v>
      </c>
      <c r="Z299" s="163" t="str">
        <f>+$Z$10</f>
        <v>EXP. ESPECÍFICA 
A:</v>
      </c>
      <c r="AB299" s="163" t="str">
        <f>+$AB$10</f>
        <v>EXP. ESPECÍFICA 
B:</v>
      </c>
      <c r="AG299" s="1">
        <v>2</v>
      </c>
    </row>
    <row r="300" spans="1:34" ht="42" customHeight="1" x14ac:dyDescent="0.2">
      <c r="B300" s="331" t="str">
        <f>+$B$11</f>
        <v>ITEM</v>
      </c>
      <c r="C300" s="318" t="str">
        <f>+$C$11</f>
        <v>PROPONENTE 
/ 
INTEGRANTE OFERENTE PLURAL</v>
      </c>
      <c r="D300" s="333" t="str">
        <f>+$D$11</f>
        <v>INFORMACIÓN DEL CONTRATO</v>
      </c>
      <c r="E300" s="334"/>
      <c r="F300" s="334"/>
      <c r="G300" s="335"/>
      <c r="H300" s="318" t="str">
        <f>+H283</f>
        <v>CONSECUTIVO RUP</v>
      </c>
      <c r="I300" s="318" t="str">
        <f>+$I$11</f>
        <v>¿SE ENCUENTRA INSCRITO EN EL RUP Y CUMPLE CÓDIGOS UNSPSC?</v>
      </c>
      <c r="J300" s="318" t="str">
        <f>+$J$11</f>
        <v xml:space="preserve">VALOR EN RUP (SMMLV) </v>
      </c>
      <c r="K300" s="318" t="str">
        <f>+$K$11</f>
        <v>% PARTIC en el RUP</v>
      </c>
      <c r="L300" s="318" t="str">
        <f>+$L$11</f>
        <v>VALOR DEL CONTRATO TERMINADO (SMMLV) en el   RUP</v>
      </c>
      <c r="M300" s="318" t="str">
        <f>+$M$11</f>
        <v>FECHA DE INICIO</v>
      </c>
      <c r="N300" s="318" t="str">
        <f>+$N$11</f>
        <v>FECHA DE TERMINACION</v>
      </c>
      <c r="O300" s="318" t="str">
        <f>+$O$11</f>
        <v>PLAZO CONTRA-TO (Meses)</v>
      </c>
      <c r="P300" s="390" t="str">
        <f>+$P$11</f>
        <v>Tsusp i</v>
      </c>
      <c r="Q300" s="391"/>
      <c r="R300" s="392"/>
      <c r="S300" s="318" t="str">
        <f>+$S$11</f>
        <v>PLAZO i REAL</v>
      </c>
      <c r="T300" s="318" t="str">
        <f>+$T$11</f>
        <v>FACTURA-CION MENSUAL PROPO-NENTE</v>
      </c>
      <c r="U300" s="318" t="str">
        <f>+$U$11</f>
        <v>VALIDACIÓN DE LA EXPERIENCIA GENERAL
(SI/NO)</v>
      </c>
      <c r="V300" s="393" t="str">
        <f>+$V$11</f>
        <v>OBSERVACIONES</v>
      </c>
      <c r="X300" s="326"/>
      <c r="Z300" s="381" t="str">
        <f>+$Z$11</f>
        <v>Interventoria a la ejecución de obras relacionadas con Colocación de capas granulares (tales como bases y/o sub-bases granulares).</v>
      </c>
      <c r="AB300" s="381" t="str">
        <f>+$AB$11</f>
        <v>Interventoria a la Ejecución de obras de subdrenaje y/o drenaje, en carreteras.</v>
      </c>
    </row>
    <row r="301" spans="1:34" ht="38.25" customHeight="1" thickBot="1" x14ac:dyDescent="0.25">
      <c r="B301" s="332"/>
      <c r="C301" s="319"/>
      <c r="D301" s="26" t="str">
        <f>+$D$12</f>
        <v>ENTIDAD</v>
      </c>
      <c r="E301" s="26" t="str">
        <f>+$E$12</f>
        <v>No. DE CONTRATO</v>
      </c>
      <c r="F301" s="26" t="str">
        <f>+$F$12</f>
        <v>OBJETO</v>
      </c>
      <c r="G301" s="26" t="str">
        <f>+$G$12</f>
        <v>CONTRATISTA</v>
      </c>
      <c r="H301" s="319"/>
      <c r="I301" s="319"/>
      <c r="J301" s="319"/>
      <c r="K301" s="319"/>
      <c r="L301" s="319"/>
      <c r="M301" s="319"/>
      <c r="N301" s="319"/>
      <c r="O301" s="319"/>
      <c r="P301" s="203" t="str">
        <f>+P284</f>
        <v>Finicsuspi</v>
      </c>
      <c r="Q301" s="203" t="str">
        <f>+Q284</f>
        <v xml:space="preserve"> Ftermsuspi </v>
      </c>
      <c r="R301" s="203" t="str">
        <f>+R284</f>
        <v>Tsusp i (meses)</v>
      </c>
      <c r="S301" s="319"/>
      <c r="T301" s="319"/>
      <c r="U301" s="319"/>
      <c r="V301" s="400"/>
      <c r="X301" s="327"/>
      <c r="Z301" s="381"/>
      <c r="AB301" s="381"/>
    </row>
    <row r="302" spans="1:34" s="27" customFormat="1" ht="115.5" customHeight="1" x14ac:dyDescent="0.2">
      <c r="A302" s="27">
        <f>+IF(T302="","",B302)</f>
        <v>1</v>
      </c>
      <c r="B302" s="28">
        <v>1</v>
      </c>
      <c r="C302" s="86" t="s">
        <v>354</v>
      </c>
      <c r="D302" s="86" t="s">
        <v>121</v>
      </c>
      <c r="E302" s="87" t="s">
        <v>355</v>
      </c>
      <c r="F302" s="87" t="s">
        <v>356</v>
      </c>
      <c r="G302" s="86" t="s">
        <v>357</v>
      </c>
      <c r="H302" s="30">
        <v>58</v>
      </c>
      <c r="I302" s="31" t="s">
        <v>16</v>
      </c>
      <c r="J302" s="32">
        <v>3446.82</v>
      </c>
      <c r="K302" s="33">
        <v>0.5</v>
      </c>
      <c r="L302" s="34">
        <f>IF(OR(H302="",I302&lt;&gt;"SI",I302="NO",J302="",J302=0,K302="",K302=0,X302&lt;&gt;"SI"),0,J302*K302)</f>
        <v>1723.41</v>
      </c>
      <c r="M302" s="204">
        <v>36654</v>
      </c>
      <c r="N302" s="204">
        <v>37080</v>
      </c>
      <c r="O302" s="169">
        <f>IF(OR(H302="",I302&lt;&gt;"SI",I302="NO",J302="",J302=0,K302="",K302=0,,M302="",N302=""),"",ROUND((((N302-M302)+1)/30),3))</f>
        <v>14.233000000000001</v>
      </c>
      <c r="P302" s="204"/>
      <c r="Q302" s="204"/>
      <c r="R302" s="170">
        <f>IF(OR((Q302-P302)=0,P302="",Q302=""),0,(ROUND((((Q302-P302)+1)/30),3)))</f>
        <v>0</v>
      </c>
      <c r="S302" s="171">
        <f>IF(O302="","",ROUND(SUM(O302)-SUM(R302),3))</f>
        <v>14.233000000000001</v>
      </c>
      <c r="T302" s="172">
        <f>+IF(C302="","",IF(OR(S302="",S302&lt;=0,I302="",I302="NO",U302="",U302="NO",X302="NO"),"",ROUND(SUM(L302)/S302,3)))</f>
        <v>121.086</v>
      </c>
      <c r="U302" s="35" t="s">
        <v>16</v>
      </c>
      <c r="V302" s="36"/>
      <c r="W302" s="205"/>
      <c r="X302" s="37" t="str">
        <f t="shared" ref="X302:X311" si="136">+IF(C302="","",IF(AND(H302&lt;&gt;"",I302="SI",J302&lt;&gt;"",J302&gt;0,K302&lt;&gt;"",K302&gt;0,S302&lt;&gt;"",S302&gt;0,U302="SI"),"SI","NO"))</f>
        <v>SI</v>
      </c>
      <c r="Z302" s="173" t="s">
        <v>16</v>
      </c>
      <c r="AB302" s="173" t="s">
        <v>16</v>
      </c>
      <c r="AD302" s="10" t="str">
        <f t="shared" ref="AD302:AD311" si="137">+IF($C$299="","",IF(C302="","",IF(L302&gt;=$H$6,"SI","NO")))</f>
        <v>SI</v>
      </c>
      <c r="AE302" s="92">
        <f>+IF(OR($T$302="",X302="",X302="NO"),"",L302)</f>
        <v>1723.41</v>
      </c>
      <c r="AF302" s="92">
        <f>+IF(AE302="","",L302/$S$302)</f>
        <v>121.08550551535164</v>
      </c>
      <c r="AG302" s="174">
        <f>0.1+B299</f>
        <v>18.100000000000001</v>
      </c>
      <c r="AH302" s="27" t="s">
        <v>354</v>
      </c>
    </row>
    <row r="303" spans="1:34" s="27" customFormat="1" ht="180.75" customHeight="1" x14ac:dyDescent="0.2">
      <c r="A303" s="27">
        <f t="shared" ref="A303:A311" si="138">+IF(T303="","",B303)</f>
        <v>2</v>
      </c>
      <c r="B303" s="38">
        <v>2</v>
      </c>
      <c r="C303" s="39" t="s">
        <v>354</v>
      </c>
      <c r="D303" s="39" t="s">
        <v>121</v>
      </c>
      <c r="E303" s="46" t="s">
        <v>358</v>
      </c>
      <c r="F303" s="46" t="s">
        <v>359</v>
      </c>
      <c r="G303" s="39" t="s">
        <v>360</v>
      </c>
      <c r="H303" s="40">
        <v>70</v>
      </c>
      <c r="I303" s="41" t="s">
        <v>16</v>
      </c>
      <c r="J303" s="42">
        <v>1359.51</v>
      </c>
      <c r="K303" s="43">
        <v>0.8</v>
      </c>
      <c r="L303" s="44">
        <f t="shared" ref="L303:L311" si="139">IF(OR(H303="",I303&lt;&gt;"SI",I303="NO",J303="",J303=0,K303="",K303=0,X303&lt;&gt;"SI"),0,J303*K303)</f>
        <v>1087.6079999999999</v>
      </c>
      <c r="M303" s="206">
        <v>38446</v>
      </c>
      <c r="N303" s="206">
        <v>38789</v>
      </c>
      <c r="O303" s="207">
        <f t="shared" ref="O303:O311" si="140">IF(OR(H303="",I303&lt;&gt;"SI",I303="NO",J303="",J303=0,K303="",K303=0,,M303="",N303=""),"",ROUND((((N303-M303)+1)/30),3))</f>
        <v>11.467000000000001</v>
      </c>
      <c r="P303" s="206"/>
      <c r="Q303" s="206"/>
      <c r="R303" s="218">
        <v>0.66666666666666663</v>
      </c>
      <c r="S303" s="178">
        <f t="shared" ref="S303:S311" si="141">IF(O303="","",ROUND(SUM(O303)-SUM(R303),3))</f>
        <v>10.8</v>
      </c>
      <c r="T303" s="208">
        <f t="shared" ref="T303:T311" si="142">+IF(C303="","",IF(OR(S303="",S303&lt;=0,I303="",I303="NO",U303="",U303="NO",X303="NO"),"",ROUND(SUM(L303)/S303,3)))</f>
        <v>100.70399999999999</v>
      </c>
      <c r="U303" s="41" t="s">
        <v>16</v>
      </c>
      <c r="V303" s="209"/>
      <c r="W303" s="205"/>
      <c r="X303" s="37" t="str">
        <f t="shared" si="136"/>
        <v>SI</v>
      </c>
      <c r="Z303" s="173" t="s">
        <v>16</v>
      </c>
      <c r="AB303" s="173" t="s">
        <v>16</v>
      </c>
      <c r="AD303" s="10" t="str">
        <f t="shared" si="137"/>
        <v>SI</v>
      </c>
      <c r="AE303" s="92">
        <f>+IF(OR($T$303="",X303="",X303="NO"),"",L303)</f>
        <v>1087.6079999999999</v>
      </c>
      <c r="AF303" s="92">
        <f>+IF(AE303="","",L303/$S$303)</f>
        <v>100.70444444444443</v>
      </c>
      <c r="AG303" s="174">
        <f>0.2+B299</f>
        <v>18.2</v>
      </c>
      <c r="AH303" s="27" t="s">
        <v>92</v>
      </c>
    </row>
    <row r="304" spans="1:34" s="27" customFormat="1" ht="72.75" customHeight="1" x14ac:dyDescent="0.2">
      <c r="A304" s="27">
        <f t="shared" si="138"/>
        <v>3</v>
      </c>
      <c r="B304" s="38">
        <v>3</v>
      </c>
      <c r="C304" s="39" t="s">
        <v>92</v>
      </c>
      <c r="D304" s="39" t="s">
        <v>361</v>
      </c>
      <c r="E304" s="46" t="s">
        <v>362</v>
      </c>
      <c r="F304" s="46" t="s">
        <v>363</v>
      </c>
      <c r="G304" s="39" t="s">
        <v>364</v>
      </c>
      <c r="H304" s="40">
        <v>111</v>
      </c>
      <c r="I304" s="41" t="s">
        <v>16</v>
      </c>
      <c r="J304" s="42">
        <v>14188.33</v>
      </c>
      <c r="K304" s="43">
        <v>1</v>
      </c>
      <c r="L304" s="44">
        <f t="shared" si="139"/>
        <v>14188.33</v>
      </c>
      <c r="M304" s="206">
        <v>31944</v>
      </c>
      <c r="N304" s="206">
        <v>35063</v>
      </c>
      <c r="O304" s="207">
        <f t="shared" si="140"/>
        <v>104</v>
      </c>
      <c r="P304" s="206"/>
      <c r="Q304" s="206"/>
      <c r="R304" s="177">
        <f t="shared" ref="R304:R311" si="143">IF(OR((Q304-P304)=0,P304="",Q304=""),0,(ROUND((((Q304-P304)+1)/30),3)))</f>
        <v>0</v>
      </c>
      <c r="S304" s="178">
        <f t="shared" si="141"/>
        <v>104</v>
      </c>
      <c r="T304" s="208">
        <f t="shared" si="142"/>
        <v>136.42599999999999</v>
      </c>
      <c r="U304" s="41" t="s">
        <v>16</v>
      </c>
      <c r="V304" s="45"/>
      <c r="W304" s="205"/>
      <c r="X304" s="37" t="str">
        <f t="shared" si="136"/>
        <v>SI</v>
      </c>
      <c r="Z304" s="173" t="s">
        <v>16</v>
      </c>
      <c r="AB304" s="173" t="s">
        <v>16</v>
      </c>
      <c r="AD304" s="10" t="str">
        <f t="shared" si="137"/>
        <v>SI</v>
      </c>
      <c r="AE304" s="92">
        <f>+IF(OR($T$304="",X304="",X304="NO"),"",L304)</f>
        <v>14188.33</v>
      </c>
      <c r="AF304" s="92">
        <f>+IF(AE304="","",L304/$S$304)</f>
        <v>136.42625000000001</v>
      </c>
      <c r="AG304" s="174">
        <f>0.3+B299</f>
        <v>18.3</v>
      </c>
      <c r="AH304" s="27" t="s">
        <v>932</v>
      </c>
    </row>
    <row r="305" spans="1:34" s="27" customFormat="1" ht="12.75" x14ac:dyDescent="0.2">
      <c r="A305" s="27" t="str">
        <f t="shared" si="138"/>
        <v/>
      </c>
      <c r="B305" s="38"/>
      <c r="C305" s="39"/>
      <c r="D305" s="39"/>
      <c r="E305" s="46"/>
      <c r="F305" s="46"/>
      <c r="G305" s="39"/>
      <c r="H305" s="40"/>
      <c r="I305" s="41"/>
      <c r="J305" s="42"/>
      <c r="K305" s="43"/>
      <c r="L305" s="44">
        <f t="shared" si="139"/>
        <v>0</v>
      </c>
      <c r="M305" s="206"/>
      <c r="N305" s="206"/>
      <c r="O305" s="207" t="str">
        <f t="shared" si="140"/>
        <v/>
      </c>
      <c r="P305" s="206"/>
      <c r="Q305" s="206"/>
      <c r="R305" s="177">
        <f t="shared" si="143"/>
        <v>0</v>
      </c>
      <c r="S305" s="178" t="str">
        <f t="shared" si="141"/>
        <v/>
      </c>
      <c r="T305" s="208" t="str">
        <f t="shared" si="142"/>
        <v/>
      </c>
      <c r="U305" s="41"/>
      <c r="V305" s="45"/>
      <c r="W305" s="210"/>
      <c r="X305" s="37" t="str">
        <f t="shared" si="136"/>
        <v/>
      </c>
      <c r="Z305" s="180"/>
      <c r="AB305" s="173"/>
      <c r="AD305" s="10" t="str">
        <f t="shared" si="137"/>
        <v/>
      </c>
      <c r="AE305" s="92" t="str">
        <f>+IF(OR($T$305="",X305="",X305="NO"),"",L305)</f>
        <v/>
      </c>
      <c r="AF305" s="92" t="str">
        <f>+IF(AE305="","",L305/$S$305)</f>
        <v/>
      </c>
      <c r="AG305" s="174"/>
    </row>
    <row r="306" spans="1:34" s="27" customFormat="1" ht="12.75" x14ac:dyDescent="0.2">
      <c r="A306" s="27" t="str">
        <f t="shared" si="138"/>
        <v/>
      </c>
      <c r="B306" s="38"/>
      <c r="C306" s="39"/>
      <c r="D306" s="39"/>
      <c r="E306" s="46"/>
      <c r="F306" s="46"/>
      <c r="G306" s="39"/>
      <c r="H306" s="40"/>
      <c r="I306" s="41"/>
      <c r="J306" s="42"/>
      <c r="K306" s="43"/>
      <c r="L306" s="44">
        <f t="shared" si="139"/>
        <v>0</v>
      </c>
      <c r="M306" s="206"/>
      <c r="N306" s="206"/>
      <c r="O306" s="207" t="str">
        <f t="shared" si="140"/>
        <v/>
      </c>
      <c r="P306" s="206"/>
      <c r="Q306" s="206"/>
      <c r="R306" s="177">
        <f t="shared" si="143"/>
        <v>0</v>
      </c>
      <c r="S306" s="178" t="str">
        <f t="shared" si="141"/>
        <v/>
      </c>
      <c r="T306" s="208" t="str">
        <f t="shared" si="142"/>
        <v/>
      </c>
      <c r="U306" s="41"/>
      <c r="V306" s="45"/>
      <c r="X306" s="37" t="str">
        <f t="shared" si="136"/>
        <v/>
      </c>
      <c r="Z306" s="181"/>
      <c r="AB306" s="173"/>
      <c r="AD306" s="10" t="str">
        <f t="shared" si="137"/>
        <v/>
      </c>
      <c r="AE306" s="92" t="str">
        <f>+IF(OR($T$306="",X306="",X306="NO"),"",L306)</f>
        <v/>
      </c>
      <c r="AF306" s="92" t="str">
        <f>+IF(AE306="","",L306/$S$306)</f>
        <v/>
      </c>
      <c r="AG306" s="174"/>
    </row>
    <row r="307" spans="1:34" s="27" customFormat="1" ht="12.75" x14ac:dyDescent="0.2">
      <c r="A307" s="27" t="str">
        <f t="shared" si="138"/>
        <v/>
      </c>
      <c r="B307" s="38"/>
      <c r="C307" s="39"/>
      <c r="D307" s="39"/>
      <c r="E307" s="46"/>
      <c r="F307" s="46"/>
      <c r="G307" s="39"/>
      <c r="H307" s="40"/>
      <c r="I307" s="41"/>
      <c r="J307" s="42"/>
      <c r="K307" s="43"/>
      <c r="L307" s="44">
        <f t="shared" si="139"/>
        <v>0</v>
      </c>
      <c r="M307" s="206"/>
      <c r="N307" s="206"/>
      <c r="O307" s="207" t="str">
        <f t="shared" si="140"/>
        <v/>
      </c>
      <c r="P307" s="206"/>
      <c r="Q307" s="206"/>
      <c r="R307" s="177">
        <f t="shared" si="143"/>
        <v>0</v>
      </c>
      <c r="S307" s="178" t="str">
        <f t="shared" si="141"/>
        <v/>
      </c>
      <c r="T307" s="208" t="str">
        <f t="shared" si="142"/>
        <v/>
      </c>
      <c r="U307" s="41"/>
      <c r="V307" s="45"/>
      <c r="X307" s="37" t="str">
        <f t="shared" si="136"/>
        <v/>
      </c>
      <c r="Z307" s="181"/>
      <c r="AB307" s="173"/>
      <c r="AD307" s="10" t="str">
        <f t="shared" si="137"/>
        <v/>
      </c>
      <c r="AE307" s="92" t="str">
        <f>+IF(OR($T$307="",X307="",X307="NO"),"",L307)</f>
        <v/>
      </c>
      <c r="AF307" s="92" t="str">
        <f>+IF(AE307="","",L307/$S$307)</f>
        <v/>
      </c>
      <c r="AG307" s="174"/>
    </row>
    <row r="308" spans="1:34" s="27" customFormat="1" ht="12.75" x14ac:dyDescent="0.2">
      <c r="A308" s="27" t="str">
        <f t="shared" si="138"/>
        <v/>
      </c>
      <c r="B308" s="38"/>
      <c r="C308" s="39"/>
      <c r="D308" s="39"/>
      <c r="E308" s="46"/>
      <c r="F308" s="46"/>
      <c r="G308" s="39"/>
      <c r="H308" s="40"/>
      <c r="I308" s="41"/>
      <c r="J308" s="42"/>
      <c r="K308" s="43"/>
      <c r="L308" s="44">
        <f t="shared" si="139"/>
        <v>0</v>
      </c>
      <c r="M308" s="206"/>
      <c r="N308" s="206"/>
      <c r="O308" s="207" t="str">
        <f t="shared" si="140"/>
        <v/>
      </c>
      <c r="P308" s="206"/>
      <c r="Q308" s="206"/>
      <c r="R308" s="177">
        <f t="shared" si="143"/>
        <v>0</v>
      </c>
      <c r="S308" s="178" t="str">
        <f t="shared" si="141"/>
        <v/>
      </c>
      <c r="T308" s="208" t="str">
        <f t="shared" si="142"/>
        <v/>
      </c>
      <c r="U308" s="41"/>
      <c r="V308" s="45"/>
      <c r="X308" s="37" t="str">
        <f t="shared" si="136"/>
        <v/>
      </c>
      <c r="Z308" s="181"/>
      <c r="AB308" s="173"/>
      <c r="AD308" s="10" t="str">
        <f t="shared" si="137"/>
        <v/>
      </c>
      <c r="AE308" s="92" t="str">
        <f>+IF(OR($T$308="",X308="",X308="NO"),"",L308)</f>
        <v/>
      </c>
      <c r="AF308" s="92" t="str">
        <f>+IF(AE308="","",L308/$S$308)</f>
        <v/>
      </c>
      <c r="AG308" s="174"/>
    </row>
    <row r="309" spans="1:34" s="27" customFormat="1" ht="12.75" x14ac:dyDescent="0.2">
      <c r="A309" s="27" t="str">
        <f t="shared" si="138"/>
        <v/>
      </c>
      <c r="B309" s="38"/>
      <c r="C309" s="39"/>
      <c r="D309" s="39"/>
      <c r="E309" s="46"/>
      <c r="F309" s="46"/>
      <c r="G309" s="39"/>
      <c r="H309" s="40"/>
      <c r="I309" s="41"/>
      <c r="J309" s="42"/>
      <c r="K309" s="43"/>
      <c r="L309" s="44">
        <f t="shared" si="139"/>
        <v>0</v>
      </c>
      <c r="M309" s="206"/>
      <c r="N309" s="206"/>
      <c r="O309" s="207" t="str">
        <f t="shared" si="140"/>
        <v/>
      </c>
      <c r="P309" s="206"/>
      <c r="Q309" s="206"/>
      <c r="R309" s="177">
        <f t="shared" si="143"/>
        <v>0</v>
      </c>
      <c r="S309" s="178" t="str">
        <f t="shared" si="141"/>
        <v/>
      </c>
      <c r="T309" s="208" t="str">
        <f t="shared" si="142"/>
        <v/>
      </c>
      <c r="U309" s="41"/>
      <c r="V309" s="45"/>
      <c r="X309" s="37" t="str">
        <f t="shared" si="136"/>
        <v/>
      </c>
      <c r="Z309" s="181"/>
      <c r="AB309" s="173"/>
      <c r="AD309" s="10" t="str">
        <f t="shared" si="137"/>
        <v/>
      </c>
      <c r="AE309" s="92" t="str">
        <f>+IF(OR($T$309="",X309="",X309="NO"),"",L309)</f>
        <v/>
      </c>
      <c r="AF309" s="92" t="str">
        <f>+IF(AE309="","",L309/$S$309)</f>
        <v/>
      </c>
      <c r="AG309" s="174"/>
    </row>
    <row r="310" spans="1:34" s="27" customFormat="1" ht="12.75" x14ac:dyDescent="0.2">
      <c r="A310" s="27" t="str">
        <f t="shared" si="138"/>
        <v/>
      </c>
      <c r="B310" s="38"/>
      <c r="C310" s="39"/>
      <c r="D310" s="39"/>
      <c r="E310" s="46"/>
      <c r="F310" s="46"/>
      <c r="G310" s="39"/>
      <c r="H310" s="40"/>
      <c r="I310" s="41"/>
      <c r="J310" s="42"/>
      <c r="K310" s="43"/>
      <c r="L310" s="44">
        <f t="shared" si="139"/>
        <v>0</v>
      </c>
      <c r="M310" s="206"/>
      <c r="N310" s="206"/>
      <c r="O310" s="207" t="str">
        <f t="shared" si="140"/>
        <v/>
      </c>
      <c r="P310" s="206"/>
      <c r="Q310" s="206"/>
      <c r="R310" s="177">
        <f t="shared" si="143"/>
        <v>0</v>
      </c>
      <c r="S310" s="178" t="str">
        <f t="shared" si="141"/>
        <v/>
      </c>
      <c r="T310" s="208" t="str">
        <f t="shared" si="142"/>
        <v/>
      </c>
      <c r="U310" s="41"/>
      <c r="V310" s="45"/>
      <c r="X310" s="37" t="str">
        <f t="shared" si="136"/>
        <v/>
      </c>
      <c r="Z310" s="181"/>
      <c r="AB310" s="173"/>
      <c r="AD310" s="10" t="str">
        <f t="shared" si="137"/>
        <v/>
      </c>
      <c r="AE310" s="92" t="str">
        <f>+IF(OR($T$310="",X310="",X310="NO"),"",L310)</f>
        <v/>
      </c>
      <c r="AF310" s="92" t="str">
        <f>+IF(AE310="","",L310/$S$310)</f>
        <v/>
      </c>
      <c r="AG310" s="174"/>
    </row>
    <row r="311" spans="1:34" s="27" customFormat="1" ht="13.5" thickBot="1" x14ac:dyDescent="0.25">
      <c r="A311" s="27" t="str">
        <f t="shared" si="138"/>
        <v/>
      </c>
      <c r="B311" s="47"/>
      <c r="C311" s="48"/>
      <c r="D311" s="48"/>
      <c r="E311" s="49"/>
      <c r="F311" s="49"/>
      <c r="G311" s="48"/>
      <c r="H311" s="50"/>
      <c r="I311" s="51"/>
      <c r="J311" s="14"/>
      <c r="K311" s="52"/>
      <c r="L311" s="53">
        <f t="shared" si="139"/>
        <v>0</v>
      </c>
      <c r="M311" s="211"/>
      <c r="N311" s="211"/>
      <c r="O311" s="212" t="str">
        <f t="shared" si="140"/>
        <v/>
      </c>
      <c r="P311" s="211"/>
      <c r="Q311" s="211"/>
      <c r="R311" s="184">
        <f t="shared" si="143"/>
        <v>0</v>
      </c>
      <c r="S311" s="185" t="str">
        <f t="shared" si="141"/>
        <v/>
      </c>
      <c r="T311" s="213" t="str">
        <f t="shared" si="142"/>
        <v/>
      </c>
      <c r="U311" s="51"/>
      <c r="V311" s="54"/>
      <c r="X311" s="55" t="str">
        <f t="shared" si="136"/>
        <v/>
      </c>
      <c r="Z311" s="187"/>
      <c r="AB311" s="188"/>
      <c r="AD311" s="10" t="str">
        <f t="shared" si="137"/>
        <v/>
      </c>
      <c r="AE311" s="92" t="str">
        <f>+IF(OR($T$311="",X311="",X311="NO"),"",L311)</f>
        <v/>
      </c>
      <c r="AF311" s="92" t="str">
        <f>+IF(AE311="","",L311/$S$311)</f>
        <v/>
      </c>
    </row>
    <row r="312" spans="1:34" ht="36" customHeight="1" x14ac:dyDescent="0.2">
      <c r="B312" s="57" t="str">
        <f>"A"&amp;B299</f>
        <v>A18</v>
      </c>
      <c r="C312" s="382" t="str">
        <f>+$C$23</f>
        <v>¿CADA INTEGRANTE DE PROPONENTE PLURAL APORTAN CONTRATO?  (SI; NO; NA)</v>
      </c>
      <c r="D312" s="383"/>
      <c r="E312" s="383"/>
      <c r="F312" s="383"/>
      <c r="G312" s="383"/>
      <c r="H312" s="384"/>
      <c r="I312" s="151" t="str">
        <f>+IF(AG299="","",IF(AG299=1,"NA",IF(AND(AG299=3,(IF(COUNTIFS(C302:C311,AH302,AE302:AE311,"&gt;0")&gt;=1,1,0)+IF(COUNTIFS(C302:C311,AH303,AE302:AE311,"&gt;0")&gt;=1,1,0)+IF(COUNTIFS(C302:C311,AH304,AE302:AE311,"&gt;0")&gt;=1,1,0))&gt;=AG299),"SI",IF(AND(AG299=2,(IF(COUNTIFS(C302:C311,AH302,AE302:AE311,"&gt;0")&gt;=1,1,0)+IF(COUNTIFS(C302:C311,AH303,AE302:AE311,"&gt;0")&gt;=1,1,0))&gt;=AG299),"SI","NO"))))</f>
        <v>SI</v>
      </c>
      <c r="J312" s="59"/>
      <c r="K312" s="27"/>
      <c r="L312" s="27"/>
      <c r="M312" s="27"/>
      <c r="N312" s="27"/>
      <c r="O312" s="27"/>
      <c r="P312" s="385" t="str">
        <f>+$P$23</f>
        <v>FACTURACION MENSUAL TOTAL</v>
      </c>
      <c r="Q312" s="386"/>
      <c r="R312" s="386"/>
      <c r="S312" s="386"/>
      <c r="T312" s="189">
        <f>ROUND(SUM(T302:T311),3)</f>
        <v>358.21600000000001</v>
      </c>
      <c r="U312" s="60"/>
      <c r="V312" s="1"/>
      <c r="W312" s="61"/>
      <c r="X312" s="61"/>
      <c r="Y312" s="61"/>
      <c r="Z312" s="61"/>
      <c r="AA312" s="61"/>
      <c r="AB312" s="61"/>
    </row>
    <row r="313" spans="1:34" ht="38.25" customHeight="1" thickBot="1" x14ac:dyDescent="0.25">
      <c r="B313" s="57" t="str">
        <f>"B"&amp;B299</f>
        <v>B18</v>
      </c>
      <c r="C313" s="387" t="str">
        <f>+C296</f>
        <v>En caso de proponente plural: ¿De la totalidad de los contratos aportados por el proponente plural, el valor ejecutado de uno de ellos deberá ser igual o superior al 30% del P.O.?  (SI; NO; NA)</v>
      </c>
      <c r="D313" s="388"/>
      <c r="E313" s="388"/>
      <c r="F313" s="388"/>
      <c r="G313" s="389"/>
      <c r="H313" s="190">
        <f>+$H$6</f>
        <v>268.14722506074827</v>
      </c>
      <c r="I313" s="191" t="str">
        <f>+IF(AG299="","",IF(AG299=1,"NA",IF(AND(AG299&gt;1,(COUNTIFS(AD302:AD311,"SI",AE302:AE311,"&gt;0"))&gt;=1),"SI","NO")))</f>
        <v>SI</v>
      </c>
      <c r="J313" s="192"/>
      <c r="K313" s="193"/>
      <c r="L313" s="194"/>
      <c r="M313" s="194"/>
      <c r="N313" s="194"/>
      <c r="O313" s="194"/>
      <c r="P313" s="387" t="str">
        <f>+$P$24</f>
        <v>PROMEDIO FACTURACIÓN MENSUAL DEL PROPONENTE (PFMP)</v>
      </c>
      <c r="Q313" s="388"/>
      <c r="R313" s="388"/>
      <c r="S313" s="388"/>
      <c r="T313" s="195">
        <f t="array" ref="T313">IF(T312=0,0,ROUND(T312/(SUM(IF(FREQUENCY(A302:A311,A302:A311)&gt;0,1))),3))</f>
        <v>119.405</v>
      </c>
      <c r="U313" s="214"/>
      <c r="V313" s="1"/>
      <c r="W313" s="61"/>
      <c r="X313" s="61"/>
      <c r="Y313" s="61"/>
      <c r="Z313" s="61"/>
      <c r="AA313" s="61"/>
      <c r="AB313" s="61"/>
    </row>
    <row r="314" spans="1:34" ht="21" customHeight="1" thickBot="1" x14ac:dyDescent="0.25">
      <c r="B314" s="197" t="str">
        <f>"C"&amp;B299</f>
        <v>C18</v>
      </c>
      <c r="C314" s="349" t="str">
        <f>+$C$25</f>
        <v>PROPONENTE CUMPLE CON LAS ACTIVIDADES a) y b)? (SI; NO)</v>
      </c>
      <c r="D314" s="350"/>
      <c r="E314" s="350"/>
      <c r="F314" s="350"/>
      <c r="G314" s="350"/>
      <c r="H314" s="351"/>
      <c r="I314" s="198" t="str">
        <f>IF(C299="","",(IF(AND(COUNTIFS(X302:X311,"SI",Z302:Z311,"SI")&gt;=$Z$8,COUNTIFS(X302:X311,"SI",AB302:AB311,"SI")&gt;=$Z$8),"SI","NO")))</f>
        <v>SI</v>
      </c>
      <c r="J314" s="199"/>
      <c r="K314" s="200"/>
      <c r="L314" s="200"/>
      <c r="M314" s="200"/>
      <c r="N314" s="200"/>
      <c r="P314" s="378" t="str">
        <f>+$P$25</f>
        <v>VALOR PUNTAJE POR EXPERIENCIA DEL PROPONENTE</v>
      </c>
      <c r="Q314" s="379"/>
      <c r="R314" s="379"/>
      <c r="S314" s="380"/>
      <c r="T314" s="201">
        <f>IF(OR(C299="",'ASIGNACION DE PUNTAJES'!$C$5=""),"",VLOOKUP(B299,'ASIGNACION DE PUNTAJES'!$A$15:$G$69,7,FALSE))</f>
        <v>614.82399999999996</v>
      </c>
      <c r="V314" s="202"/>
    </row>
    <row r="315" spans="1:34" ht="9.75" customHeight="1" thickBot="1" x14ac:dyDescent="0.25">
      <c r="M315" s="84"/>
      <c r="N315" s="84"/>
      <c r="O315" s="84"/>
      <c r="V315" s="21"/>
    </row>
    <row r="316" spans="1:34" ht="36.75" customHeight="1" thickBot="1" x14ac:dyDescent="0.25">
      <c r="B316" s="23">
        <f>1+B299</f>
        <v>19</v>
      </c>
      <c r="C316" s="336" t="s">
        <v>911</v>
      </c>
      <c r="D316" s="337"/>
      <c r="E316" s="337"/>
      <c r="F316" s="337"/>
      <c r="G316" s="337"/>
      <c r="H316" s="337"/>
      <c r="I316" s="338"/>
      <c r="J316" s="24" t="str">
        <f>+IF(C316="","","INTEGRANTES")</f>
        <v>INTEGRANTES</v>
      </c>
      <c r="K316" s="339" t="s">
        <v>912</v>
      </c>
      <c r="L316" s="339"/>
      <c r="M316" s="339"/>
      <c r="N316" s="339"/>
      <c r="O316" s="339"/>
      <c r="P316" s="339"/>
      <c r="Q316" s="339"/>
      <c r="R316" s="396" t="str">
        <f>+$R$10</f>
        <v>PROPONENTE No.</v>
      </c>
      <c r="S316" s="397"/>
      <c r="T316" s="25">
        <f>+B316</f>
        <v>19</v>
      </c>
      <c r="U316" s="161" t="str">
        <f>+$U$10</f>
        <v>PFMP</v>
      </c>
      <c r="V316" s="162">
        <f>IF(T330="",0,T330)</f>
        <v>194.47800000000001</v>
      </c>
      <c r="X316" s="325" t="s">
        <v>168</v>
      </c>
      <c r="Z316" s="163" t="str">
        <f>+$Z$10</f>
        <v>EXP. ESPECÍFICA 
A:</v>
      </c>
      <c r="AB316" s="163" t="str">
        <f>+$AB$10</f>
        <v>EXP. ESPECÍFICA 
B:</v>
      </c>
      <c r="AG316" s="1">
        <v>2</v>
      </c>
    </row>
    <row r="317" spans="1:34" ht="42" customHeight="1" x14ac:dyDescent="0.2">
      <c r="B317" s="331" t="str">
        <f>+$B$11</f>
        <v>ITEM</v>
      </c>
      <c r="C317" s="318" t="str">
        <f>+$C$11</f>
        <v>PROPONENTE 
/ 
INTEGRANTE OFERENTE PLURAL</v>
      </c>
      <c r="D317" s="333" t="str">
        <f>+$D$11</f>
        <v>INFORMACIÓN DEL CONTRATO</v>
      </c>
      <c r="E317" s="334"/>
      <c r="F317" s="334"/>
      <c r="G317" s="335"/>
      <c r="H317" s="318" t="str">
        <f>+H300</f>
        <v>CONSECUTIVO RUP</v>
      </c>
      <c r="I317" s="318" t="str">
        <f>+$I$11</f>
        <v>¿SE ENCUENTRA INSCRITO EN EL RUP Y CUMPLE CÓDIGOS UNSPSC?</v>
      </c>
      <c r="J317" s="318" t="str">
        <f>+$J$11</f>
        <v xml:space="preserve">VALOR EN RUP (SMMLV) </v>
      </c>
      <c r="K317" s="318" t="str">
        <f>+$K$11</f>
        <v>% PARTIC en el RUP</v>
      </c>
      <c r="L317" s="318" t="str">
        <f>+$L$11</f>
        <v>VALOR DEL CONTRATO TERMINADO (SMMLV) en el   RUP</v>
      </c>
      <c r="M317" s="318" t="str">
        <f>+$M$11</f>
        <v>FECHA DE INICIO</v>
      </c>
      <c r="N317" s="318" t="str">
        <f>+$N$11</f>
        <v>FECHA DE TERMINACION</v>
      </c>
      <c r="O317" s="318" t="str">
        <f>+$O$11</f>
        <v>PLAZO CONTRA-TO (Meses)</v>
      </c>
      <c r="P317" s="390" t="str">
        <f>+$P$11</f>
        <v>Tsusp i</v>
      </c>
      <c r="Q317" s="391"/>
      <c r="R317" s="392"/>
      <c r="S317" s="318" t="str">
        <f>+$S$11</f>
        <v>PLAZO i REAL</v>
      </c>
      <c r="T317" s="318" t="str">
        <f>+$T$11</f>
        <v>FACTURA-CION MENSUAL PROPO-NENTE</v>
      </c>
      <c r="U317" s="318" t="str">
        <f>+$U$11</f>
        <v>VALIDACIÓN DE LA EXPERIENCIA GENERAL
(SI/NO)</v>
      </c>
      <c r="V317" s="393" t="str">
        <f>+$V$11</f>
        <v>OBSERVACIONES</v>
      </c>
      <c r="X317" s="326"/>
      <c r="Z317" s="381" t="str">
        <f>+$Z$11</f>
        <v>Interventoria a la ejecución de obras relacionadas con Colocación de capas granulares (tales como bases y/o sub-bases granulares).</v>
      </c>
      <c r="AB317" s="381" t="str">
        <f>+$AB$11</f>
        <v>Interventoria a la Ejecución de obras de subdrenaje y/o drenaje, en carreteras.</v>
      </c>
    </row>
    <row r="318" spans="1:34" ht="38.25" customHeight="1" thickBot="1" x14ac:dyDescent="0.25">
      <c r="B318" s="395"/>
      <c r="C318" s="348"/>
      <c r="D318" s="165" t="str">
        <f>+$D$12</f>
        <v>ENTIDAD</v>
      </c>
      <c r="E318" s="165" t="str">
        <f>+$E$12</f>
        <v>No. DE CONTRATO</v>
      </c>
      <c r="F318" s="165" t="str">
        <f>+$F$12</f>
        <v>OBJETO</v>
      </c>
      <c r="G318" s="165" t="str">
        <f>+$G$12</f>
        <v>CONTRATISTA</v>
      </c>
      <c r="H318" s="348"/>
      <c r="I318" s="348"/>
      <c r="J318" s="348"/>
      <c r="K318" s="348"/>
      <c r="L318" s="348"/>
      <c r="M318" s="348"/>
      <c r="N318" s="348"/>
      <c r="O318" s="348"/>
      <c r="P318" s="166" t="str">
        <f>+P301</f>
        <v>Finicsuspi</v>
      </c>
      <c r="Q318" s="166" t="str">
        <f>+Q301</f>
        <v xml:space="preserve"> Ftermsuspi </v>
      </c>
      <c r="R318" s="166" t="str">
        <f>+R301</f>
        <v>Tsusp i (meses)</v>
      </c>
      <c r="S318" s="348"/>
      <c r="T318" s="348"/>
      <c r="U318" s="348"/>
      <c r="V318" s="394"/>
      <c r="X318" s="327"/>
      <c r="Z318" s="381"/>
      <c r="AB318" s="381"/>
    </row>
    <row r="319" spans="1:34" s="27" customFormat="1" ht="63.75" customHeight="1" x14ac:dyDescent="0.2">
      <c r="A319" s="27">
        <f>+IF(T319="","",B319)</f>
        <v>1</v>
      </c>
      <c r="B319" s="28">
        <v>1</v>
      </c>
      <c r="C319" s="86" t="s">
        <v>365</v>
      </c>
      <c r="D319" s="86" t="s">
        <v>366</v>
      </c>
      <c r="E319" s="87" t="s">
        <v>367</v>
      </c>
      <c r="F319" s="87" t="s">
        <v>368</v>
      </c>
      <c r="G319" s="86" t="s">
        <v>369</v>
      </c>
      <c r="H319" s="30">
        <v>99</v>
      </c>
      <c r="I319" s="31" t="s">
        <v>16</v>
      </c>
      <c r="J319" s="32">
        <v>1851.84</v>
      </c>
      <c r="K319" s="33">
        <v>1</v>
      </c>
      <c r="L319" s="34">
        <f>IF(OR(H319="",I319&lt;&gt;"SI",I319="NO",J319="",J319=0,K319="",K319=0,X319&lt;&gt;"SI"),0,J319*K319)</f>
        <v>1851.84</v>
      </c>
      <c r="M319" s="204">
        <v>41691</v>
      </c>
      <c r="N319" s="204">
        <v>41932</v>
      </c>
      <c r="O319" s="169">
        <f>IF(OR(H319="",I319&lt;&gt;"SI",I319="NO",J319="",J319=0,K319="",K319=0,,M319="",N319=""),"",ROUND((((N319-M319)+1)/30),3))</f>
        <v>8.0670000000000002</v>
      </c>
      <c r="P319" s="204"/>
      <c r="Q319" s="204"/>
      <c r="R319" s="170">
        <f>IF(OR((Q319-P319)=0,P319="",Q319=""),0,(ROUND((((Q319-P319)+1)/30),3)))</f>
        <v>0</v>
      </c>
      <c r="S319" s="171">
        <f>IF(O319="","",ROUND(SUM(O319)-SUM(R319),3))</f>
        <v>8.0670000000000002</v>
      </c>
      <c r="T319" s="172">
        <f>+IF(C319="","",IF(OR(S319="",S319&lt;=0,I319="",I319="NO",U319="",U319="NO",X319="NO"),"",ROUND(SUM(L319)/S319,3)))</f>
        <v>229.55699999999999</v>
      </c>
      <c r="U319" s="35" t="s">
        <v>16</v>
      </c>
      <c r="V319" s="36"/>
      <c r="W319" s="205"/>
      <c r="X319" s="37" t="str">
        <f t="shared" ref="X319:X328" si="144">+IF(C319="","",IF(AND(H319&lt;&gt;"",I319="SI",J319&lt;&gt;"",J319&gt;0,K319&lt;&gt;"",K319&gt;0,S319&lt;&gt;"",S319&gt;0,U319="SI"),"SI","NO"))</f>
        <v>SI</v>
      </c>
      <c r="Z319" s="173" t="s">
        <v>211</v>
      </c>
      <c r="AB319" s="173" t="s">
        <v>16</v>
      </c>
      <c r="AD319" s="10" t="str">
        <f t="shared" ref="AD319:AD328" si="145">+IF($C$316="","",IF(C319="","",IF(L319&gt;=$H$6,"SI","NO")))</f>
        <v>SI</v>
      </c>
      <c r="AE319" s="92">
        <f>+IF(OR($T$319="",X319="",X319="NO"),"",L319)</f>
        <v>1851.84</v>
      </c>
      <c r="AF319" s="92">
        <f>+IF(AE319="","",L319/$S$319)</f>
        <v>229.55745630345851</v>
      </c>
      <c r="AG319" s="174">
        <f>0.1+B316</f>
        <v>19.100000000000001</v>
      </c>
      <c r="AH319" s="27" t="s">
        <v>97</v>
      </c>
    </row>
    <row r="320" spans="1:34" s="27" customFormat="1" ht="74.25" customHeight="1" x14ac:dyDescent="0.2">
      <c r="A320" s="27">
        <f t="shared" ref="A320:A328" si="146">+IF(T320="","",B320)</f>
        <v>2</v>
      </c>
      <c r="B320" s="38">
        <v>2</v>
      </c>
      <c r="C320" s="39" t="s">
        <v>365</v>
      </c>
      <c r="D320" s="39" t="s">
        <v>370</v>
      </c>
      <c r="E320" s="46" t="s">
        <v>371</v>
      </c>
      <c r="F320" s="46" t="s">
        <v>372</v>
      </c>
      <c r="G320" s="39" t="s">
        <v>369</v>
      </c>
      <c r="H320" s="40">
        <v>1</v>
      </c>
      <c r="I320" s="41" t="s">
        <v>16</v>
      </c>
      <c r="J320" s="42">
        <v>5584.21</v>
      </c>
      <c r="K320" s="43">
        <v>1</v>
      </c>
      <c r="L320" s="44">
        <f t="shared" ref="L320:L328" si="147">IF(OR(H320="",I320&lt;&gt;"SI",I320="NO",J320="",J320=0,K320="",K320=0,X320&lt;&gt;"SI"),0,J320*K320)</f>
        <v>5584.21</v>
      </c>
      <c r="M320" s="206">
        <v>40190</v>
      </c>
      <c r="N320" s="206">
        <v>41240</v>
      </c>
      <c r="O320" s="207">
        <f t="shared" ref="O320:O328" si="148">IF(OR(H320="",I320&lt;&gt;"SI",I320="NO",J320="",J320=0,K320="",K320=0,,M320="",N320=""),"",ROUND((((N320-M320)+1)/30),3))</f>
        <v>35.033000000000001</v>
      </c>
      <c r="P320" s="206"/>
      <c r="Q320" s="206"/>
      <c r="R320" s="177">
        <f t="shared" ref="R320:R328" si="149">IF(OR((Q320-P320)=0,P320="",Q320=""),0,(ROUND((((Q320-P320)+1)/30),3)))</f>
        <v>0</v>
      </c>
      <c r="S320" s="178">
        <f t="shared" ref="S320:S328" si="150">IF(O320="","",ROUND(SUM(O320)-SUM(R320),3))</f>
        <v>35.033000000000001</v>
      </c>
      <c r="T320" s="208">
        <f t="shared" ref="T320:T328" si="151">+IF(C320="","",IF(OR(S320="",S320&lt;=0,I320="",I320="NO",U320="",U320="NO",X320="NO"),"",ROUND(SUM(L320)/S320,3)))</f>
        <v>159.399</v>
      </c>
      <c r="U320" s="41" t="s">
        <v>16</v>
      </c>
      <c r="V320" s="209"/>
      <c r="W320" s="205"/>
      <c r="X320" s="37" t="str">
        <f t="shared" si="144"/>
        <v>SI</v>
      </c>
      <c r="Z320" s="173" t="s">
        <v>16</v>
      </c>
      <c r="AB320" s="173" t="s">
        <v>211</v>
      </c>
      <c r="AD320" s="10" t="str">
        <f t="shared" si="145"/>
        <v>SI</v>
      </c>
      <c r="AE320" s="92">
        <f>+IF(OR($T$320="",X320="",X320="NO"),"",L320)</f>
        <v>5584.21</v>
      </c>
      <c r="AF320" s="92">
        <f>+IF(AE320="","",L320/$S$320)</f>
        <v>159.3985670653384</v>
      </c>
      <c r="AG320" s="174">
        <f>0.2+B316</f>
        <v>19.2</v>
      </c>
      <c r="AH320" s="27" t="s">
        <v>365</v>
      </c>
    </row>
    <row r="321" spans="1:34" s="27" customFormat="1" ht="89.25" customHeight="1" x14ac:dyDescent="0.2">
      <c r="A321" s="27" t="str">
        <f t="shared" si="146"/>
        <v/>
      </c>
      <c r="B321" s="38">
        <v>3</v>
      </c>
      <c r="C321" s="39" t="s">
        <v>97</v>
      </c>
      <c r="D321" s="39" t="s">
        <v>80</v>
      </c>
      <c r="E321" s="46" t="s">
        <v>373</v>
      </c>
      <c r="F321" s="46" t="s">
        <v>374</v>
      </c>
      <c r="G321" s="39" t="s">
        <v>101</v>
      </c>
      <c r="H321" s="40">
        <v>2</v>
      </c>
      <c r="I321" s="41" t="s">
        <v>16</v>
      </c>
      <c r="J321" s="42">
        <v>288.07</v>
      </c>
      <c r="K321" s="43">
        <v>0.3</v>
      </c>
      <c r="L321" s="44">
        <f t="shared" si="147"/>
        <v>0</v>
      </c>
      <c r="M321" s="206">
        <v>41583</v>
      </c>
      <c r="N321" s="206">
        <v>41691</v>
      </c>
      <c r="O321" s="207">
        <f t="shared" si="148"/>
        <v>3.633</v>
      </c>
      <c r="P321" s="206"/>
      <c r="Q321" s="206"/>
      <c r="R321" s="177">
        <f t="shared" si="149"/>
        <v>0</v>
      </c>
      <c r="S321" s="178">
        <f t="shared" si="150"/>
        <v>3.633</v>
      </c>
      <c r="T321" s="208" t="str">
        <f t="shared" si="151"/>
        <v/>
      </c>
      <c r="U321" s="41" t="s">
        <v>211</v>
      </c>
      <c r="V321" s="45" t="s">
        <v>375</v>
      </c>
      <c r="W321" s="205"/>
      <c r="X321" s="37" t="str">
        <f t="shared" si="144"/>
        <v>NO</v>
      </c>
      <c r="Z321" s="173" t="s">
        <v>16</v>
      </c>
      <c r="AB321" s="173" t="s">
        <v>211</v>
      </c>
      <c r="AD321" s="10" t="str">
        <f t="shared" si="145"/>
        <v>NO</v>
      </c>
      <c r="AE321" s="92" t="str">
        <f>+IF(OR($T$321="",X321="",X321="NO"),"",L321)</f>
        <v/>
      </c>
      <c r="AF321" s="92" t="str">
        <f>+IF(AE321="","",L321/$S$321)</f>
        <v/>
      </c>
      <c r="AG321" s="174">
        <f>0.3+B316</f>
        <v>19.3</v>
      </c>
      <c r="AH321" s="27" t="s">
        <v>932</v>
      </c>
    </row>
    <row r="322" spans="1:34" s="27" customFormat="1" ht="12.75" x14ac:dyDescent="0.2">
      <c r="A322" s="27" t="str">
        <f t="shared" si="146"/>
        <v/>
      </c>
      <c r="B322" s="38"/>
      <c r="C322" s="39"/>
      <c r="D322" s="39"/>
      <c r="E322" s="46"/>
      <c r="F322" s="46"/>
      <c r="G322" s="39"/>
      <c r="H322" s="40"/>
      <c r="I322" s="41"/>
      <c r="J322" s="42"/>
      <c r="K322" s="43"/>
      <c r="L322" s="44">
        <f t="shared" si="147"/>
        <v>0</v>
      </c>
      <c r="M322" s="206"/>
      <c r="N322" s="206"/>
      <c r="O322" s="207" t="str">
        <f t="shared" si="148"/>
        <v/>
      </c>
      <c r="P322" s="206"/>
      <c r="Q322" s="206"/>
      <c r="R322" s="177">
        <f t="shared" si="149"/>
        <v>0</v>
      </c>
      <c r="S322" s="178" t="str">
        <f t="shared" si="150"/>
        <v/>
      </c>
      <c r="T322" s="208" t="str">
        <f t="shared" si="151"/>
        <v/>
      </c>
      <c r="U322" s="41"/>
      <c r="V322" s="45"/>
      <c r="W322" s="210"/>
      <c r="X322" s="37" t="str">
        <f t="shared" si="144"/>
        <v/>
      </c>
      <c r="Z322" s="180"/>
      <c r="AB322" s="173"/>
      <c r="AD322" s="10" t="str">
        <f t="shared" si="145"/>
        <v/>
      </c>
      <c r="AE322" s="92" t="str">
        <f>+IF(OR($T$322="",X322="",X322="NO"),"",L322)</f>
        <v/>
      </c>
      <c r="AF322" s="92" t="str">
        <f>+IF(AE322="","",L322/$S$322)</f>
        <v/>
      </c>
      <c r="AG322" s="174"/>
    </row>
    <row r="323" spans="1:34" s="27" customFormat="1" ht="12.75" x14ac:dyDescent="0.2">
      <c r="A323" s="27" t="str">
        <f t="shared" si="146"/>
        <v/>
      </c>
      <c r="B323" s="38"/>
      <c r="C323" s="39"/>
      <c r="D323" s="39"/>
      <c r="E323" s="46"/>
      <c r="F323" s="46"/>
      <c r="G323" s="39"/>
      <c r="H323" s="40"/>
      <c r="I323" s="41"/>
      <c r="J323" s="42"/>
      <c r="K323" s="43"/>
      <c r="L323" s="44">
        <f t="shared" si="147"/>
        <v>0</v>
      </c>
      <c r="M323" s="206"/>
      <c r="N323" s="206"/>
      <c r="O323" s="207" t="str">
        <f t="shared" si="148"/>
        <v/>
      </c>
      <c r="P323" s="206"/>
      <c r="Q323" s="206"/>
      <c r="R323" s="177">
        <f t="shared" si="149"/>
        <v>0</v>
      </c>
      <c r="S323" s="178" t="str">
        <f t="shared" si="150"/>
        <v/>
      </c>
      <c r="T323" s="208" t="str">
        <f t="shared" si="151"/>
        <v/>
      </c>
      <c r="U323" s="41"/>
      <c r="V323" s="45"/>
      <c r="X323" s="37" t="str">
        <f t="shared" si="144"/>
        <v/>
      </c>
      <c r="Z323" s="181"/>
      <c r="AB323" s="173"/>
      <c r="AD323" s="10" t="str">
        <f t="shared" si="145"/>
        <v/>
      </c>
      <c r="AE323" s="92" t="str">
        <f>+IF(OR($T$323="",X323="",X323="NO"),"",L323)</f>
        <v/>
      </c>
      <c r="AF323" s="92" t="str">
        <f>+IF(AE323="","",L323/$S$323)</f>
        <v/>
      </c>
      <c r="AG323" s="174"/>
    </row>
    <row r="324" spans="1:34" s="27" customFormat="1" ht="12.75" x14ac:dyDescent="0.2">
      <c r="A324" s="27" t="str">
        <f t="shared" si="146"/>
        <v/>
      </c>
      <c r="B324" s="38"/>
      <c r="C324" s="39"/>
      <c r="D324" s="39"/>
      <c r="E324" s="46"/>
      <c r="F324" s="46"/>
      <c r="G324" s="39"/>
      <c r="H324" s="40"/>
      <c r="I324" s="41"/>
      <c r="J324" s="42"/>
      <c r="K324" s="43"/>
      <c r="L324" s="44">
        <f t="shared" si="147"/>
        <v>0</v>
      </c>
      <c r="M324" s="206"/>
      <c r="N324" s="206"/>
      <c r="O324" s="207" t="str">
        <f t="shared" si="148"/>
        <v/>
      </c>
      <c r="P324" s="206"/>
      <c r="Q324" s="206"/>
      <c r="R324" s="177">
        <f t="shared" si="149"/>
        <v>0</v>
      </c>
      <c r="S324" s="178" t="str">
        <f t="shared" si="150"/>
        <v/>
      </c>
      <c r="T324" s="208" t="str">
        <f t="shared" si="151"/>
        <v/>
      </c>
      <c r="U324" s="41"/>
      <c r="V324" s="45"/>
      <c r="X324" s="37" t="str">
        <f t="shared" si="144"/>
        <v/>
      </c>
      <c r="Z324" s="181"/>
      <c r="AB324" s="173"/>
      <c r="AD324" s="10" t="str">
        <f t="shared" si="145"/>
        <v/>
      </c>
      <c r="AE324" s="92" t="str">
        <f>+IF(OR($T$324="",X324="",X324="NO"),"",L324)</f>
        <v/>
      </c>
      <c r="AF324" s="92" t="str">
        <f>+IF(AE324="","",L324/$S$324)</f>
        <v/>
      </c>
      <c r="AG324" s="174"/>
    </row>
    <row r="325" spans="1:34" s="27" customFormat="1" ht="12.75" x14ac:dyDescent="0.2">
      <c r="A325" s="27" t="str">
        <f t="shared" si="146"/>
        <v/>
      </c>
      <c r="B325" s="38"/>
      <c r="C325" s="39"/>
      <c r="D325" s="39"/>
      <c r="E325" s="46"/>
      <c r="F325" s="46"/>
      <c r="G325" s="39"/>
      <c r="H325" s="40"/>
      <c r="I325" s="41"/>
      <c r="J325" s="42"/>
      <c r="K325" s="43"/>
      <c r="L325" s="44">
        <f t="shared" si="147"/>
        <v>0</v>
      </c>
      <c r="M325" s="206"/>
      <c r="N325" s="206"/>
      <c r="O325" s="207" t="str">
        <f t="shared" si="148"/>
        <v/>
      </c>
      <c r="P325" s="206"/>
      <c r="Q325" s="206"/>
      <c r="R325" s="177">
        <f t="shared" si="149"/>
        <v>0</v>
      </c>
      <c r="S325" s="178" t="str">
        <f t="shared" si="150"/>
        <v/>
      </c>
      <c r="T325" s="208" t="str">
        <f t="shared" si="151"/>
        <v/>
      </c>
      <c r="U325" s="41"/>
      <c r="V325" s="45"/>
      <c r="X325" s="37" t="str">
        <f t="shared" si="144"/>
        <v/>
      </c>
      <c r="Z325" s="181"/>
      <c r="AB325" s="173"/>
      <c r="AD325" s="10" t="str">
        <f t="shared" si="145"/>
        <v/>
      </c>
      <c r="AE325" s="92" t="str">
        <f>+IF(OR($T$325="",X325="",X325="NO"),"",L325)</f>
        <v/>
      </c>
      <c r="AF325" s="92" t="str">
        <f>+IF(AE325="","",L325/$S$325)</f>
        <v/>
      </c>
      <c r="AG325" s="174"/>
    </row>
    <row r="326" spans="1:34" s="27" customFormat="1" ht="12.75" x14ac:dyDescent="0.2">
      <c r="A326" s="27" t="str">
        <f t="shared" si="146"/>
        <v/>
      </c>
      <c r="B326" s="38"/>
      <c r="C326" s="39"/>
      <c r="D326" s="39"/>
      <c r="E326" s="46"/>
      <c r="F326" s="46"/>
      <c r="G326" s="39"/>
      <c r="H326" s="40"/>
      <c r="I326" s="41"/>
      <c r="J326" s="42"/>
      <c r="K326" s="43"/>
      <c r="L326" s="44">
        <f t="shared" si="147"/>
        <v>0</v>
      </c>
      <c r="M326" s="206"/>
      <c r="N326" s="206"/>
      <c r="O326" s="207" t="str">
        <f t="shared" si="148"/>
        <v/>
      </c>
      <c r="P326" s="206"/>
      <c r="Q326" s="206"/>
      <c r="R326" s="177">
        <f t="shared" si="149"/>
        <v>0</v>
      </c>
      <c r="S326" s="178" t="str">
        <f t="shared" si="150"/>
        <v/>
      </c>
      <c r="T326" s="208" t="str">
        <f t="shared" si="151"/>
        <v/>
      </c>
      <c r="U326" s="41"/>
      <c r="V326" s="45"/>
      <c r="X326" s="37" t="str">
        <f t="shared" si="144"/>
        <v/>
      </c>
      <c r="Z326" s="181"/>
      <c r="AB326" s="173"/>
      <c r="AD326" s="10" t="str">
        <f t="shared" si="145"/>
        <v/>
      </c>
      <c r="AE326" s="92" t="str">
        <f>+IF(OR($T$326="",X326="",X326="NO"),"",L326)</f>
        <v/>
      </c>
      <c r="AF326" s="92" t="str">
        <f>+IF(AE326="","",L326/$S$326)</f>
        <v/>
      </c>
      <c r="AG326" s="174"/>
    </row>
    <row r="327" spans="1:34" s="27" customFormat="1" ht="12.75" x14ac:dyDescent="0.2">
      <c r="A327" s="27" t="str">
        <f t="shared" si="146"/>
        <v/>
      </c>
      <c r="B327" s="38"/>
      <c r="C327" s="39"/>
      <c r="D327" s="39"/>
      <c r="E327" s="46"/>
      <c r="F327" s="46"/>
      <c r="G327" s="39"/>
      <c r="H327" s="40"/>
      <c r="I327" s="41"/>
      <c r="J327" s="42"/>
      <c r="K327" s="43"/>
      <c r="L327" s="44">
        <f t="shared" si="147"/>
        <v>0</v>
      </c>
      <c r="M327" s="206"/>
      <c r="N327" s="206"/>
      <c r="O327" s="207" t="str">
        <f t="shared" si="148"/>
        <v/>
      </c>
      <c r="P327" s="206"/>
      <c r="Q327" s="206"/>
      <c r="R327" s="177">
        <f t="shared" si="149"/>
        <v>0</v>
      </c>
      <c r="S327" s="178" t="str">
        <f t="shared" si="150"/>
        <v/>
      </c>
      <c r="T327" s="208" t="str">
        <f t="shared" si="151"/>
        <v/>
      </c>
      <c r="U327" s="41"/>
      <c r="V327" s="45"/>
      <c r="X327" s="37" t="str">
        <f t="shared" si="144"/>
        <v/>
      </c>
      <c r="Z327" s="181"/>
      <c r="AB327" s="173"/>
      <c r="AD327" s="10" t="str">
        <f t="shared" si="145"/>
        <v/>
      </c>
      <c r="AE327" s="92" t="str">
        <f>+IF(OR($T$327="",X327="",X327="NO"),"",L327)</f>
        <v/>
      </c>
      <c r="AF327" s="92" t="str">
        <f>+IF(AE327="","",L327/$S$327)</f>
        <v/>
      </c>
      <c r="AG327" s="174"/>
    </row>
    <row r="328" spans="1:34" s="27" customFormat="1" ht="13.5" thickBot="1" x14ac:dyDescent="0.25">
      <c r="A328" s="27" t="str">
        <f t="shared" si="146"/>
        <v/>
      </c>
      <c r="B328" s="47"/>
      <c r="C328" s="48"/>
      <c r="D328" s="48"/>
      <c r="E328" s="49"/>
      <c r="F328" s="49"/>
      <c r="G328" s="48"/>
      <c r="H328" s="50"/>
      <c r="I328" s="51"/>
      <c r="J328" s="14"/>
      <c r="K328" s="52"/>
      <c r="L328" s="53">
        <f t="shared" si="147"/>
        <v>0</v>
      </c>
      <c r="M328" s="211"/>
      <c r="N328" s="211"/>
      <c r="O328" s="212" t="str">
        <f t="shared" si="148"/>
        <v/>
      </c>
      <c r="P328" s="211"/>
      <c r="Q328" s="211"/>
      <c r="R328" s="184">
        <f t="shared" si="149"/>
        <v>0</v>
      </c>
      <c r="S328" s="185" t="str">
        <f t="shared" si="150"/>
        <v/>
      </c>
      <c r="T328" s="213" t="str">
        <f t="shared" si="151"/>
        <v/>
      </c>
      <c r="U328" s="51"/>
      <c r="V328" s="54"/>
      <c r="X328" s="55" t="str">
        <f t="shared" si="144"/>
        <v/>
      </c>
      <c r="Z328" s="187"/>
      <c r="AB328" s="188"/>
      <c r="AD328" s="10" t="str">
        <f t="shared" si="145"/>
        <v/>
      </c>
      <c r="AE328" s="92" t="str">
        <f>+IF(OR($T$328="",X328="",X328="NO"),"",L328)</f>
        <v/>
      </c>
      <c r="AF328" s="92" t="str">
        <f>+IF(AE328="","",L328/$S$328)</f>
        <v/>
      </c>
    </row>
    <row r="329" spans="1:34" ht="36" customHeight="1" x14ac:dyDescent="0.2">
      <c r="B329" s="57" t="str">
        <f>"A"&amp;B316</f>
        <v>A19</v>
      </c>
      <c r="C329" s="382" t="str">
        <f>+$C$23</f>
        <v>¿CADA INTEGRANTE DE PROPONENTE PLURAL APORTAN CONTRATO?  (SI; NO; NA)</v>
      </c>
      <c r="D329" s="383"/>
      <c r="E329" s="383"/>
      <c r="F329" s="383"/>
      <c r="G329" s="383"/>
      <c r="H329" s="384"/>
      <c r="I329" s="217" t="str">
        <f>+IF(AG316="","",IF(AG316=1,"NA",IF(AND(AG316=3,(IF(COUNTIFS(C319:C328,AH319,AE319:AE328,"&gt;0")&gt;=1,1,0)+IF(COUNTIFS(C319:C328,AH320,AE319:AE328,"&gt;0")&gt;=1,1,0)+IF(COUNTIFS(C319:C328,AH321,AE319:AE328,"&gt;0")&gt;=1,1,0))&gt;=AG316),"SI",IF(AND(AG316=2,(IF(COUNTIFS(C319:C328,AH319,AE319:AE328,"&gt;0")&gt;=1,1,0)+IF(COUNTIFS(C319:C328,AH320,AE319:AE328,"&gt;0")&gt;=1,1,0))&gt;=AG316),"SI","NO"))))</f>
        <v>NO</v>
      </c>
      <c r="J329" s="59"/>
      <c r="K329" s="27"/>
      <c r="L329" s="27"/>
      <c r="M329" s="27"/>
      <c r="N329" s="27"/>
      <c r="O329" s="27"/>
      <c r="P329" s="385" t="str">
        <f>+$P$23</f>
        <v>FACTURACION MENSUAL TOTAL</v>
      </c>
      <c r="Q329" s="386"/>
      <c r="R329" s="386"/>
      <c r="S329" s="386"/>
      <c r="T329" s="189">
        <f>ROUND(SUM(T319:T328),3)</f>
        <v>388.95600000000002</v>
      </c>
      <c r="U329" s="60"/>
      <c r="V329" s="1"/>
      <c r="W329" s="61"/>
      <c r="X329" s="61"/>
      <c r="Y329" s="61"/>
      <c r="Z329" s="61"/>
      <c r="AA329" s="61"/>
      <c r="AB329" s="61"/>
    </row>
    <row r="330" spans="1:34" ht="38.25" customHeight="1" thickBot="1" x14ac:dyDescent="0.25">
      <c r="B330" s="57" t="str">
        <f>"B"&amp;B316</f>
        <v>B19</v>
      </c>
      <c r="C330" s="387" t="str">
        <f>+C313</f>
        <v>En caso de proponente plural: ¿De la totalidad de los contratos aportados por el proponente plural, el valor ejecutado de uno de ellos deberá ser igual o superior al 30% del P.O.?  (SI; NO; NA)</v>
      </c>
      <c r="D330" s="388"/>
      <c r="E330" s="388"/>
      <c r="F330" s="388"/>
      <c r="G330" s="389"/>
      <c r="H330" s="190">
        <f>+$H$6</f>
        <v>268.14722506074827</v>
      </c>
      <c r="I330" s="191" t="str">
        <f>+IF(AG316="","",IF(AG316=1,"NA",IF(AND(AG316&gt;1,(COUNTIFS(AD319:AD328,"SI",AE319:AE328,"&gt;0"))&gt;=1),"SI","NO")))</f>
        <v>SI</v>
      </c>
      <c r="J330" s="192"/>
      <c r="K330" s="193"/>
      <c r="L330" s="194"/>
      <c r="M330" s="194"/>
      <c r="N330" s="194"/>
      <c r="O330" s="194"/>
      <c r="P330" s="387" t="str">
        <f>+$P$24</f>
        <v>PROMEDIO FACTURACIÓN MENSUAL DEL PROPONENTE (PFMP)</v>
      </c>
      <c r="Q330" s="388"/>
      <c r="R330" s="388"/>
      <c r="S330" s="388"/>
      <c r="T330" s="195">
        <f t="array" ref="T330">IF(T329=0,0,ROUND(T329/(SUM(IF(FREQUENCY(A319:A328,A319:A328)&gt;0,1))),3))</f>
        <v>194.47800000000001</v>
      </c>
      <c r="U330" s="214"/>
      <c r="V330" s="1"/>
      <c r="W330" s="61"/>
      <c r="X330" s="61"/>
      <c r="Y330" s="61"/>
      <c r="Z330" s="61"/>
      <c r="AA330" s="61"/>
      <c r="AB330" s="61"/>
    </row>
    <row r="331" spans="1:34" ht="21" customHeight="1" thickBot="1" x14ac:dyDescent="0.25">
      <c r="B331" s="197" t="str">
        <f>"C"&amp;B316</f>
        <v>C19</v>
      </c>
      <c r="C331" s="349" t="str">
        <f>+$C$25</f>
        <v>PROPONENTE CUMPLE CON LAS ACTIVIDADES a) y b)? (SI; NO)</v>
      </c>
      <c r="D331" s="350"/>
      <c r="E331" s="350"/>
      <c r="F331" s="350"/>
      <c r="G331" s="350"/>
      <c r="H331" s="351"/>
      <c r="I331" s="198" t="str">
        <f>IF(C316="","",(IF(AND(COUNTIFS(X319:X328,"SI",Z319:Z328,"SI")&gt;=$Z$8,COUNTIFS(X319:X328,"SI",AB319:AB328,"SI")&gt;=$Z$8),"SI","NO")))</f>
        <v>SI</v>
      </c>
      <c r="J331" s="199"/>
      <c r="K331" s="200"/>
      <c r="L331" s="200"/>
      <c r="M331" s="200"/>
      <c r="N331" s="200"/>
      <c r="P331" s="378" t="str">
        <f>+$P$25</f>
        <v>VALOR PUNTAJE POR EXPERIENCIA DEL PROPONENTE</v>
      </c>
      <c r="Q331" s="379"/>
      <c r="R331" s="379"/>
      <c r="S331" s="380"/>
      <c r="T331" s="201" t="str">
        <f>IF(OR(C316="",'ASIGNACION DE PUNTAJES'!$C$5=""),"",VLOOKUP(B316,'ASIGNACION DE PUNTAJES'!$A$15:$G$69,7,FALSE))</f>
        <v/>
      </c>
      <c r="V331" s="202"/>
    </row>
    <row r="332" spans="1:34" ht="9.75" customHeight="1" thickBot="1" x14ac:dyDescent="0.25">
      <c r="M332" s="84"/>
      <c r="N332" s="84"/>
      <c r="O332" s="84"/>
      <c r="V332" s="21"/>
    </row>
    <row r="333" spans="1:34" ht="36.75" customHeight="1" thickBot="1" x14ac:dyDescent="0.25">
      <c r="B333" s="23">
        <f>1+B316</f>
        <v>20</v>
      </c>
      <c r="C333" s="336" t="s">
        <v>913</v>
      </c>
      <c r="D333" s="337"/>
      <c r="E333" s="337"/>
      <c r="F333" s="337"/>
      <c r="G333" s="337"/>
      <c r="H333" s="337"/>
      <c r="I333" s="338"/>
      <c r="J333" s="24" t="str">
        <f>+IF(C333="","","INTEGRANTES")</f>
        <v>INTEGRANTES</v>
      </c>
      <c r="K333" s="339" t="s">
        <v>914</v>
      </c>
      <c r="L333" s="339"/>
      <c r="M333" s="339"/>
      <c r="N333" s="339"/>
      <c r="O333" s="339"/>
      <c r="P333" s="339"/>
      <c r="Q333" s="339"/>
      <c r="R333" s="396" t="str">
        <f>+$R$10</f>
        <v>PROPONENTE No.</v>
      </c>
      <c r="S333" s="397"/>
      <c r="T333" s="25">
        <f>+B333</f>
        <v>20</v>
      </c>
      <c r="U333" s="161" t="str">
        <f>+$U$10</f>
        <v>PFMP</v>
      </c>
      <c r="V333" s="162">
        <f>IF(T347="",0,T347)</f>
        <v>119.041</v>
      </c>
      <c r="X333" s="325" t="s">
        <v>168</v>
      </c>
      <c r="Z333" s="163" t="str">
        <f>+$Z$10</f>
        <v>EXP. ESPECÍFICA 
A:</v>
      </c>
      <c r="AB333" s="163" t="str">
        <f>+$AB$10</f>
        <v>EXP. ESPECÍFICA 
B:</v>
      </c>
      <c r="AG333" s="1">
        <v>3</v>
      </c>
    </row>
    <row r="334" spans="1:34" ht="42" customHeight="1" x14ac:dyDescent="0.2">
      <c r="B334" s="331" t="str">
        <f>+$B$11</f>
        <v>ITEM</v>
      </c>
      <c r="C334" s="318" t="str">
        <f>+$C$11</f>
        <v>PROPONENTE 
/ 
INTEGRANTE OFERENTE PLURAL</v>
      </c>
      <c r="D334" s="333" t="str">
        <f>+$D$11</f>
        <v>INFORMACIÓN DEL CONTRATO</v>
      </c>
      <c r="E334" s="334"/>
      <c r="F334" s="334"/>
      <c r="G334" s="335"/>
      <c r="H334" s="318" t="str">
        <f>+H317</f>
        <v>CONSECUTIVO RUP</v>
      </c>
      <c r="I334" s="318" t="str">
        <f>+$I$11</f>
        <v>¿SE ENCUENTRA INSCRITO EN EL RUP Y CUMPLE CÓDIGOS UNSPSC?</v>
      </c>
      <c r="J334" s="318" t="str">
        <f>+$J$11</f>
        <v xml:space="preserve">VALOR EN RUP (SMMLV) </v>
      </c>
      <c r="K334" s="318" t="str">
        <f>+$K$11</f>
        <v>% PARTIC en el RUP</v>
      </c>
      <c r="L334" s="318" t="str">
        <f>+$L$11</f>
        <v>VALOR DEL CONTRATO TERMINADO (SMMLV) en el   RUP</v>
      </c>
      <c r="M334" s="318" t="str">
        <f>+$M$11</f>
        <v>FECHA DE INICIO</v>
      </c>
      <c r="N334" s="318" t="str">
        <f>+$N$11</f>
        <v>FECHA DE TERMINACION</v>
      </c>
      <c r="O334" s="318" t="str">
        <f>+$O$11</f>
        <v>PLAZO CONTRA-TO (Meses)</v>
      </c>
      <c r="P334" s="390" t="str">
        <f>+$P$11</f>
        <v>Tsusp i</v>
      </c>
      <c r="Q334" s="391"/>
      <c r="R334" s="392"/>
      <c r="S334" s="318" t="str">
        <f>+$S$11</f>
        <v>PLAZO i REAL</v>
      </c>
      <c r="T334" s="318" t="str">
        <f>+$T$11</f>
        <v>FACTURA-CION MENSUAL PROPO-NENTE</v>
      </c>
      <c r="U334" s="318" t="str">
        <f>+$U$11</f>
        <v>VALIDACIÓN DE LA EXPERIENCIA GENERAL
(SI/NO)</v>
      </c>
      <c r="V334" s="393" t="str">
        <f>+$V$11</f>
        <v>OBSERVACIONES</v>
      </c>
      <c r="X334" s="326"/>
      <c r="Z334" s="381" t="str">
        <f>+$Z$11</f>
        <v>Interventoria a la ejecución de obras relacionadas con Colocación de capas granulares (tales como bases y/o sub-bases granulares).</v>
      </c>
      <c r="AB334" s="381" t="str">
        <f>+$AB$11</f>
        <v>Interventoria a la Ejecución de obras de subdrenaje y/o drenaje, en carreteras.</v>
      </c>
    </row>
    <row r="335" spans="1:34" ht="38.25" customHeight="1" thickBot="1" x14ac:dyDescent="0.25">
      <c r="B335" s="395"/>
      <c r="C335" s="348"/>
      <c r="D335" s="165" t="str">
        <f>+$D$12</f>
        <v>ENTIDAD</v>
      </c>
      <c r="E335" s="165" t="str">
        <f>+$E$12</f>
        <v>No. DE CONTRATO</v>
      </c>
      <c r="F335" s="165" t="str">
        <f>+$F$12</f>
        <v>OBJETO</v>
      </c>
      <c r="G335" s="165" t="str">
        <f>+$G$12</f>
        <v>CONTRATISTA</v>
      </c>
      <c r="H335" s="348"/>
      <c r="I335" s="348"/>
      <c r="J335" s="348"/>
      <c r="K335" s="348"/>
      <c r="L335" s="348"/>
      <c r="M335" s="348"/>
      <c r="N335" s="348"/>
      <c r="O335" s="348"/>
      <c r="P335" s="166" t="str">
        <f>+P318</f>
        <v>Finicsuspi</v>
      </c>
      <c r="Q335" s="166" t="str">
        <f>+Q318</f>
        <v xml:space="preserve"> Ftermsuspi </v>
      </c>
      <c r="R335" s="166" t="str">
        <f>+R318</f>
        <v>Tsusp i (meses)</v>
      </c>
      <c r="S335" s="348"/>
      <c r="T335" s="348"/>
      <c r="U335" s="348"/>
      <c r="V335" s="394"/>
      <c r="X335" s="327"/>
      <c r="Z335" s="381"/>
      <c r="AB335" s="381"/>
    </row>
    <row r="336" spans="1:34" s="27" customFormat="1" ht="78" customHeight="1" x14ac:dyDescent="0.2">
      <c r="A336" s="27">
        <f>+IF(T336="","",B336)</f>
        <v>1</v>
      </c>
      <c r="B336" s="28">
        <v>1</v>
      </c>
      <c r="C336" s="86" t="s">
        <v>102</v>
      </c>
      <c r="D336" s="86" t="s">
        <v>376</v>
      </c>
      <c r="E336" s="87" t="s">
        <v>377</v>
      </c>
      <c r="F336" s="87" t="s">
        <v>378</v>
      </c>
      <c r="G336" s="86" t="s">
        <v>102</v>
      </c>
      <c r="H336" s="30">
        <v>60</v>
      </c>
      <c r="I336" s="31" t="s">
        <v>16</v>
      </c>
      <c r="J336" s="32">
        <v>1654.23</v>
      </c>
      <c r="K336" s="33">
        <v>1</v>
      </c>
      <c r="L336" s="34">
        <f>IF(OR(H336="",I336&lt;&gt;"SI",I336="NO",J336="",J336=0,K336="",K336=0,X336&lt;&gt;"SI"),0,J336*K336)</f>
        <v>1654.23</v>
      </c>
      <c r="M336" s="204">
        <v>41520</v>
      </c>
      <c r="N336" s="204">
        <v>42104</v>
      </c>
      <c r="O336" s="169">
        <f>IF(OR(H336="",I336&lt;&gt;"SI",I336="NO",J336="",J336=0,K336="",K336=0,,M336="",N336=""),"",ROUND((((N336-M336)+1)/30),3))</f>
        <v>19.5</v>
      </c>
      <c r="P336" s="204">
        <v>41834</v>
      </c>
      <c r="Q336" s="204">
        <v>41908</v>
      </c>
      <c r="R336" s="170">
        <f>IF(OR((Q336-P336)=0,P336="",Q336=""),0,(ROUND((((Q336-P336)+1)/30),3)))</f>
        <v>2.5</v>
      </c>
      <c r="S336" s="171">
        <f>IF(O336="","",ROUND(SUM(O336)-SUM(R336),3))</f>
        <v>17</v>
      </c>
      <c r="T336" s="172">
        <f>+IF(C336="","",IF(OR(S336="",S336&lt;=0,I336="",I336="NO",U336="",U336="NO",X336="NO"),"",ROUND(SUM(L336)/S336,3)))</f>
        <v>97.308000000000007</v>
      </c>
      <c r="U336" s="35" t="s">
        <v>16</v>
      </c>
      <c r="V336" s="36"/>
      <c r="W336" s="205"/>
      <c r="X336" s="37" t="str">
        <f t="shared" ref="X336:X345" si="152">+IF(C336="","",IF(AND(H336&lt;&gt;"",I336="SI",J336&lt;&gt;"",J336&gt;0,K336&lt;&gt;"",K336&gt;0,S336&lt;&gt;"",S336&gt;0,U336="SI"),"SI","NO"))</f>
        <v>SI</v>
      </c>
      <c r="Z336" s="173" t="s">
        <v>16</v>
      </c>
      <c r="AB336" s="173" t="s">
        <v>211</v>
      </c>
      <c r="AD336" s="10" t="str">
        <f t="shared" ref="AD336:AD345" si="153">+IF($C$333="","",IF(C336="","",IF(L336&gt;=$H$6,"SI","NO")))</f>
        <v>SI</v>
      </c>
      <c r="AE336" s="92">
        <f>+IF(OR($T$336="",X336="",X336="NO"),"",L336)</f>
        <v>1654.23</v>
      </c>
      <c r="AF336" s="92">
        <f>+IF(AE336="","",L336/$S$336)</f>
        <v>97.307647058823534</v>
      </c>
      <c r="AG336" s="174">
        <f>0.1+B333</f>
        <v>20.100000000000001</v>
      </c>
      <c r="AH336" s="27" t="s">
        <v>379</v>
      </c>
    </row>
    <row r="337" spans="1:34" s="27" customFormat="1" ht="67.5" customHeight="1" x14ac:dyDescent="0.2">
      <c r="A337" s="27">
        <f t="shared" ref="A337:A345" si="154">+IF(T337="","",B337)</f>
        <v>2</v>
      </c>
      <c r="B337" s="38">
        <v>2</v>
      </c>
      <c r="C337" s="39" t="s">
        <v>379</v>
      </c>
      <c r="D337" s="39" t="s">
        <v>380</v>
      </c>
      <c r="E337" s="46" t="s">
        <v>381</v>
      </c>
      <c r="F337" s="46" t="s">
        <v>382</v>
      </c>
      <c r="G337" s="39" t="s">
        <v>379</v>
      </c>
      <c r="H337" s="40">
        <v>22</v>
      </c>
      <c r="I337" s="41" t="s">
        <v>16</v>
      </c>
      <c r="J337" s="42">
        <v>500.43</v>
      </c>
      <c r="K337" s="43">
        <v>1</v>
      </c>
      <c r="L337" s="44">
        <f t="shared" ref="L337:L345" si="155">IF(OR(H337="",I337&lt;&gt;"SI",I337="NO",J337="",J337=0,K337="",K337=0,X337&lt;&gt;"SI"),0,J337*K337)</f>
        <v>500.43</v>
      </c>
      <c r="M337" s="206">
        <v>35683</v>
      </c>
      <c r="N337" s="206">
        <v>35836</v>
      </c>
      <c r="O337" s="207">
        <f t="shared" ref="O337:O345" si="156">IF(OR(H337="",I337&lt;&gt;"SI",I337="NO",J337="",J337=0,K337="",K337=0,,M337="",N337=""),"",ROUND((((N337-M337)+1)/30),3))</f>
        <v>5.133</v>
      </c>
      <c r="P337" s="206"/>
      <c r="Q337" s="206"/>
      <c r="R337" s="177">
        <f t="shared" ref="R337:R345" si="157">IF(OR((Q337-P337)=0,P337="",Q337=""),0,(ROUND((((Q337-P337)+1)/30),3)))</f>
        <v>0</v>
      </c>
      <c r="S337" s="178">
        <f t="shared" ref="S337:S345" si="158">IF(O337="","",ROUND(SUM(O337)-SUM(R337),3))</f>
        <v>5.133</v>
      </c>
      <c r="T337" s="208">
        <f t="shared" ref="T337:T345" si="159">+IF(C337="","",IF(OR(S337="",S337&lt;=0,I337="",I337="NO",U337="",U337="NO",X337="NO"),"",ROUND(SUM(L337)/S337,3)))</f>
        <v>97.492999999999995</v>
      </c>
      <c r="U337" s="41" t="s">
        <v>16</v>
      </c>
      <c r="V337" s="209"/>
      <c r="W337" s="205"/>
      <c r="X337" s="37" t="str">
        <f t="shared" si="152"/>
        <v>SI</v>
      </c>
      <c r="Z337" s="173" t="s">
        <v>16</v>
      </c>
      <c r="AB337" s="173" t="s">
        <v>16</v>
      </c>
      <c r="AD337" s="10" t="str">
        <f t="shared" si="153"/>
        <v>SI</v>
      </c>
      <c r="AE337" s="92">
        <f>+IF(OR($T$337="",X337="",X337="NO"),"",L337)</f>
        <v>500.43</v>
      </c>
      <c r="AF337" s="92">
        <f>+IF(AE337="","",L337/$S$337)</f>
        <v>97.492694330800703</v>
      </c>
      <c r="AG337" s="174">
        <f>0.2+B333</f>
        <v>20.2</v>
      </c>
      <c r="AH337" s="27" t="s">
        <v>102</v>
      </c>
    </row>
    <row r="338" spans="1:34" s="27" customFormat="1" ht="80.25" customHeight="1" x14ac:dyDescent="0.2">
      <c r="A338" s="27">
        <f t="shared" si="154"/>
        <v>3</v>
      </c>
      <c r="B338" s="38">
        <v>3</v>
      </c>
      <c r="C338" s="39" t="s">
        <v>383</v>
      </c>
      <c r="D338" s="39" t="s">
        <v>384</v>
      </c>
      <c r="E338" s="46" t="s">
        <v>385</v>
      </c>
      <c r="F338" s="46" t="s">
        <v>386</v>
      </c>
      <c r="G338" s="39" t="s">
        <v>383</v>
      </c>
      <c r="H338" s="40">
        <v>18</v>
      </c>
      <c r="I338" s="41" t="s">
        <v>16</v>
      </c>
      <c r="J338" s="42">
        <v>1682.8</v>
      </c>
      <c r="K338" s="43">
        <v>1</v>
      </c>
      <c r="L338" s="44">
        <f t="shared" si="155"/>
        <v>1682.8</v>
      </c>
      <c r="M338" s="206">
        <v>37643</v>
      </c>
      <c r="N338" s="206">
        <v>37953</v>
      </c>
      <c r="O338" s="207">
        <f t="shared" si="156"/>
        <v>10.367000000000001</v>
      </c>
      <c r="P338" s="206"/>
      <c r="Q338" s="206"/>
      <c r="R338" s="177">
        <f t="shared" si="157"/>
        <v>0</v>
      </c>
      <c r="S338" s="178">
        <f t="shared" si="158"/>
        <v>10.367000000000001</v>
      </c>
      <c r="T338" s="208">
        <f t="shared" si="159"/>
        <v>162.32300000000001</v>
      </c>
      <c r="U338" s="41" t="s">
        <v>16</v>
      </c>
      <c r="V338" s="45"/>
      <c r="W338" s="205"/>
      <c r="X338" s="37" t="str">
        <f t="shared" si="152"/>
        <v>SI</v>
      </c>
      <c r="Z338" s="173" t="s">
        <v>16</v>
      </c>
      <c r="AB338" s="173" t="s">
        <v>211</v>
      </c>
      <c r="AD338" s="10" t="str">
        <f t="shared" si="153"/>
        <v>SI</v>
      </c>
      <c r="AE338" s="92">
        <f>+IF(OR($T$338="",X338="",X338="NO"),"",L338)</f>
        <v>1682.8</v>
      </c>
      <c r="AF338" s="92">
        <f>+IF(AE338="","",L338/$S$338)</f>
        <v>162.32275489534098</v>
      </c>
      <c r="AG338" s="174">
        <f>0.3+B333</f>
        <v>20.3</v>
      </c>
      <c r="AH338" s="27" t="s">
        <v>383</v>
      </c>
    </row>
    <row r="339" spans="1:34" s="27" customFormat="1" ht="12.75" x14ac:dyDescent="0.2">
      <c r="A339" s="27" t="str">
        <f t="shared" si="154"/>
        <v/>
      </c>
      <c r="B339" s="38"/>
      <c r="C339" s="39"/>
      <c r="D339" s="39"/>
      <c r="E339" s="46"/>
      <c r="F339" s="46"/>
      <c r="G339" s="39"/>
      <c r="H339" s="40"/>
      <c r="I339" s="41"/>
      <c r="J339" s="42"/>
      <c r="K339" s="43"/>
      <c r="L339" s="44">
        <f t="shared" si="155"/>
        <v>0</v>
      </c>
      <c r="M339" s="206"/>
      <c r="N339" s="206"/>
      <c r="O339" s="207" t="str">
        <f t="shared" si="156"/>
        <v/>
      </c>
      <c r="P339" s="206"/>
      <c r="Q339" s="206"/>
      <c r="R339" s="177">
        <f t="shared" si="157"/>
        <v>0</v>
      </c>
      <c r="S339" s="178" t="str">
        <f t="shared" si="158"/>
        <v/>
      </c>
      <c r="T339" s="208" t="str">
        <f t="shared" si="159"/>
        <v/>
      </c>
      <c r="U339" s="41"/>
      <c r="V339" s="45"/>
      <c r="W339" s="210"/>
      <c r="X339" s="37" t="str">
        <f t="shared" si="152"/>
        <v/>
      </c>
      <c r="Z339" s="180"/>
      <c r="AB339" s="173"/>
      <c r="AD339" s="10" t="str">
        <f t="shared" si="153"/>
        <v/>
      </c>
      <c r="AE339" s="92" t="str">
        <f>+IF(OR($T$339="",X339="",X339="NO"),"",L339)</f>
        <v/>
      </c>
      <c r="AF339" s="92" t="str">
        <f>+IF(AE339="","",L339/$S$339)</f>
        <v/>
      </c>
      <c r="AG339" s="174"/>
    </row>
    <row r="340" spans="1:34" s="27" customFormat="1" ht="12.75" x14ac:dyDescent="0.2">
      <c r="A340" s="27" t="str">
        <f t="shared" si="154"/>
        <v/>
      </c>
      <c r="B340" s="38"/>
      <c r="C340" s="39"/>
      <c r="D340" s="39"/>
      <c r="E340" s="46"/>
      <c r="F340" s="46"/>
      <c r="G340" s="39"/>
      <c r="H340" s="40"/>
      <c r="I340" s="41"/>
      <c r="J340" s="42"/>
      <c r="K340" s="43"/>
      <c r="L340" s="44">
        <f t="shared" si="155"/>
        <v>0</v>
      </c>
      <c r="M340" s="206"/>
      <c r="N340" s="206"/>
      <c r="O340" s="207" t="str">
        <f t="shared" si="156"/>
        <v/>
      </c>
      <c r="P340" s="206"/>
      <c r="Q340" s="206"/>
      <c r="R340" s="177">
        <f t="shared" si="157"/>
        <v>0</v>
      </c>
      <c r="S340" s="178" t="str">
        <f t="shared" si="158"/>
        <v/>
      </c>
      <c r="T340" s="208" t="str">
        <f t="shared" si="159"/>
        <v/>
      </c>
      <c r="U340" s="41"/>
      <c r="V340" s="45"/>
      <c r="X340" s="37" t="str">
        <f t="shared" si="152"/>
        <v/>
      </c>
      <c r="Z340" s="181"/>
      <c r="AB340" s="173"/>
      <c r="AD340" s="10" t="str">
        <f t="shared" si="153"/>
        <v/>
      </c>
      <c r="AE340" s="92" t="str">
        <f>+IF(OR($T$340="",X340="",X340="NO"),"",L340)</f>
        <v/>
      </c>
      <c r="AF340" s="92" t="str">
        <f>+IF(AE340="","",L340/$S$340)</f>
        <v/>
      </c>
      <c r="AG340" s="174"/>
    </row>
    <row r="341" spans="1:34" s="27" customFormat="1" ht="12.75" x14ac:dyDescent="0.2">
      <c r="A341" s="27" t="str">
        <f t="shared" si="154"/>
        <v/>
      </c>
      <c r="B341" s="38"/>
      <c r="C341" s="39"/>
      <c r="D341" s="39"/>
      <c r="E341" s="46"/>
      <c r="F341" s="46"/>
      <c r="G341" s="39"/>
      <c r="H341" s="40"/>
      <c r="I341" s="41"/>
      <c r="J341" s="42"/>
      <c r="K341" s="43"/>
      <c r="L341" s="44">
        <f t="shared" si="155"/>
        <v>0</v>
      </c>
      <c r="M341" s="206"/>
      <c r="N341" s="206"/>
      <c r="O341" s="207" t="str">
        <f t="shared" si="156"/>
        <v/>
      </c>
      <c r="P341" s="206"/>
      <c r="Q341" s="206"/>
      <c r="R341" s="177">
        <f t="shared" si="157"/>
        <v>0</v>
      </c>
      <c r="S341" s="178" t="str">
        <f t="shared" si="158"/>
        <v/>
      </c>
      <c r="T341" s="208" t="str">
        <f t="shared" si="159"/>
        <v/>
      </c>
      <c r="U341" s="41"/>
      <c r="V341" s="45"/>
      <c r="X341" s="37" t="str">
        <f t="shared" si="152"/>
        <v/>
      </c>
      <c r="Z341" s="181"/>
      <c r="AB341" s="173"/>
      <c r="AD341" s="10" t="str">
        <f t="shared" si="153"/>
        <v/>
      </c>
      <c r="AE341" s="92" t="str">
        <f>+IF(OR($T$341="",X341="",X341="NO"),"",L341)</f>
        <v/>
      </c>
      <c r="AF341" s="92" t="str">
        <f>+IF(AE341="","",L341/$S$341)</f>
        <v/>
      </c>
      <c r="AG341" s="174"/>
    </row>
    <row r="342" spans="1:34" s="27" customFormat="1" ht="12.75" x14ac:dyDescent="0.2">
      <c r="A342" s="27" t="str">
        <f t="shared" si="154"/>
        <v/>
      </c>
      <c r="B342" s="38"/>
      <c r="C342" s="39"/>
      <c r="D342" s="39"/>
      <c r="E342" s="46"/>
      <c r="F342" s="46"/>
      <c r="G342" s="39"/>
      <c r="H342" s="40"/>
      <c r="I342" s="41"/>
      <c r="J342" s="42"/>
      <c r="K342" s="43"/>
      <c r="L342" s="44">
        <f t="shared" si="155"/>
        <v>0</v>
      </c>
      <c r="M342" s="206"/>
      <c r="N342" s="206"/>
      <c r="O342" s="207" t="str">
        <f t="shared" si="156"/>
        <v/>
      </c>
      <c r="P342" s="206"/>
      <c r="Q342" s="206"/>
      <c r="R342" s="177">
        <f t="shared" si="157"/>
        <v>0</v>
      </c>
      <c r="S342" s="178" t="str">
        <f t="shared" si="158"/>
        <v/>
      </c>
      <c r="T342" s="208" t="str">
        <f t="shared" si="159"/>
        <v/>
      </c>
      <c r="U342" s="41"/>
      <c r="V342" s="45"/>
      <c r="X342" s="37" t="str">
        <f t="shared" si="152"/>
        <v/>
      </c>
      <c r="Z342" s="181"/>
      <c r="AB342" s="173"/>
      <c r="AD342" s="10" t="str">
        <f t="shared" si="153"/>
        <v/>
      </c>
      <c r="AE342" s="92" t="str">
        <f>+IF(OR($T$342="",X342="",X342="NO"),"",L342)</f>
        <v/>
      </c>
      <c r="AF342" s="92" t="str">
        <f>+IF(AE342="","",L342/$S$342)</f>
        <v/>
      </c>
      <c r="AG342" s="174"/>
    </row>
    <row r="343" spans="1:34" s="27" customFormat="1" ht="12.75" x14ac:dyDescent="0.2">
      <c r="A343" s="27" t="str">
        <f t="shared" si="154"/>
        <v/>
      </c>
      <c r="B343" s="38"/>
      <c r="C343" s="39"/>
      <c r="D343" s="39"/>
      <c r="E343" s="46"/>
      <c r="F343" s="46"/>
      <c r="G343" s="39"/>
      <c r="H343" s="40"/>
      <c r="I343" s="41"/>
      <c r="J343" s="42"/>
      <c r="K343" s="43"/>
      <c r="L343" s="44">
        <f t="shared" si="155"/>
        <v>0</v>
      </c>
      <c r="M343" s="206"/>
      <c r="N343" s="206"/>
      <c r="O343" s="207" t="str">
        <f t="shared" si="156"/>
        <v/>
      </c>
      <c r="P343" s="206"/>
      <c r="Q343" s="206"/>
      <c r="R343" s="177">
        <f t="shared" si="157"/>
        <v>0</v>
      </c>
      <c r="S343" s="178" t="str">
        <f t="shared" si="158"/>
        <v/>
      </c>
      <c r="T343" s="208" t="str">
        <f t="shared" si="159"/>
        <v/>
      </c>
      <c r="U343" s="41"/>
      <c r="V343" s="45"/>
      <c r="X343" s="37" t="str">
        <f t="shared" si="152"/>
        <v/>
      </c>
      <c r="Z343" s="181"/>
      <c r="AB343" s="173"/>
      <c r="AD343" s="10" t="str">
        <f t="shared" si="153"/>
        <v/>
      </c>
      <c r="AE343" s="92" t="str">
        <f>+IF(OR($T$343="",X343="",X343="NO"),"",L343)</f>
        <v/>
      </c>
      <c r="AF343" s="92" t="str">
        <f>+IF(AE343="","",L343/$S$343)</f>
        <v/>
      </c>
      <c r="AG343" s="174"/>
    </row>
    <row r="344" spans="1:34" s="27" customFormat="1" ht="12.75" x14ac:dyDescent="0.2">
      <c r="A344" s="27" t="str">
        <f t="shared" si="154"/>
        <v/>
      </c>
      <c r="B344" s="38"/>
      <c r="C344" s="39"/>
      <c r="D344" s="39"/>
      <c r="E344" s="46"/>
      <c r="F344" s="46"/>
      <c r="G344" s="39"/>
      <c r="H344" s="40"/>
      <c r="I344" s="41"/>
      <c r="J344" s="42"/>
      <c r="K344" s="43"/>
      <c r="L344" s="44">
        <f t="shared" si="155"/>
        <v>0</v>
      </c>
      <c r="M344" s="206"/>
      <c r="N344" s="206"/>
      <c r="O344" s="207" t="str">
        <f t="shared" si="156"/>
        <v/>
      </c>
      <c r="P344" s="206"/>
      <c r="Q344" s="206"/>
      <c r="R344" s="177">
        <f t="shared" si="157"/>
        <v>0</v>
      </c>
      <c r="S344" s="178" t="str">
        <f t="shared" si="158"/>
        <v/>
      </c>
      <c r="T344" s="208" t="str">
        <f t="shared" si="159"/>
        <v/>
      </c>
      <c r="U344" s="41"/>
      <c r="V344" s="45"/>
      <c r="X344" s="37" t="str">
        <f t="shared" si="152"/>
        <v/>
      </c>
      <c r="Z344" s="181"/>
      <c r="AB344" s="173"/>
      <c r="AD344" s="10" t="str">
        <f t="shared" si="153"/>
        <v/>
      </c>
      <c r="AE344" s="92" t="str">
        <f>+IF(OR($T$344="",X344="",X344="NO"),"",L344)</f>
        <v/>
      </c>
      <c r="AF344" s="92" t="str">
        <f>+IF(AE344="","",L344/$S$344)</f>
        <v/>
      </c>
      <c r="AG344" s="174"/>
    </row>
    <row r="345" spans="1:34" s="27" customFormat="1" ht="13.5" thickBot="1" x14ac:dyDescent="0.25">
      <c r="A345" s="27" t="str">
        <f t="shared" si="154"/>
        <v/>
      </c>
      <c r="B345" s="47"/>
      <c r="C345" s="48"/>
      <c r="D345" s="48"/>
      <c r="E345" s="49"/>
      <c r="F345" s="49"/>
      <c r="G345" s="48"/>
      <c r="H345" s="50"/>
      <c r="I345" s="51"/>
      <c r="J345" s="14"/>
      <c r="K345" s="52"/>
      <c r="L345" s="53">
        <f t="shared" si="155"/>
        <v>0</v>
      </c>
      <c r="M345" s="211"/>
      <c r="N345" s="211"/>
      <c r="O345" s="212" t="str">
        <f t="shared" si="156"/>
        <v/>
      </c>
      <c r="P345" s="211"/>
      <c r="Q345" s="211"/>
      <c r="R345" s="184">
        <f t="shared" si="157"/>
        <v>0</v>
      </c>
      <c r="S345" s="185" t="str">
        <f t="shared" si="158"/>
        <v/>
      </c>
      <c r="T345" s="213" t="str">
        <f t="shared" si="159"/>
        <v/>
      </c>
      <c r="U345" s="51"/>
      <c r="V345" s="54"/>
      <c r="X345" s="55" t="str">
        <f t="shared" si="152"/>
        <v/>
      </c>
      <c r="Z345" s="187"/>
      <c r="AB345" s="188"/>
      <c r="AD345" s="10" t="str">
        <f t="shared" si="153"/>
        <v/>
      </c>
      <c r="AE345" s="92" t="str">
        <f>+IF(OR($T$345="",X345="",X345="NO"),"",L345)</f>
        <v/>
      </c>
      <c r="AF345" s="92" t="str">
        <f>+IF(AE345="","",L345/$S$345)</f>
        <v/>
      </c>
    </row>
    <row r="346" spans="1:34" ht="36" customHeight="1" x14ac:dyDescent="0.2">
      <c r="B346" s="57" t="str">
        <f>"A"&amp;B333</f>
        <v>A20</v>
      </c>
      <c r="C346" s="382" t="str">
        <f>+$C$23</f>
        <v>¿CADA INTEGRANTE DE PROPONENTE PLURAL APORTAN CONTRATO?  (SI; NO; NA)</v>
      </c>
      <c r="D346" s="383"/>
      <c r="E346" s="383"/>
      <c r="F346" s="383"/>
      <c r="G346" s="383"/>
      <c r="H346" s="384"/>
      <c r="I346" s="217" t="str">
        <f>+IF(AG333="","",IF(AG333=1,"NA",IF(AND(AG333=3,(IF(COUNTIFS(C336:C345,AH336,AE336:AE345,"&gt;0")&gt;=1,1,0)+IF(COUNTIFS(C336:C345,AH337,AE336:AE345,"&gt;0")&gt;=1,1,0)+IF(COUNTIFS(C336:C345,AH338,AE336:AE345,"&gt;0")&gt;=1,1,0))&gt;=AG333),"SI",IF(AND(AG333=2,(IF(COUNTIFS(C336:C345,AH336,AE336:AE345,"&gt;0")&gt;=1,1,0)+IF(COUNTIFS(C336:C345,AH337,AE336:AE345,"&gt;0")&gt;=1,1,0))&gt;=AG333),"SI","NO"))))</f>
        <v>SI</v>
      </c>
      <c r="J346" s="59"/>
      <c r="K346" s="27"/>
      <c r="L346" s="27"/>
      <c r="M346" s="27"/>
      <c r="N346" s="27"/>
      <c r="O346" s="27"/>
      <c r="P346" s="385" t="str">
        <f>+$P$23</f>
        <v>FACTURACION MENSUAL TOTAL</v>
      </c>
      <c r="Q346" s="386"/>
      <c r="R346" s="386"/>
      <c r="S346" s="386"/>
      <c r="T346" s="189">
        <f>ROUND(SUM(T336:T345),3)</f>
        <v>357.12400000000002</v>
      </c>
      <c r="U346" s="60"/>
      <c r="V346" s="1"/>
      <c r="W346" s="61"/>
      <c r="X346" s="61"/>
      <c r="Y346" s="61"/>
      <c r="Z346" s="61"/>
      <c r="AA346" s="61"/>
      <c r="AB346" s="61"/>
    </row>
    <row r="347" spans="1:34" ht="38.25" customHeight="1" thickBot="1" x14ac:dyDescent="0.25">
      <c r="B347" s="57" t="str">
        <f>"B"&amp;B333</f>
        <v>B20</v>
      </c>
      <c r="C347" s="387" t="str">
        <f>+C330</f>
        <v>En caso de proponente plural: ¿De la totalidad de los contratos aportados por el proponente plural, el valor ejecutado de uno de ellos deberá ser igual o superior al 30% del P.O.?  (SI; NO; NA)</v>
      </c>
      <c r="D347" s="388"/>
      <c r="E347" s="388"/>
      <c r="F347" s="388"/>
      <c r="G347" s="389"/>
      <c r="H347" s="190">
        <f>+$H$6</f>
        <v>268.14722506074827</v>
      </c>
      <c r="I347" s="191" t="str">
        <f>+IF(AG333="","",IF(AG333=1,"NA",IF(AND(AG333&gt;1,(COUNTIFS(AD336:AD345,"SI",AE336:AE345,"&gt;0"))&gt;=1),"SI","NO")))</f>
        <v>SI</v>
      </c>
      <c r="J347" s="192"/>
      <c r="K347" s="193"/>
      <c r="L347" s="194"/>
      <c r="M347" s="194"/>
      <c r="N347" s="194"/>
      <c r="O347" s="194"/>
      <c r="P347" s="387" t="str">
        <f>+$P$24</f>
        <v>PROMEDIO FACTURACIÓN MENSUAL DEL PROPONENTE (PFMP)</v>
      </c>
      <c r="Q347" s="388"/>
      <c r="R347" s="388"/>
      <c r="S347" s="388"/>
      <c r="T347" s="195">
        <f t="array" ref="T347">IF(T346=0,0,ROUND(T346/(SUM(IF(FREQUENCY(A336:A345,A336:A345)&gt;0,1))),3))</f>
        <v>119.041</v>
      </c>
      <c r="U347" s="214"/>
      <c r="V347" s="1"/>
      <c r="W347" s="61"/>
      <c r="X347" s="61"/>
      <c r="Y347" s="61"/>
      <c r="Z347" s="61"/>
      <c r="AA347" s="61"/>
      <c r="AB347" s="61"/>
    </row>
    <row r="348" spans="1:34" ht="21" customHeight="1" thickBot="1" x14ac:dyDescent="0.25">
      <c r="B348" s="197" t="str">
        <f>"C"&amp;B333</f>
        <v>C20</v>
      </c>
      <c r="C348" s="349" t="str">
        <f>+$C$25</f>
        <v>PROPONENTE CUMPLE CON LAS ACTIVIDADES a) y b)? (SI; NO)</v>
      </c>
      <c r="D348" s="350"/>
      <c r="E348" s="350"/>
      <c r="F348" s="350"/>
      <c r="G348" s="350"/>
      <c r="H348" s="351"/>
      <c r="I348" s="198" t="str">
        <f>IF(C333="","",(IF(AND(COUNTIFS(X336:X345,"SI",Z336:Z345,"SI")&gt;=$Z$8,COUNTIFS(X336:X345,"SI",AB336:AB345,"SI")&gt;=$Z$8),"SI","NO")))</f>
        <v>SI</v>
      </c>
      <c r="J348" s="199"/>
      <c r="K348" s="200"/>
      <c r="L348" s="200"/>
      <c r="M348" s="200"/>
      <c r="N348" s="200"/>
      <c r="P348" s="378" t="str">
        <f>+$P$25</f>
        <v>VALOR PUNTAJE POR EXPERIENCIA DEL PROPONENTE</v>
      </c>
      <c r="Q348" s="379"/>
      <c r="R348" s="379"/>
      <c r="S348" s="380"/>
      <c r="T348" s="201">
        <f>IF(OR(C333="",'ASIGNACION DE PUNTAJES'!$C$5=""),"",VLOOKUP(B333,'ASIGNACION DE PUNTAJES'!$A$15:$G$69,7,FALSE))</f>
        <v>612.94899999999996</v>
      </c>
      <c r="V348" s="202"/>
    </row>
    <row r="349" spans="1:34" ht="9.75" customHeight="1" thickBot="1" x14ac:dyDescent="0.25">
      <c r="M349" s="84"/>
      <c r="N349" s="84"/>
      <c r="O349" s="84"/>
      <c r="V349" s="21"/>
    </row>
    <row r="350" spans="1:34" ht="36.75" customHeight="1" thickBot="1" x14ac:dyDescent="0.25">
      <c r="B350" s="23">
        <f>1+B333</f>
        <v>21</v>
      </c>
      <c r="C350" s="336" t="s">
        <v>915</v>
      </c>
      <c r="D350" s="337"/>
      <c r="E350" s="337"/>
      <c r="F350" s="337"/>
      <c r="G350" s="337"/>
      <c r="H350" s="337"/>
      <c r="I350" s="338"/>
      <c r="J350" s="24" t="str">
        <f>+IF(C350="","","INTEGRANTES")</f>
        <v>INTEGRANTES</v>
      </c>
      <c r="K350" s="339" t="s">
        <v>916</v>
      </c>
      <c r="L350" s="339"/>
      <c r="M350" s="339"/>
      <c r="N350" s="339"/>
      <c r="O350" s="339"/>
      <c r="P350" s="339"/>
      <c r="Q350" s="339"/>
      <c r="R350" s="396" t="str">
        <f>+$R$10</f>
        <v>PROPONENTE No.</v>
      </c>
      <c r="S350" s="397"/>
      <c r="T350" s="25">
        <f>+B350</f>
        <v>21</v>
      </c>
      <c r="U350" s="161" t="str">
        <f>+$U$10</f>
        <v>PFMP</v>
      </c>
      <c r="V350" s="162">
        <f>IF(T364="",0,T364)</f>
        <v>131.54599999999999</v>
      </c>
      <c r="W350" s="219"/>
      <c r="X350" s="325" t="s">
        <v>168</v>
      </c>
      <c r="Z350" s="163" t="str">
        <f>+$Z$10</f>
        <v>EXP. ESPECÍFICA 
A:</v>
      </c>
      <c r="AB350" s="163" t="str">
        <f>+$AB$10</f>
        <v>EXP. ESPECÍFICA 
B:</v>
      </c>
      <c r="AG350" s="1">
        <v>2</v>
      </c>
    </row>
    <row r="351" spans="1:34" ht="42" customHeight="1" x14ac:dyDescent="0.2">
      <c r="B351" s="331" t="str">
        <f>+$B$11</f>
        <v>ITEM</v>
      </c>
      <c r="C351" s="318" t="str">
        <f>+$C$11</f>
        <v>PROPONENTE 
/ 
INTEGRANTE OFERENTE PLURAL</v>
      </c>
      <c r="D351" s="333" t="str">
        <f>+$D$11</f>
        <v>INFORMACIÓN DEL CONTRATO</v>
      </c>
      <c r="E351" s="334"/>
      <c r="F351" s="334"/>
      <c r="G351" s="335"/>
      <c r="H351" s="318" t="str">
        <f>+H334</f>
        <v>CONSECUTIVO RUP</v>
      </c>
      <c r="I351" s="318" t="str">
        <f>+$I$11</f>
        <v>¿SE ENCUENTRA INSCRITO EN EL RUP Y CUMPLE CÓDIGOS UNSPSC?</v>
      </c>
      <c r="J351" s="318" t="str">
        <f>+$J$11</f>
        <v xml:space="preserve">VALOR EN RUP (SMMLV) </v>
      </c>
      <c r="K351" s="318" t="str">
        <f>+$K$11</f>
        <v>% PARTIC en el RUP</v>
      </c>
      <c r="L351" s="318" t="str">
        <f>+$L$11</f>
        <v>VALOR DEL CONTRATO TERMINADO (SMMLV) en el   RUP</v>
      </c>
      <c r="M351" s="318" t="str">
        <f>+$M$11</f>
        <v>FECHA DE INICIO</v>
      </c>
      <c r="N351" s="318" t="str">
        <f>+$N$11</f>
        <v>FECHA DE TERMINACION</v>
      </c>
      <c r="O351" s="318" t="str">
        <f>+$O$11</f>
        <v>PLAZO CONTRA-TO (Meses)</v>
      </c>
      <c r="P351" s="390" t="str">
        <f>+$P$11</f>
        <v>Tsusp i</v>
      </c>
      <c r="Q351" s="391"/>
      <c r="R351" s="392"/>
      <c r="S351" s="318" t="str">
        <f>+$S$11</f>
        <v>PLAZO i REAL</v>
      </c>
      <c r="T351" s="318" t="str">
        <f>+$T$11</f>
        <v>FACTURA-CION MENSUAL PROPO-NENTE</v>
      </c>
      <c r="U351" s="318" t="str">
        <f>+$U$11</f>
        <v>VALIDACIÓN DE LA EXPERIENCIA GENERAL
(SI/NO)</v>
      </c>
      <c r="V351" s="393" t="str">
        <f>+$V$11</f>
        <v>OBSERVACIONES</v>
      </c>
      <c r="X351" s="326"/>
      <c r="Z351" s="381" t="str">
        <f>+$Z$11</f>
        <v>Interventoria a la ejecución de obras relacionadas con Colocación de capas granulares (tales como bases y/o sub-bases granulares).</v>
      </c>
      <c r="AB351" s="381" t="str">
        <f>+$AB$11</f>
        <v>Interventoria a la Ejecución de obras de subdrenaje y/o drenaje, en carreteras.</v>
      </c>
    </row>
    <row r="352" spans="1:34" ht="38.25" customHeight="1" thickBot="1" x14ac:dyDescent="0.25">
      <c r="B352" s="395"/>
      <c r="C352" s="348"/>
      <c r="D352" s="165" t="str">
        <f>+$D$12</f>
        <v>ENTIDAD</v>
      </c>
      <c r="E352" s="165" t="str">
        <f>+$E$12</f>
        <v>No. DE CONTRATO</v>
      </c>
      <c r="F352" s="165" t="str">
        <f>+$F$12</f>
        <v>OBJETO</v>
      </c>
      <c r="G352" s="165" t="str">
        <f>+$G$12</f>
        <v>CONTRATISTA</v>
      </c>
      <c r="H352" s="348"/>
      <c r="I352" s="348"/>
      <c r="J352" s="348"/>
      <c r="K352" s="348"/>
      <c r="L352" s="348"/>
      <c r="M352" s="348"/>
      <c r="N352" s="348"/>
      <c r="O352" s="348"/>
      <c r="P352" s="166" t="str">
        <f>+P335</f>
        <v>Finicsuspi</v>
      </c>
      <c r="Q352" s="166" t="str">
        <f>+Q335</f>
        <v xml:space="preserve"> Ftermsuspi </v>
      </c>
      <c r="R352" s="166" t="str">
        <f>+R335</f>
        <v>Tsusp i (meses)</v>
      </c>
      <c r="S352" s="348"/>
      <c r="T352" s="348"/>
      <c r="U352" s="348"/>
      <c r="V352" s="394"/>
      <c r="X352" s="327"/>
      <c r="Z352" s="381"/>
      <c r="AB352" s="381"/>
    </row>
    <row r="353" spans="1:34" s="27" customFormat="1" ht="87" customHeight="1" x14ac:dyDescent="0.2">
      <c r="A353" s="27">
        <f>+IF(T353="","",B353)</f>
        <v>1</v>
      </c>
      <c r="B353" s="28">
        <v>1</v>
      </c>
      <c r="C353" s="86" t="s">
        <v>107</v>
      </c>
      <c r="D353" s="86" t="s">
        <v>387</v>
      </c>
      <c r="E353" s="87" t="s">
        <v>388</v>
      </c>
      <c r="F353" s="87" t="s">
        <v>389</v>
      </c>
      <c r="G353" s="86" t="s">
        <v>107</v>
      </c>
      <c r="H353" s="30">
        <v>236</v>
      </c>
      <c r="I353" s="31" t="s">
        <v>16</v>
      </c>
      <c r="J353" s="32">
        <v>2150.12</v>
      </c>
      <c r="K353" s="33">
        <v>1</v>
      </c>
      <c r="L353" s="34">
        <f>IF(OR(H353="",I353&lt;&gt;"SI",I353="NO",J353="",J353=0,K353="",K353=0,X353&lt;&gt;"SI"),0,J353*K353)</f>
        <v>2150.12</v>
      </c>
      <c r="M353" s="204">
        <v>42759</v>
      </c>
      <c r="N353" s="204">
        <v>43454</v>
      </c>
      <c r="O353" s="169">
        <f>IF(OR(H353="",I353&lt;&gt;"SI",I353="NO",J353="",J353=0,K353="",K353=0,,M353="",N353=""),"",ROUND((((N353-M353)+1)/30),3))</f>
        <v>23.2</v>
      </c>
      <c r="P353" s="204">
        <v>43350</v>
      </c>
      <c r="Q353" s="204">
        <v>43444</v>
      </c>
      <c r="R353" s="170">
        <f>IF(OR((Q353-P353)=0,P353="",Q353=""),0,(ROUND((((Q353-P353)+1)/30),3)))</f>
        <v>3.1669999999999998</v>
      </c>
      <c r="S353" s="171">
        <f>IF(O353="","",ROUND(SUM(O353)-SUM(R353),3))</f>
        <v>20.033000000000001</v>
      </c>
      <c r="T353" s="172">
        <f>+IF(C353="","",IF(OR(S353="",S353&lt;=0,I353="",I353="NO",U353="",U353="NO",X353="NO"),"",ROUND(SUM(L353)/S353,3)))</f>
        <v>107.32899999999999</v>
      </c>
      <c r="U353" s="35" t="s">
        <v>16</v>
      </c>
      <c r="V353" s="36"/>
      <c r="W353" s="205"/>
      <c r="X353" s="37" t="str">
        <f t="shared" ref="X353:X362" si="160">+IF(C353="","",IF(AND(H353&lt;&gt;"",I353="SI",J353&lt;&gt;"",J353&gt;0,K353&lt;&gt;"",K353&gt;0,S353&lt;&gt;"",S353&gt;0,U353="SI"),"SI","NO"))</f>
        <v>SI</v>
      </c>
      <c r="Z353" s="173" t="s">
        <v>16</v>
      </c>
      <c r="AB353" s="173" t="s">
        <v>16</v>
      </c>
      <c r="AD353" s="10" t="str">
        <f t="shared" ref="AD353:AD362" si="161">+IF($C$350="","",IF(C353="","",IF(L353&gt;=$H$6,"SI","NO")))</f>
        <v>SI</v>
      </c>
      <c r="AE353" s="92">
        <f>+IF(OR($T$353="",X353="",X353="NO"),"",L353)</f>
        <v>2150.12</v>
      </c>
      <c r="AF353" s="92">
        <f>+IF(AE353="","",L353/$S$353)</f>
        <v>107.32890730295011</v>
      </c>
      <c r="AG353" s="174">
        <f>0.1+B350</f>
        <v>21.1</v>
      </c>
      <c r="AH353" s="27" t="s">
        <v>107</v>
      </c>
    </row>
    <row r="354" spans="1:34" s="27" customFormat="1" ht="119.25" customHeight="1" x14ac:dyDescent="0.2">
      <c r="A354" s="27">
        <f t="shared" ref="A354:A362" si="162">+IF(T354="","",B354)</f>
        <v>2</v>
      </c>
      <c r="B354" s="38">
        <v>2</v>
      </c>
      <c r="C354" s="39" t="s">
        <v>390</v>
      </c>
      <c r="D354" s="39" t="s">
        <v>391</v>
      </c>
      <c r="E354" s="46" t="s">
        <v>392</v>
      </c>
      <c r="F354" s="46" t="s">
        <v>393</v>
      </c>
      <c r="G354" s="39" t="s">
        <v>390</v>
      </c>
      <c r="H354" s="40">
        <v>38</v>
      </c>
      <c r="I354" s="41" t="s">
        <v>16</v>
      </c>
      <c r="J354" s="42">
        <v>2968.61</v>
      </c>
      <c r="K354" s="43">
        <v>1</v>
      </c>
      <c r="L354" s="44">
        <f t="shared" ref="L354:L362" si="163">IF(OR(H354="",I354&lt;&gt;"SI",I354="NO",J354="",J354=0,K354="",K354=0,X354&lt;&gt;"SI"),0,J354*K354)</f>
        <v>2968.61</v>
      </c>
      <c r="M354" s="206">
        <v>40609</v>
      </c>
      <c r="N354" s="206">
        <v>41441</v>
      </c>
      <c r="O354" s="207">
        <f t="shared" ref="O354:O362" si="164">IF(OR(H354="",I354&lt;&gt;"SI",I354="NO",J354="",J354=0,K354="",K354=0,,M354="",N354=""),"",ROUND((((N354-M354)+1)/30),3))</f>
        <v>27.766999999999999</v>
      </c>
      <c r="P354" s="206">
        <v>40670</v>
      </c>
      <c r="Q354" s="206">
        <v>40892</v>
      </c>
      <c r="R354" s="177">
        <f t="shared" ref="R354:R362" si="165">IF(OR((Q354-P354)=0,P354="",Q354=""),0,(ROUND((((Q354-P354)+1)/30),3)))</f>
        <v>7.4329999999999998</v>
      </c>
      <c r="S354" s="178">
        <f t="shared" ref="S354:S362" si="166">IF(O354="","",ROUND(SUM(O354)-SUM(R354),3))</f>
        <v>20.334</v>
      </c>
      <c r="T354" s="208">
        <f t="shared" ref="T354:T362" si="167">+IF(C354="","",IF(OR(S354="",S354&lt;=0,I354="",I354="NO",U354="",U354="NO",X354="NO"),"",ROUND(SUM(L354)/S354,3)))</f>
        <v>145.99199999999999</v>
      </c>
      <c r="U354" s="41" t="s">
        <v>16</v>
      </c>
      <c r="V354" s="209"/>
      <c r="W354" s="205"/>
      <c r="X354" s="37" t="str">
        <f t="shared" si="160"/>
        <v>SI</v>
      </c>
      <c r="Z354" s="173" t="s">
        <v>16</v>
      </c>
      <c r="AB354" s="173" t="s">
        <v>211</v>
      </c>
      <c r="AD354" s="10" t="str">
        <f t="shared" si="161"/>
        <v>SI</v>
      </c>
      <c r="AE354" s="92">
        <f>+IF(OR($T$354="",X354="",X354="NO"),"",L354)</f>
        <v>2968.61</v>
      </c>
      <c r="AF354" s="92">
        <f>+IF(AE354="","",L354/$S$354)</f>
        <v>145.9924264778204</v>
      </c>
      <c r="AG354" s="174">
        <f>0.2+B350</f>
        <v>21.2</v>
      </c>
      <c r="AH354" s="27" t="s">
        <v>390</v>
      </c>
    </row>
    <row r="355" spans="1:34" s="27" customFormat="1" ht="145.5" customHeight="1" x14ac:dyDescent="0.2">
      <c r="A355" s="27">
        <f t="shared" si="162"/>
        <v>3</v>
      </c>
      <c r="B355" s="38">
        <v>3</v>
      </c>
      <c r="C355" s="39" t="s">
        <v>390</v>
      </c>
      <c r="D355" s="39" t="s">
        <v>195</v>
      </c>
      <c r="E355" s="46" t="s">
        <v>394</v>
      </c>
      <c r="F355" s="46" t="s">
        <v>395</v>
      </c>
      <c r="G355" s="39" t="s">
        <v>390</v>
      </c>
      <c r="H355" s="40">
        <v>11</v>
      </c>
      <c r="I355" s="41" t="s">
        <v>16</v>
      </c>
      <c r="J355" s="42">
        <v>2868.75</v>
      </c>
      <c r="K355" s="43">
        <v>1</v>
      </c>
      <c r="L355" s="44">
        <f t="shared" si="163"/>
        <v>2868.75</v>
      </c>
      <c r="M355" s="206">
        <v>34320</v>
      </c>
      <c r="N355" s="206">
        <v>34928</v>
      </c>
      <c r="O355" s="207">
        <f t="shared" si="164"/>
        <v>20.3</v>
      </c>
      <c r="P355" s="206"/>
      <c r="Q355" s="206"/>
      <c r="R355" s="177">
        <f t="shared" si="165"/>
        <v>0</v>
      </c>
      <c r="S355" s="178">
        <f t="shared" si="166"/>
        <v>20.3</v>
      </c>
      <c r="T355" s="208">
        <f t="shared" si="167"/>
        <v>141.31800000000001</v>
      </c>
      <c r="U355" s="41" t="s">
        <v>16</v>
      </c>
      <c r="V355" s="45"/>
      <c r="W355" s="205"/>
      <c r="X355" s="37" t="str">
        <f t="shared" si="160"/>
        <v>SI</v>
      </c>
      <c r="Z355" s="173" t="s">
        <v>16</v>
      </c>
      <c r="AB355" s="173" t="s">
        <v>16</v>
      </c>
      <c r="AD355" s="10" t="str">
        <f t="shared" si="161"/>
        <v>SI</v>
      </c>
      <c r="AE355" s="92">
        <f>+IF(OR($T$355="",X355="",X355="NO"),"",L355)</f>
        <v>2868.75</v>
      </c>
      <c r="AF355" s="92">
        <f>+IF(AE355="","",L355/$S$355)</f>
        <v>141.31773399014779</v>
      </c>
      <c r="AG355" s="174">
        <f>0.3+B350</f>
        <v>21.3</v>
      </c>
      <c r="AH355" s="27" t="s">
        <v>932</v>
      </c>
    </row>
    <row r="356" spans="1:34" s="27" customFormat="1" ht="12.75" x14ac:dyDescent="0.2">
      <c r="A356" s="27" t="str">
        <f t="shared" si="162"/>
        <v/>
      </c>
      <c r="B356" s="38"/>
      <c r="C356" s="39"/>
      <c r="D356" s="39"/>
      <c r="E356" s="46"/>
      <c r="F356" s="46"/>
      <c r="G356" s="39"/>
      <c r="H356" s="40"/>
      <c r="I356" s="41"/>
      <c r="J356" s="42"/>
      <c r="K356" s="43"/>
      <c r="L356" s="44">
        <f t="shared" si="163"/>
        <v>0</v>
      </c>
      <c r="M356" s="206"/>
      <c r="N356" s="206"/>
      <c r="O356" s="207" t="str">
        <f t="shared" si="164"/>
        <v/>
      </c>
      <c r="P356" s="206"/>
      <c r="Q356" s="206"/>
      <c r="R356" s="177">
        <f t="shared" si="165"/>
        <v>0</v>
      </c>
      <c r="S356" s="178" t="str">
        <f t="shared" si="166"/>
        <v/>
      </c>
      <c r="T356" s="208" t="str">
        <f t="shared" si="167"/>
        <v/>
      </c>
      <c r="U356" s="41"/>
      <c r="V356" s="45"/>
      <c r="W356" s="210"/>
      <c r="X356" s="37" t="str">
        <f t="shared" si="160"/>
        <v/>
      </c>
      <c r="Z356" s="180"/>
      <c r="AB356" s="173"/>
      <c r="AD356" s="10" t="str">
        <f t="shared" si="161"/>
        <v/>
      </c>
      <c r="AE356" s="92" t="str">
        <f>+IF(OR($T$356="",X356="",X356="NO"),"",L356)</f>
        <v/>
      </c>
      <c r="AF356" s="92" t="str">
        <f>+IF(AE356="","",L356/$S$356)</f>
        <v/>
      </c>
      <c r="AG356" s="174"/>
    </row>
    <row r="357" spans="1:34" s="27" customFormat="1" ht="12.75" x14ac:dyDescent="0.2">
      <c r="A357" s="27" t="str">
        <f t="shared" si="162"/>
        <v/>
      </c>
      <c r="B357" s="38"/>
      <c r="C357" s="39"/>
      <c r="D357" s="39"/>
      <c r="E357" s="46"/>
      <c r="F357" s="46"/>
      <c r="G357" s="39"/>
      <c r="H357" s="40"/>
      <c r="I357" s="41"/>
      <c r="J357" s="42"/>
      <c r="K357" s="43"/>
      <c r="L357" s="44">
        <f t="shared" si="163"/>
        <v>0</v>
      </c>
      <c r="M357" s="206"/>
      <c r="N357" s="206"/>
      <c r="O357" s="207" t="str">
        <f t="shared" si="164"/>
        <v/>
      </c>
      <c r="P357" s="206"/>
      <c r="Q357" s="206"/>
      <c r="R357" s="177">
        <f t="shared" si="165"/>
        <v>0</v>
      </c>
      <c r="S357" s="178" t="str">
        <f t="shared" si="166"/>
        <v/>
      </c>
      <c r="T357" s="208" t="str">
        <f t="shared" si="167"/>
        <v/>
      </c>
      <c r="U357" s="41"/>
      <c r="V357" s="45"/>
      <c r="X357" s="37" t="str">
        <f t="shared" si="160"/>
        <v/>
      </c>
      <c r="Z357" s="181"/>
      <c r="AB357" s="173"/>
      <c r="AD357" s="10" t="str">
        <f t="shared" si="161"/>
        <v/>
      </c>
      <c r="AE357" s="92" t="str">
        <f>+IF(OR($T$357="",X357="",X357="NO"),"",L357)</f>
        <v/>
      </c>
      <c r="AF357" s="92" t="str">
        <f>+IF(AE357="","",L357/$S$357)</f>
        <v/>
      </c>
      <c r="AG357" s="174"/>
    </row>
    <row r="358" spans="1:34" s="27" customFormat="1" ht="12.75" x14ac:dyDescent="0.2">
      <c r="A358" s="27" t="str">
        <f t="shared" si="162"/>
        <v/>
      </c>
      <c r="B358" s="38"/>
      <c r="C358" s="39"/>
      <c r="D358" s="39"/>
      <c r="E358" s="46"/>
      <c r="F358" s="46"/>
      <c r="G358" s="39"/>
      <c r="H358" s="40"/>
      <c r="I358" s="41"/>
      <c r="J358" s="42"/>
      <c r="K358" s="43"/>
      <c r="L358" s="44">
        <f t="shared" si="163"/>
        <v>0</v>
      </c>
      <c r="M358" s="206"/>
      <c r="N358" s="206"/>
      <c r="O358" s="207" t="str">
        <f t="shared" si="164"/>
        <v/>
      </c>
      <c r="P358" s="206"/>
      <c r="Q358" s="206"/>
      <c r="R358" s="177">
        <f t="shared" si="165"/>
        <v>0</v>
      </c>
      <c r="S358" s="178" t="str">
        <f t="shared" si="166"/>
        <v/>
      </c>
      <c r="T358" s="208" t="str">
        <f t="shared" si="167"/>
        <v/>
      </c>
      <c r="U358" s="41"/>
      <c r="V358" s="45"/>
      <c r="X358" s="37" t="str">
        <f t="shared" si="160"/>
        <v/>
      </c>
      <c r="Z358" s="181"/>
      <c r="AB358" s="173"/>
      <c r="AD358" s="10" t="str">
        <f t="shared" si="161"/>
        <v/>
      </c>
      <c r="AE358" s="92" t="str">
        <f>+IF(OR($T$358="",X358="",X358="NO"),"",L358)</f>
        <v/>
      </c>
      <c r="AF358" s="92" t="str">
        <f>+IF(AE358="","",L358/$S$358)</f>
        <v/>
      </c>
      <c r="AG358" s="174"/>
    </row>
    <row r="359" spans="1:34" s="27" customFormat="1" ht="12.75" x14ac:dyDescent="0.2">
      <c r="A359" s="27" t="str">
        <f t="shared" si="162"/>
        <v/>
      </c>
      <c r="B359" s="38"/>
      <c r="C359" s="39"/>
      <c r="D359" s="39"/>
      <c r="E359" s="46"/>
      <c r="F359" s="46"/>
      <c r="G359" s="39"/>
      <c r="H359" s="40"/>
      <c r="I359" s="41"/>
      <c r="J359" s="42"/>
      <c r="K359" s="43"/>
      <c r="L359" s="44">
        <f t="shared" si="163"/>
        <v>0</v>
      </c>
      <c r="M359" s="206"/>
      <c r="N359" s="206"/>
      <c r="O359" s="207" t="str">
        <f t="shared" si="164"/>
        <v/>
      </c>
      <c r="P359" s="206"/>
      <c r="Q359" s="206"/>
      <c r="R359" s="177">
        <f t="shared" si="165"/>
        <v>0</v>
      </c>
      <c r="S359" s="178" t="str">
        <f t="shared" si="166"/>
        <v/>
      </c>
      <c r="T359" s="208" t="str">
        <f t="shared" si="167"/>
        <v/>
      </c>
      <c r="U359" s="41"/>
      <c r="V359" s="45"/>
      <c r="X359" s="37" t="str">
        <f t="shared" si="160"/>
        <v/>
      </c>
      <c r="Z359" s="181"/>
      <c r="AB359" s="173"/>
      <c r="AD359" s="10" t="str">
        <f t="shared" si="161"/>
        <v/>
      </c>
      <c r="AE359" s="92" t="str">
        <f>+IF(OR($T$359="",X359="",X359="NO"),"",L359)</f>
        <v/>
      </c>
      <c r="AF359" s="92" t="str">
        <f>+IF(AE359="","",L359/$S$359)</f>
        <v/>
      </c>
      <c r="AG359" s="174"/>
    </row>
    <row r="360" spans="1:34" s="27" customFormat="1" ht="12.75" x14ac:dyDescent="0.2">
      <c r="A360" s="27" t="str">
        <f t="shared" si="162"/>
        <v/>
      </c>
      <c r="B360" s="38"/>
      <c r="C360" s="39"/>
      <c r="D360" s="39"/>
      <c r="E360" s="46"/>
      <c r="F360" s="46"/>
      <c r="G360" s="39"/>
      <c r="H360" s="40"/>
      <c r="I360" s="41"/>
      <c r="J360" s="42"/>
      <c r="K360" s="43"/>
      <c r="L360" s="44">
        <f t="shared" si="163"/>
        <v>0</v>
      </c>
      <c r="M360" s="206"/>
      <c r="N360" s="206"/>
      <c r="O360" s="207" t="str">
        <f t="shared" si="164"/>
        <v/>
      </c>
      <c r="P360" s="206"/>
      <c r="Q360" s="206"/>
      <c r="R360" s="177">
        <f t="shared" si="165"/>
        <v>0</v>
      </c>
      <c r="S360" s="178" t="str">
        <f t="shared" si="166"/>
        <v/>
      </c>
      <c r="T360" s="208" t="str">
        <f t="shared" si="167"/>
        <v/>
      </c>
      <c r="U360" s="41"/>
      <c r="V360" s="45"/>
      <c r="X360" s="37" t="str">
        <f t="shared" si="160"/>
        <v/>
      </c>
      <c r="Z360" s="181"/>
      <c r="AB360" s="173"/>
      <c r="AD360" s="10" t="str">
        <f t="shared" si="161"/>
        <v/>
      </c>
      <c r="AE360" s="92" t="str">
        <f>+IF(OR($T$360="",X360="",X360="NO"),"",L360)</f>
        <v/>
      </c>
      <c r="AF360" s="92" t="str">
        <f>+IF(AE360="","",L360/$S$360)</f>
        <v/>
      </c>
      <c r="AG360" s="174"/>
    </row>
    <row r="361" spans="1:34" s="27" customFormat="1" ht="12.75" x14ac:dyDescent="0.2">
      <c r="A361" s="27" t="str">
        <f t="shared" si="162"/>
        <v/>
      </c>
      <c r="B361" s="38"/>
      <c r="C361" s="39"/>
      <c r="D361" s="39"/>
      <c r="E361" s="46"/>
      <c r="F361" s="46"/>
      <c r="G361" s="39"/>
      <c r="H361" s="40"/>
      <c r="I361" s="41"/>
      <c r="J361" s="42"/>
      <c r="K361" s="43"/>
      <c r="L361" s="44">
        <f t="shared" si="163"/>
        <v>0</v>
      </c>
      <c r="M361" s="206"/>
      <c r="N361" s="206"/>
      <c r="O361" s="207" t="str">
        <f t="shared" si="164"/>
        <v/>
      </c>
      <c r="P361" s="206"/>
      <c r="Q361" s="206"/>
      <c r="R361" s="177">
        <f t="shared" si="165"/>
        <v>0</v>
      </c>
      <c r="S361" s="178" t="str">
        <f t="shared" si="166"/>
        <v/>
      </c>
      <c r="T361" s="208" t="str">
        <f t="shared" si="167"/>
        <v/>
      </c>
      <c r="U361" s="41"/>
      <c r="V361" s="45"/>
      <c r="X361" s="37" t="str">
        <f t="shared" si="160"/>
        <v/>
      </c>
      <c r="Z361" s="181"/>
      <c r="AB361" s="173"/>
      <c r="AD361" s="10" t="str">
        <f t="shared" si="161"/>
        <v/>
      </c>
      <c r="AE361" s="92" t="str">
        <f>+IF(OR($T$361="",X361="",X361="NO"),"",L361)</f>
        <v/>
      </c>
      <c r="AF361" s="92" t="str">
        <f>+IF(AE361="","",L361/$S$361)</f>
        <v/>
      </c>
      <c r="AG361" s="174"/>
    </row>
    <row r="362" spans="1:34" s="27" customFormat="1" ht="13.5" thickBot="1" x14ac:dyDescent="0.25">
      <c r="A362" s="27" t="str">
        <f t="shared" si="162"/>
        <v/>
      </c>
      <c r="B362" s="47"/>
      <c r="C362" s="48"/>
      <c r="D362" s="48"/>
      <c r="E362" s="49"/>
      <c r="F362" s="49"/>
      <c r="G362" s="48"/>
      <c r="H362" s="50"/>
      <c r="I362" s="51"/>
      <c r="J362" s="14"/>
      <c r="K362" s="52"/>
      <c r="L362" s="53">
        <f t="shared" si="163"/>
        <v>0</v>
      </c>
      <c r="M362" s="211"/>
      <c r="N362" s="211"/>
      <c r="O362" s="212" t="str">
        <f t="shared" si="164"/>
        <v/>
      </c>
      <c r="P362" s="211"/>
      <c r="Q362" s="211"/>
      <c r="R362" s="184">
        <f t="shared" si="165"/>
        <v>0</v>
      </c>
      <c r="S362" s="185" t="str">
        <f t="shared" si="166"/>
        <v/>
      </c>
      <c r="T362" s="213" t="str">
        <f t="shared" si="167"/>
        <v/>
      </c>
      <c r="U362" s="51"/>
      <c r="V362" s="54"/>
      <c r="X362" s="55" t="str">
        <f t="shared" si="160"/>
        <v/>
      </c>
      <c r="Z362" s="187"/>
      <c r="AB362" s="188"/>
      <c r="AD362" s="10" t="str">
        <f t="shared" si="161"/>
        <v/>
      </c>
      <c r="AE362" s="92" t="str">
        <f>+IF(OR($T$362="",X362="",X362="NO"),"",L362)</f>
        <v/>
      </c>
      <c r="AF362" s="92" t="str">
        <f>+IF(AE362="","",L362/$S$362)</f>
        <v/>
      </c>
      <c r="AG362" s="174"/>
    </row>
    <row r="363" spans="1:34" ht="36" customHeight="1" x14ac:dyDescent="0.2">
      <c r="B363" s="57" t="str">
        <f>"A"&amp;B350</f>
        <v>A21</v>
      </c>
      <c r="C363" s="382" t="str">
        <f>+$C$23</f>
        <v>¿CADA INTEGRANTE DE PROPONENTE PLURAL APORTAN CONTRATO?  (SI; NO; NA)</v>
      </c>
      <c r="D363" s="383"/>
      <c r="E363" s="383"/>
      <c r="F363" s="383"/>
      <c r="G363" s="383"/>
      <c r="H363" s="384"/>
      <c r="I363" s="151" t="str">
        <f>+IF(AG350="","",IF(AG350=1,"NA",IF(AND(AG350=3,(IF(COUNTIFS(C353:C362,AH353,AE353:AE362,"&gt;0")&gt;=1,1,0)+IF(COUNTIFS(C353:C362,AH354,AE353:AE362,"&gt;0")&gt;=1,1,0)+IF(COUNTIFS(C353:C362,AH355,AE353:AE362,"&gt;0")&gt;=1,1,0))&gt;=AG350),"SI",IF(AND(AG350=2,(IF(COUNTIFS(C353:C362,AH353,AE353:AE362,"&gt;0")&gt;=1,1,0)+IF(COUNTIFS(C353:C362,AH354,AE353:AE362,"&gt;0")&gt;=1,1,0))&gt;=AG350),"SI","NO"))))</f>
        <v>SI</v>
      </c>
      <c r="J363" s="59"/>
      <c r="K363" s="27"/>
      <c r="L363" s="27"/>
      <c r="M363" s="27"/>
      <c r="N363" s="27"/>
      <c r="O363" s="27"/>
      <c r="P363" s="385" t="str">
        <f>+$P$23</f>
        <v>FACTURACION MENSUAL TOTAL</v>
      </c>
      <c r="Q363" s="386"/>
      <c r="R363" s="386"/>
      <c r="S363" s="386"/>
      <c r="T363" s="189">
        <f>ROUND(SUM(T353:T362),3)</f>
        <v>394.63900000000001</v>
      </c>
      <c r="U363" s="60"/>
      <c r="V363" s="1"/>
      <c r="W363" s="61"/>
      <c r="X363" s="61"/>
      <c r="Y363" s="61"/>
      <c r="Z363" s="61"/>
      <c r="AA363" s="61"/>
      <c r="AB363" s="61"/>
    </row>
    <row r="364" spans="1:34" ht="38.25" customHeight="1" thickBot="1" x14ac:dyDescent="0.25">
      <c r="B364" s="57" t="str">
        <f>"B"&amp;B350</f>
        <v>B21</v>
      </c>
      <c r="C364" s="387" t="str">
        <f>+C347</f>
        <v>En caso de proponente plural: ¿De la totalidad de los contratos aportados por el proponente plural, el valor ejecutado de uno de ellos deberá ser igual o superior al 30% del P.O.?  (SI; NO; NA)</v>
      </c>
      <c r="D364" s="388"/>
      <c r="E364" s="388"/>
      <c r="F364" s="388"/>
      <c r="G364" s="389"/>
      <c r="H364" s="190">
        <f>+$H$6</f>
        <v>268.14722506074827</v>
      </c>
      <c r="I364" s="191" t="str">
        <f>+IF(AG350="","",IF(AG350=1,"NA",IF(AND(AG350&gt;1,(COUNTIFS(AD353:AD362,"SI",AE353:AE362,"&gt;0"))&gt;=1),"SI","NO")))</f>
        <v>SI</v>
      </c>
      <c r="J364" s="192"/>
      <c r="K364" s="193"/>
      <c r="L364" s="194"/>
      <c r="M364" s="194"/>
      <c r="N364" s="194"/>
      <c r="O364" s="194"/>
      <c r="P364" s="387" t="str">
        <f>+$P$24</f>
        <v>PROMEDIO FACTURACIÓN MENSUAL DEL PROPONENTE (PFMP)</v>
      </c>
      <c r="Q364" s="388"/>
      <c r="R364" s="388"/>
      <c r="S364" s="388"/>
      <c r="T364" s="195">
        <f t="array" ref="T364">IF(T363=0,0,ROUND(T363/(SUM(IF(FREQUENCY(A353:A362,A353:A362)&gt;0,1))),3))</f>
        <v>131.54599999999999</v>
      </c>
      <c r="U364" s="214"/>
      <c r="V364" s="220"/>
      <c r="W364" s="61"/>
      <c r="X364" s="61"/>
      <c r="Y364" s="61"/>
      <c r="Z364" s="61"/>
      <c r="AA364" s="61"/>
      <c r="AB364" s="61"/>
    </row>
    <row r="365" spans="1:34" ht="21" customHeight="1" thickBot="1" x14ac:dyDescent="0.25">
      <c r="B365" s="197" t="str">
        <f>"C"&amp;B350</f>
        <v>C21</v>
      </c>
      <c r="C365" s="349" t="str">
        <f>+$C$25</f>
        <v>PROPONENTE CUMPLE CON LAS ACTIVIDADES a) y b)? (SI; NO)</v>
      </c>
      <c r="D365" s="350"/>
      <c r="E365" s="350"/>
      <c r="F365" s="350"/>
      <c r="G365" s="350"/>
      <c r="H365" s="351"/>
      <c r="I365" s="198" t="str">
        <f>IF(C350="","",(IF(AND(COUNTIFS(X353:X362,"SI",Z353:Z362,"SI")&gt;=$Z$8,COUNTIFS(X353:X362,"SI",AB353:AB362,"SI")&gt;=$Z$8),"SI","NO")))</f>
        <v>SI</v>
      </c>
      <c r="J365" s="199"/>
      <c r="K365" s="200"/>
      <c r="L365" s="200"/>
      <c r="M365" s="200"/>
      <c r="N365" s="200"/>
      <c r="P365" s="378" t="str">
        <f>+$P$25</f>
        <v>VALOR PUNTAJE POR EXPERIENCIA DEL PROPONENTE</v>
      </c>
      <c r="Q365" s="379"/>
      <c r="R365" s="379"/>
      <c r="S365" s="380"/>
      <c r="T365" s="201">
        <f>IF(OR(C350="",'ASIGNACION DE PUNTAJES'!$C$5=""),"",VLOOKUP(B350,'ASIGNACION DE PUNTAJES'!$A$15:$G$69,7,FALSE))</f>
        <v>677.33799999999997</v>
      </c>
      <c r="V365" s="202"/>
    </row>
    <row r="366" spans="1:34" ht="9.75" customHeight="1" thickBot="1" x14ac:dyDescent="0.25">
      <c r="M366" s="84"/>
      <c r="N366" s="84"/>
      <c r="O366" s="84"/>
      <c r="V366" s="21"/>
    </row>
    <row r="367" spans="1:34" ht="36.75" customHeight="1" thickBot="1" x14ac:dyDescent="0.25">
      <c r="B367" s="23">
        <f>1+B350</f>
        <v>22</v>
      </c>
      <c r="C367" s="336" t="s">
        <v>917</v>
      </c>
      <c r="D367" s="337"/>
      <c r="E367" s="337"/>
      <c r="F367" s="337"/>
      <c r="G367" s="337"/>
      <c r="H367" s="337"/>
      <c r="I367" s="338"/>
      <c r="J367" s="24" t="str">
        <f>+IF(C367="","","INTEGRANTES")</f>
        <v>INTEGRANTES</v>
      </c>
      <c r="K367" s="339" t="s">
        <v>918</v>
      </c>
      <c r="L367" s="339"/>
      <c r="M367" s="339"/>
      <c r="N367" s="339"/>
      <c r="O367" s="339"/>
      <c r="P367" s="339"/>
      <c r="Q367" s="339"/>
      <c r="R367" s="396" t="str">
        <f>+$R$10</f>
        <v>PROPONENTE No.</v>
      </c>
      <c r="S367" s="397"/>
      <c r="T367" s="25">
        <f>+B367</f>
        <v>22</v>
      </c>
      <c r="U367" s="161" t="str">
        <f>+$U$10</f>
        <v>PFMP</v>
      </c>
      <c r="V367" s="162">
        <f>IF(T381="",0,T381)</f>
        <v>119.215</v>
      </c>
      <c r="X367" s="325" t="s">
        <v>168</v>
      </c>
      <c r="Z367" s="163" t="str">
        <f>+$Z$10</f>
        <v>EXP. ESPECÍFICA 
A:</v>
      </c>
      <c r="AB367" s="163" t="str">
        <f>+$AB$10</f>
        <v>EXP. ESPECÍFICA 
B:</v>
      </c>
      <c r="AG367" s="1">
        <v>3</v>
      </c>
    </row>
    <row r="368" spans="1:34" ht="42" customHeight="1" x14ac:dyDescent="0.2">
      <c r="B368" s="331" t="str">
        <f>+$B$11</f>
        <v>ITEM</v>
      </c>
      <c r="C368" s="318" t="str">
        <f>+$C$11</f>
        <v>PROPONENTE 
/ 
INTEGRANTE OFERENTE PLURAL</v>
      </c>
      <c r="D368" s="333" t="str">
        <f>+$D$11</f>
        <v>INFORMACIÓN DEL CONTRATO</v>
      </c>
      <c r="E368" s="334"/>
      <c r="F368" s="334"/>
      <c r="G368" s="335"/>
      <c r="H368" s="318" t="str">
        <f>+H351</f>
        <v>CONSECUTIVO RUP</v>
      </c>
      <c r="I368" s="318" t="str">
        <f>+$I$11</f>
        <v>¿SE ENCUENTRA INSCRITO EN EL RUP Y CUMPLE CÓDIGOS UNSPSC?</v>
      </c>
      <c r="J368" s="318" t="str">
        <f>+$J$11</f>
        <v xml:space="preserve">VALOR EN RUP (SMMLV) </v>
      </c>
      <c r="K368" s="318" t="str">
        <f>+$K$11</f>
        <v>% PARTIC en el RUP</v>
      </c>
      <c r="L368" s="318" t="str">
        <f>+$L$11</f>
        <v>VALOR DEL CONTRATO TERMINADO (SMMLV) en el   RUP</v>
      </c>
      <c r="M368" s="318" t="str">
        <f>+$M$11</f>
        <v>FECHA DE INICIO</v>
      </c>
      <c r="N368" s="318" t="str">
        <f>+$N$11</f>
        <v>FECHA DE TERMINACION</v>
      </c>
      <c r="O368" s="318" t="str">
        <f>+$O$11</f>
        <v>PLAZO CONTRA-TO (Meses)</v>
      </c>
      <c r="P368" s="390" t="str">
        <f>+$P$11</f>
        <v>Tsusp i</v>
      </c>
      <c r="Q368" s="391"/>
      <c r="R368" s="392"/>
      <c r="S368" s="318" t="str">
        <f>+$S$11</f>
        <v>PLAZO i REAL</v>
      </c>
      <c r="T368" s="318" t="str">
        <f>+$T$11</f>
        <v>FACTURA-CION MENSUAL PROPO-NENTE</v>
      </c>
      <c r="U368" s="318" t="str">
        <f>+$U$11</f>
        <v>VALIDACIÓN DE LA EXPERIENCIA GENERAL
(SI/NO)</v>
      </c>
      <c r="V368" s="393" t="str">
        <f>+$V$11</f>
        <v>OBSERVACIONES</v>
      </c>
      <c r="X368" s="326"/>
      <c r="Z368" s="381" t="str">
        <f>+$Z$11</f>
        <v>Interventoria a la ejecución de obras relacionadas con Colocación de capas granulares (tales como bases y/o sub-bases granulares).</v>
      </c>
      <c r="AB368" s="381" t="str">
        <f>+$AB$11</f>
        <v>Interventoria a la Ejecución de obras de subdrenaje y/o drenaje, en carreteras.</v>
      </c>
    </row>
    <row r="369" spans="1:34" ht="38.25" customHeight="1" thickBot="1" x14ac:dyDescent="0.25">
      <c r="B369" s="395"/>
      <c r="C369" s="348"/>
      <c r="D369" s="165" t="str">
        <f>+$D$12</f>
        <v>ENTIDAD</v>
      </c>
      <c r="E369" s="165" t="str">
        <f>+$E$12</f>
        <v>No. DE CONTRATO</v>
      </c>
      <c r="F369" s="165" t="str">
        <f>+$F$12</f>
        <v>OBJETO</v>
      </c>
      <c r="G369" s="165" t="str">
        <f>+$G$12</f>
        <v>CONTRATISTA</v>
      </c>
      <c r="H369" s="348"/>
      <c r="I369" s="348"/>
      <c r="J369" s="348"/>
      <c r="K369" s="348"/>
      <c r="L369" s="348"/>
      <c r="M369" s="348"/>
      <c r="N369" s="348"/>
      <c r="O369" s="348"/>
      <c r="P369" s="166" t="str">
        <f>+P352</f>
        <v>Finicsuspi</v>
      </c>
      <c r="Q369" s="166" t="str">
        <f>+Q352</f>
        <v xml:space="preserve"> Ftermsuspi </v>
      </c>
      <c r="R369" s="166" t="str">
        <f>+R352</f>
        <v>Tsusp i (meses)</v>
      </c>
      <c r="S369" s="348"/>
      <c r="T369" s="348"/>
      <c r="U369" s="348"/>
      <c r="V369" s="394"/>
      <c r="X369" s="327"/>
      <c r="Z369" s="381"/>
      <c r="AB369" s="381"/>
    </row>
    <row r="370" spans="1:34" s="27" customFormat="1" ht="50.25" customHeight="1" x14ac:dyDescent="0.2">
      <c r="A370" s="27">
        <f>+IF(T370="","",B370)</f>
        <v>1</v>
      </c>
      <c r="B370" s="28">
        <v>1</v>
      </c>
      <c r="C370" s="86" t="s">
        <v>112</v>
      </c>
      <c r="D370" s="343" t="s">
        <v>396</v>
      </c>
      <c r="E370" s="345" t="s">
        <v>397</v>
      </c>
      <c r="F370" s="345" t="s">
        <v>398</v>
      </c>
      <c r="G370" s="343" t="s">
        <v>399</v>
      </c>
      <c r="H370" s="30">
        <v>86</v>
      </c>
      <c r="I370" s="31" t="s">
        <v>16</v>
      </c>
      <c r="J370" s="32">
        <v>2068.2800000000002</v>
      </c>
      <c r="K370" s="33">
        <v>0.3</v>
      </c>
      <c r="L370" s="34">
        <f>IF(OR(H370="",I370&lt;&gt;"SI",I370="NO",J370="",J370=0,K370="",K370=0,X370&lt;&gt;"SI"),0,J370*K370)</f>
        <v>620.48400000000004</v>
      </c>
      <c r="M370" s="204">
        <v>41666</v>
      </c>
      <c r="N370" s="204">
        <v>42089</v>
      </c>
      <c r="O370" s="169">
        <f>IF(OR(H370="",I370&lt;&gt;"SI",I370="NO",J370="",J370=0,K370="",K370=0,,M370="",N370=""),"",ROUND((((N370-M370)+1)/30),3))</f>
        <v>14.132999999999999</v>
      </c>
      <c r="P370" s="204"/>
      <c r="Q370" s="204"/>
      <c r="R370" s="170">
        <f>IF(OR((Q370-P370)=0,P370="",Q370=""),0,(ROUND((((Q370-P370)+1)/30),3)))</f>
        <v>0</v>
      </c>
      <c r="S370" s="171">
        <f>IF(O370="","",ROUND(SUM(O370)-SUM(R370),3))</f>
        <v>14.132999999999999</v>
      </c>
      <c r="T370" s="172">
        <f>+IF(C370="","",IF(OR(S370="",S370&lt;=0,I370="",I370="NO",U370="",U370="NO",X370="NO"),"",ROUND(SUM(L370)/S370,3)))</f>
        <v>43.902999999999999</v>
      </c>
      <c r="U370" s="35" t="s">
        <v>16</v>
      </c>
      <c r="V370" s="36"/>
      <c r="W370" s="401"/>
      <c r="X370" s="37" t="str">
        <f t="shared" ref="X370:X379" si="168">+IF(C370="","",IF(AND(H370&lt;&gt;"",I370="SI",J370&lt;&gt;"",J370&gt;0,K370&lt;&gt;"",K370&gt;0,S370&lt;&gt;"",S370&gt;0,U370="SI"),"SI","NO"))</f>
        <v>SI</v>
      </c>
      <c r="Z370" s="173" t="s">
        <v>16</v>
      </c>
      <c r="AB370" s="173" t="s">
        <v>16</v>
      </c>
      <c r="AD370" s="10" t="str">
        <f t="shared" ref="AD370:AD379" si="169">+IF($C$367="","",IF(C370="","",IF(L370&gt;=$H$6,"SI","NO")))</f>
        <v>SI</v>
      </c>
      <c r="AE370" s="92">
        <f>+IF(OR($T$370="",X370="",X370="NO"),"",L370)</f>
        <v>620.48400000000004</v>
      </c>
      <c r="AF370" s="92">
        <f>+IF(AE370="","",L370/$S$370)</f>
        <v>43.903205264275108</v>
      </c>
      <c r="AG370" s="174">
        <f>0.1+B367</f>
        <v>22.1</v>
      </c>
      <c r="AH370" s="27" t="s">
        <v>112</v>
      </c>
    </row>
    <row r="371" spans="1:34" s="27" customFormat="1" ht="50.25" customHeight="1" x14ac:dyDescent="0.2">
      <c r="A371" s="27">
        <f t="shared" ref="A371:A379" si="170">+IF(T371="","",B371)</f>
        <v>1</v>
      </c>
      <c r="B371" s="38">
        <v>1</v>
      </c>
      <c r="C371" s="39" t="s">
        <v>400</v>
      </c>
      <c r="D371" s="344"/>
      <c r="E371" s="346"/>
      <c r="F371" s="346"/>
      <c r="G371" s="344"/>
      <c r="H371" s="40">
        <v>5</v>
      </c>
      <c r="I371" s="41" t="s">
        <v>16</v>
      </c>
      <c r="J371" s="42">
        <v>2068.2800000000002</v>
      </c>
      <c r="K371" s="43">
        <v>0.3</v>
      </c>
      <c r="L371" s="44">
        <f t="shared" ref="L371:L379" si="171">IF(OR(H371="",I371&lt;&gt;"SI",I371="NO",J371="",J371=0,K371="",K371=0,X371&lt;&gt;"SI"),0,J371*K371)</f>
        <v>620.48400000000004</v>
      </c>
      <c r="M371" s="206">
        <v>41666</v>
      </c>
      <c r="N371" s="206">
        <v>42089</v>
      </c>
      <c r="O371" s="207">
        <f t="shared" ref="O371:O379" si="172">IF(OR(H371="",I371&lt;&gt;"SI",I371="NO",J371="",J371=0,K371="",K371=0,,M371="",N371=""),"",ROUND((((N371-M371)+1)/30),3))</f>
        <v>14.132999999999999</v>
      </c>
      <c r="P371" s="206"/>
      <c r="Q371" s="206"/>
      <c r="R371" s="177">
        <f t="shared" ref="R371:R379" si="173">IF(OR((Q371-P371)=0,P371="",Q371=""),0,(ROUND((((Q371-P371)+1)/30),3)))</f>
        <v>0</v>
      </c>
      <c r="S371" s="178">
        <f t="shared" ref="S371:S379" si="174">IF(O371="","",ROUND(SUM(O371)-SUM(R371),3))</f>
        <v>14.132999999999999</v>
      </c>
      <c r="T371" s="208">
        <f t="shared" ref="T371:T379" si="175">+IF(C371="","",IF(OR(S371="",S371&lt;=0,I371="",I371="NO",U371="",U371="NO",X371="NO"),"",ROUND(SUM(L371)/S371,3)))</f>
        <v>43.902999999999999</v>
      </c>
      <c r="U371" s="41" t="s">
        <v>16</v>
      </c>
      <c r="V371" s="209"/>
      <c r="W371" s="401"/>
      <c r="X371" s="37" t="str">
        <f t="shared" si="168"/>
        <v>SI</v>
      </c>
      <c r="Z371" s="173" t="s">
        <v>16</v>
      </c>
      <c r="AB371" s="173" t="s">
        <v>16</v>
      </c>
      <c r="AD371" s="10" t="str">
        <f t="shared" si="169"/>
        <v>SI</v>
      </c>
      <c r="AE371" s="92">
        <f>+IF(OR($T$371="",X371="",X371="NO"),"",L371)</f>
        <v>620.48400000000004</v>
      </c>
      <c r="AF371" s="92">
        <f>+IF(AE371="","",L371/$S$371)</f>
        <v>43.903205264275108</v>
      </c>
      <c r="AG371" s="174">
        <f>0.2+B367</f>
        <v>22.2</v>
      </c>
      <c r="AH371" s="27" t="s">
        <v>400</v>
      </c>
    </row>
    <row r="372" spans="1:34" s="27" customFormat="1" ht="91.5" customHeight="1" x14ac:dyDescent="0.2">
      <c r="A372" s="27">
        <f t="shared" si="170"/>
        <v>2</v>
      </c>
      <c r="B372" s="38">
        <v>2</v>
      </c>
      <c r="C372" s="39" t="s">
        <v>401</v>
      </c>
      <c r="D372" s="39" t="s">
        <v>402</v>
      </c>
      <c r="E372" s="46" t="s">
        <v>403</v>
      </c>
      <c r="F372" s="46" t="s">
        <v>404</v>
      </c>
      <c r="G372" s="39" t="s">
        <v>405</v>
      </c>
      <c r="H372" s="40">
        <v>399</v>
      </c>
      <c r="I372" s="41" t="s">
        <v>16</v>
      </c>
      <c r="J372" s="42">
        <v>804.83</v>
      </c>
      <c r="K372" s="43">
        <v>1</v>
      </c>
      <c r="L372" s="44">
        <f t="shared" si="171"/>
        <v>804.83</v>
      </c>
      <c r="M372" s="206">
        <v>41403</v>
      </c>
      <c r="N372" s="206">
        <v>41620</v>
      </c>
      <c r="O372" s="207">
        <f t="shared" si="172"/>
        <v>7.2670000000000003</v>
      </c>
      <c r="P372" s="206"/>
      <c r="Q372" s="206"/>
      <c r="R372" s="177">
        <f t="shared" si="173"/>
        <v>0</v>
      </c>
      <c r="S372" s="178">
        <f t="shared" si="174"/>
        <v>7.2670000000000003</v>
      </c>
      <c r="T372" s="208">
        <f t="shared" si="175"/>
        <v>110.751</v>
      </c>
      <c r="U372" s="41" t="s">
        <v>16</v>
      </c>
      <c r="V372" s="45"/>
      <c r="W372" s="205"/>
      <c r="X372" s="37" t="str">
        <f t="shared" si="168"/>
        <v>SI</v>
      </c>
      <c r="Z372" s="173" t="s">
        <v>16</v>
      </c>
      <c r="AB372" s="173" t="s">
        <v>211</v>
      </c>
      <c r="AD372" s="10" t="str">
        <f t="shared" si="169"/>
        <v>SI</v>
      </c>
      <c r="AE372" s="92">
        <f>+IF(OR($T$372="",X372="",X372="NO"),"",L372)</f>
        <v>804.83</v>
      </c>
      <c r="AF372" s="92">
        <f>+IF(AE372="","",L372/$S$372)</f>
        <v>110.75134168157425</v>
      </c>
      <c r="AG372" s="174">
        <f>0.3+B367</f>
        <v>22.3</v>
      </c>
      <c r="AH372" s="27" t="s">
        <v>401</v>
      </c>
    </row>
    <row r="373" spans="1:34" s="27" customFormat="1" ht="144.75" customHeight="1" x14ac:dyDescent="0.2">
      <c r="A373" s="27">
        <f t="shared" si="170"/>
        <v>3</v>
      </c>
      <c r="B373" s="38">
        <v>3</v>
      </c>
      <c r="C373" s="39" t="s">
        <v>401</v>
      </c>
      <c r="D373" s="39" t="s">
        <v>406</v>
      </c>
      <c r="E373" s="46" t="s">
        <v>407</v>
      </c>
      <c r="F373" s="46" t="s">
        <v>408</v>
      </c>
      <c r="G373" s="39" t="s">
        <v>409</v>
      </c>
      <c r="H373" s="40">
        <v>515</v>
      </c>
      <c r="I373" s="41" t="s">
        <v>16</v>
      </c>
      <c r="J373" s="42">
        <v>1071.1300000000001</v>
      </c>
      <c r="K373" s="43">
        <v>1</v>
      </c>
      <c r="L373" s="44">
        <f t="shared" si="171"/>
        <v>1071.1300000000001</v>
      </c>
      <c r="M373" s="206">
        <v>40438</v>
      </c>
      <c r="N373" s="206">
        <v>40819</v>
      </c>
      <c r="O373" s="207">
        <f t="shared" si="172"/>
        <v>12.733000000000001</v>
      </c>
      <c r="P373" s="206">
        <v>40612</v>
      </c>
      <c r="Q373" s="206">
        <v>40652</v>
      </c>
      <c r="R373" s="177">
        <f t="shared" si="173"/>
        <v>1.367</v>
      </c>
      <c r="S373" s="178">
        <f>IF(O373="","",ROUND(SUM(O373)-SUM(R373:R374),3))</f>
        <v>6.7329999999999997</v>
      </c>
      <c r="T373" s="208">
        <f t="shared" si="175"/>
        <v>159.08699999999999</v>
      </c>
      <c r="U373" s="41" t="s">
        <v>16</v>
      </c>
      <c r="V373" s="45"/>
      <c r="W373" s="205"/>
      <c r="X373" s="37" t="str">
        <f t="shared" si="168"/>
        <v>SI</v>
      </c>
      <c r="Z373" s="180" t="s">
        <v>16</v>
      </c>
      <c r="AB373" s="173" t="s">
        <v>16</v>
      </c>
      <c r="AD373" s="10" t="str">
        <f t="shared" si="169"/>
        <v>SI</v>
      </c>
      <c r="AE373" s="92">
        <f>+IF(OR($T$373="",X373="",X373="NO"),"",L373)</f>
        <v>1071.1300000000001</v>
      </c>
      <c r="AF373" s="92">
        <f>+IF(AE373="","",L373/$S$373)</f>
        <v>159.08658844497253</v>
      </c>
      <c r="AG373" s="174"/>
    </row>
    <row r="374" spans="1:34" s="27" customFormat="1" ht="12.75" x14ac:dyDescent="0.2">
      <c r="A374" s="27" t="str">
        <f t="shared" si="170"/>
        <v/>
      </c>
      <c r="B374" s="38"/>
      <c r="C374" s="39"/>
      <c r="D374" s="39"/>
      <c r="E374" s="46"/>
      <c r="F374" s="46"/>
      <c r="G374" s="39"/>
      <c r="H374" s="40"/>
      <c r="I374" s="41"/>
      <c r="J374" s="42"/>
      <c r="K374" s="43"/>
      <c r="L374" s="44">
        <f t="shared" si="171"/>
        <v>0</v>
      </c>
      <c r="M374" s="206"/>
      <c r="N374" s="206"/>
      <c r="O374" s="207" t="str">
        <f t="shared" si="172"/>
        <v/>
      </c>
      <c r="P374" s="206">
        <v>40659</v>
      </c>
      <c r="Q374" s="206">
        <v>40797</v>
      </c>
      <c r="R374" s="177">
        <f t="shared" si="173"/>
        <v>4.633</v>
      </c>
      <c r="S374" s="178" t="str">
        <f t="shared" si="174"/>
        <v/>
      </c>
      <c r="T374" s="208" t="str">
        <f t="shared" si="175"/>
        <v/>
      </c>
      <c r="U374" s="41"/>
      <c r="V374" s="45"/>
      <c r="X374" s="37" t="str">
        <f t="shared" si="168"/>
        <v/>
      </c>
      <c r="Z374" s="181"/>
      <c r="AB374" s="173"/>
      <c r="AD374" s="10" t="str">
        <f t="shared" si="169"/>
        <v/>
      </c>
      <c r="AE374" s="92" t="str">
        <f>+IF(OR($T$374="",X374="",X374="NO"),"",L374)</f>
        <v/>
      </c>
      <c r="AF374" s="92" t="str">
        <f>+IF(AE374="","",L374/$S$374)</f>
        <v/>
      </c>
      <c r="AG374" s="174"/>
    </row>
    <row r="375" spans="1:34" s="27" customFormat="1" ht="12.75" x14ac:dyDescent="0.2">
      <c r="A375" s="27" t="str">
        <f t="shared" si="170"/>
        <v/>
      </c>
      <c r="B375" s="38"/>
      <c r="C375" s="39"/>
      <c r="D375" s="39"/>
      <c r="E375" s="46"/>
      <c r="F375" s="46"/>
      <c r="G375" s="39"/>
      <c r="H375" s="40"/>
      <c r="I375" s="41"/>
      <c r="J375" s="42"/>
      <c r="K375" s="43"/>
      <c r="L375" s="44">
        <f t="shared" si="171"/>
        <v>0</v>
      </c>
      <c r="M375" s="206"/>
      <c r="N375" s="206"/>
      <c r="O375" s="207" t="str">
        <f t="shared" si="172"/>
        <v/>
      </c>
      <c r="P375" s="206"/>
      <c r="Q375" s="206"/>
      <c r="R375" s="177">
        <f t="shared" si="173"/>
        <v>0</v>
      </c>
      <c r="S375" s="178" t="str">
        <f t="shared" si="174"/>
        <v/>
      </c>
      <c r="T375" s="208" t="str">
        <f t="shared" si="175"/>
        <v/>
      </c>
      <c r="U375" s="41"/>
      <c r="V375" s="45"/>
      <c r="X375" s="37" t="str">
        <f t="shared" si="168"/>
        <v/>
      </c>
      <c r="Z375" s="181"/>
      <c r="AB375" s="173"/>
      <c r="AD375" s="10" t="str">
        <f t="shared" si="169"/>
        <v/>
      </c>
      <c r="AE375" s="92" t="str">
        <f>+IF(OR($T$375="",X375="",X375="NO"),"",L375)</f>
        <v/>
      </c>
      <c r="AF375" s="92" t="str">
        <f>+IF(AE375="","",L375/$S$375)</f>
        <v/>
      </c>
      <c r="AG375" s="174"/>
    </row>
    <row r="376" spans="1:34" s="27" customFormat="1" ht="12.75" x14ac:dyDescent="0.2">
      <c r="A376" s="27" t="str">
        <f t="shared" si="170"/>
        <v/>
      </c>
      <c r="B376" s="38"/>
      <c r="C376" s="39"/>
      <c r="D376" s="39"/>
      <c r="E376" s="46"/>
      <c r="F376" s="46"/>
      <c r="G376" s="39"/>
      <c r="H376" s="40"/>
      <c r="I376" s="41"/>
      <c r="J376" s="42"/>
      <c r="K376" s="43"/>
      <c r="L376" s="44">
        <f t="shared" si="171"/>
        <v>0</v>
      </c>
      <c r="M376" s="206"/>
      <c r="N376" s="206"/>
      <c r="O376" s="207" t="str">
        <f t="shared" si="172"/>
        <v/>
      </c>
      <c r="P376" s="206"/>
      <c r="Q376" s="206"/>
      <c r="R376" s="177">
        <f t="shared" si="173"/>
        <v>0</v>
      </c>
      <c r="S376" s="178" t="str">
        <f t="shared" si="174"/>
        <v/>
      </c>
      <c r="T376" s="208" t="str">
        <f t="shared" si="175"/>
        <v/>
      </c>
      <c r="U376" s="41"/>
      <c r="V376" s="45"/>
      <c r="X376" s="37" t="str">
        <f t="shared" si="168"/>
        <v/>
      </c>
      <c r="Z376" s="181"/>
      <c r="AB376" s="173"/>
      <c r="AD376" s="10" t="str">
        <f t="shared" si="169"/>
        <v/>
      </c>
      <c r="AE376" s="92" t="str">
        <f>+IF(OR($T$376="",X376="",X376="NO"),"",L376)</f>
        <v/>
      </c>
      <c r="AF376" s="92" t="str">
        <f>+IF(AE376="","",L376/$S$376)</f>
        <v/>
      </c>
      <c r="AG376" s="174"/>
    </row>
    <row r="377" spans="1:34" s="27" customFormat="1" ht="12.75" x14ac:dyDescent="0.2">
      <c r="A377" s="27" t="str">
        <f t="shared" si="170"/>
        <v/>
      </c>
      <c r="B377" s="38"/>
      <c r="C377" s="39"/>
      <c r="D377" s="39"/>
      <c r="E377" s="46"/>
      <c r="F377" s="46"/>
      <c r="G377" s="39"/>
      <c r="H377" s="40"/>
      <c r="I377" s="41"/>
      <c r="J377" s="42"/>
      <c r="K377" s="43"/>
      <c r="L377" s="44">
        <f t="shared" si="171"/>
        <v>0</v>
      </c>
      <c r="M377" s="206"/>
      <c r="N377" s="206"/>
      <c r="O377" s="207" t="str">
        <f t="shared" si="172"/>
        <v/>
      </c>
      <c r="P377" s="206"/>
      <c r="Q377" s="206"/>
      <c r="R377" s="177">
        <f t="shared" si="173"/>
        <v>0</v>
      </c>
      <c r="S377" s="178" t="str">
        <f t="shared" si="174"/>
        <v/>
      </c>
      <c r="T377" s="208" t="str">
        <f t="shared" si="175"/>
        <v/>
      </c>
      <c r="U377" s="41"/>
      <c r="V377" s="45"/>
      <c r="X377" s="37" t="str">
        <f t="shared" si="168"/>
        <v/>
      </c>
      <c r="Z377" s="181"/>
      <c r="AB377" s="173"/>
      <c r="AD377" s="10" t="str">
        <f t="shared" si="169"/>
        <v/>
      </c>
      <c r="AE377" s="92" t="str">
        <f>+IF(OR($T$377="",X377="",X377="NO"),"",L377)</f>
        <v/>
      </c>
      <c r="AF377" s="92" t="str">
        <f>+IF(AE377="","",L377/$S$377)</f>
        <v/>
      </c>
      <c r="AG377" s="174"/>
    </row>
    <row r="378" spans="1:34" s="27" customFormat="1" ht="12.75" x14ac:dyDescent="0.2">
      <c r="A378" s="27" t="str">
        <f t="shared" si="170"/>
        <v/>
      </c>
      <c r="B378" s="38"/>
      <c r="C378" s="39"/>
      <c r="D378" s="39"/>
      <c r="E378" s="46"/>
      <c r="F378" s="46"/>
      <c r="G378" s="39"/>
      <c r="H378" s="40"/>
      <c r="I378" s="41"/>
      <c r="J378" s="42"/>
      <c r="K378" s="43"/>
      <c r="L378" s="44">
        <f t="shared" si="171"/>
        <v>0</v>
      </c>
      <c r="M378" s="206"/>
      <c r="N378" s="206"/>
      <c r="O378" s="207" t="str">
        <f t="shared" si="172"/>
        <v/>
      </c>
      <c r="P378" s="206"/>
      <c r="Q378" s="206"/>
      <c r="R378" s="177">
        <f t="shared" si="173"/>
        <v>0</v>
      </c>
      <c r="S378" s="178" t="str">
        <f t="shared" si="174"/>
        <v/>
      </c>
      <c r="T378" s="208" t="str">
        <f t="shared" si="175"/>
        <v/>
      </c>
      <c r="U378" s="41"/>
      <c r="V378" s="45"/>
      <c r="X378" s="37" t="str">
        <f t="shared" si="168"/>
        <v/>
      </c>
      <c r="Z378" s="181"/>
      <c r="AB378" s="173"/>
      <c r="AD378" s="10" t="str">
        <f t="shared" si="169"/>
        <v/>
      </c>
      <c r="AE378" s="92" t="str">
        <f>+IF(OR($T$378="",X378="",X378="NO"),"",L378)</f>
        <v/>
      </c>
      <c r="AF378" s="92" t="str">
        <f>+IF(AE378="","",L378/$S$378)</f>
        <v/>
      </c>
      <c r="AG378" s="174"/>
    </row>
    <row r="379" spans="1:34" s="27" customFormat="1" ht="13.5" thickBot="1" x14ac:dyDescent="0.25">
      <c r="A379" s="27" t="str">
        <f t="shared" si="170"/>
        <v/>
      </c>
      <c r="B379" s="47"/>
      <c r="C379" s="48"/>
      <c r="D379" s="48"/>
      <c r="E379" s="49"/>
      <c r="F379" s="49"/>
      <c r="G379" s="48"/>
      <c r="H379" s="50"/>
      <c r="I379" s="51"/>
      <c r="J379" s="14"/>
      <c r="K379" s="52"/>
      <c r="L379" s="53">
        <f t="shared" si="171"/>
        <v>0</v>
      </c>
      <c r="M379" s="211"/>
      <c r="N379" s="211"/>
      <c r="O379" s="212" t="str">
        <f t="shared" si="172"/>
        <v/>
      </c>
      <c r="P379" s="211"/>
      <c r="Q379" s="211"/>
      <c r="R379" s="184">
        <f t="shared" si="173"/>
        <v>0</v>
      </c>
      <c r="S379" s="185" t="str">
        <f t="shared" si="174"/>
        <v/>
      </c>
      <c r="T379" s="213" t="str">
        <f t="shared" si="175"/>
        <v/>
      </c>
      <c r="U379" s="51"/>
      <c r="V379" s="54"/>
      <c r="X379" s="55" t="str">
        <f t="shared" si="168"/>
        <v/>
      </c>
      <c r="Z379" s="187"/>
      <c r="AB379" s="188"/>
      <c r="AD379" s="10" t="str">
        <f t="shared" si="169"/>
        <v/>
      </c>
      <c r="AE379" s="92" t="str">
        <f>+IF(OR($T$379="",X379="",X379="NO"),"",L379)</f>
        <v/>
      </c>
      <c r="AF379" s="92" t="str">
        <f>+IF(AE379="","",L379/$S$379)</f>
        <v/>
      </c>
    </row>
    <row r="380" spans="1:34" ht="36" customHeight="1" x14ac:dyDescent="0.2">
      <c r="B380" s="57" t="str">
        <f>"A"&amp;B367</f>
        <v>A22</v>
      </c>
      <c r="C380" s="382" t="str">
        <f>+$C$23</f>
        <v>¿CADA INTEGRANTE DE PROPONENTE PLURAL APORTAN CONTRATO?  (SI; NO; NA)</v>
      </c>
      <c r="D380" s="383"/>
      <c r="E380" s="383"/>
      <c r="F380" s="383"/>
      <c r="G380" s="383"/>
      <c r="H380" s="384"/>
      <c r="I380" s="217" t="str">
        <f>+IF(AG367="","",IF(AG367=1,"NA",IF(AND(AG367=3,(IF(COUNTIFS(C370:C379,AH370,AE370:AE379,"&gt;0")&gt;=1,1,0)+IF(COUNTIFS(C370:C379,AH371,AE370:AE379,"&gt;0")&gt;=1,1,0)+IF(COUNTIFS(C370:C379,AH372,AE370:AE379,"&gt;0")&gt;=1,1,0))&gt;=AG367),"SI",IF(AND(AG367=2,(IF(COUNTIFS(C370:C379,AH370,AE370:AE379,"&gt;0")&gt;=1,1,0)+IF(COUNTIFS(C370:C379,AH371,AE370:AE379,"&gt;0")&gt;=1,1,0))&gt;=AG367),"SI","NO"))))</f>
        <v>SI</v>
      </c>
      <c r="J380" s="59"/>
      <c r="K380" s="27"/>
      <c r="L380" s="27"/>
      <c r="M380" s="27"/>
      <c r="N380" s="27"/>
      <c r="O380" s="27"/>
      <c r="P380" s="385" t="str">
        <f>+$P$23</f>
        <v>FACTURACION MENSUAL TOTAL</v>
      </c>
      <c r="Q380" s="386"/>
      <c r="R380" s="386"/>
      <c r="S380" s="386"/>
      <c r="T380" s="189">
        <f>ROUND(SUM(T370:T379),3)</f>
        <v>357.64400000000001</v>
      </c>
      <c r="U380" s="60"/>
      <c r="V380" s="1"/>
      <c r="W380" s="61"/>
      <c r="X380" s="61"/>
      <c r="Y380" s="61"/>
      <c r="Z380" s="61"/>
      <c r="AA380" s="61"/>
      <c r="AB380" s="61"/>
    </row>
    <row r="381" spans="1:34" ht="38.25" customHeight="1" thickBot="1" x14ac:dyDescent="0.25">
      <c r="B381" s="57" t="str">
        <f>"B"&amp;B367</f>
        <v>B22</v>
      </c>
      <c r="C381" s="387" t="str">
        <f>+C364</f>
        <v>En caso de proponente plural: ¿De la totalidad de los contratos aportados por el proponente plural, el valor ejecutado de uno de ellos deberá ser igual o superior al 30% del P.O.?  (SI; NO; NA)</v>
      </c>
      <c r="D381" s="388"/>
      <c r="E381" s="388"/>
      <c r="F381" s="388"/>
      <c r="G381" s="389"/>
      <c r="H381" s="190">
        <f>+$H$6</f>
        <v>268.14722506074827</v>
      </c>
      <c r="I381" s="191" t="str">
        <f>+IF(AG367="","",IF(AG367=1,"NA",IF(AND(AG367&gt;1,(COUNTIFS(AD370:AD379,"SI",AE370:AE379,"&gt;0"))&gt;=1),"SI","NO")))</f>
        <v>SI</v>
      </c>
      <c r="J381" s="192"/>
      <c r="K381" s="193"/>
      <c r="L381" s="194"/>
      <c r="M381" s="194"/>
      <c r="N381" s="194"/>
      <c r="O381" s="194"/>
      <c r="P381" s="387" t="str">
        <f>+$P$24</f>
        <v>PROMEDIO FACTURACIÓN MENSUAL DEL PROPONENTE (PFMP)</v>
      </c>
      <c r="Q381" s="388"/>
      <c r="R381" s="388"/>
      <c r="S381" s="388"/>
      <c r="T381" s="195">
        <f t="array" ref="T381">IF(T380=0,0,ROUND(T380/(SUM(IF(FREQUENCY(A370:A379,A370:A379)&gt;0,1))),3))</f>
        <v>119.215</v>
      </c>
      <c r="U381" s="214"/>
      <c r="V381" s="1"/>
      <c r="W381" s="61"/>
      <c r="X381" s="61"/>
      <c r="Y381" s="61"/>
      <c r="Z381" s="61"/>
      <c r="AA381" s="61"/>
      <c r="AB381" s="61"/>
    </row>
    <row r="382" spans="1:34" ht="21" customHeight="1" thickBot="1" x14ac:dyDescent="0.25">
      <c r="B382" s="197" t="str">
        <f>"C"&amp;B367</f>
        <v>C22</v>
      </c>
      <c r="C382" s="349" t="str">
        <f>+$C$25</f>
        <v>PROPONENTE CUMPLE CON LAS ACTIVIDADES a) y b)? (SI; NO)</v>
      </c>
      <c r="D382" s="350"/>
      <c r="E382" s="350"/>
      <c r="F382" s="350"/>
      <c r="G382" s="350"/>
      <c r="H382" s="351"/>
      <c r="I382" s="198" t="str">
        <f>IF(C367="","",(IF(AND(COUNTIFS(X370:X379,"SI",Z370:Z379,"SI")&gt;=$Z$8,COUNTIFS(X370:X379,"SI",AB370:AB379,"SI")&gt;=$Z$8),"SI","NO")))</f>
        <v>SI</v>
      </c>
      <c r="J382" s="199"/>
      <c r="K382" s="200"/>
      <c r="L382" s="200"/>
      <c r="M382" s="200"/>
      <c r="N382" s="200"/>
      <c r="P382" s="378" t="str">
        <f>+$P$25</f>
        <v>VALOR PUNTAJE POR EXPERIENCIA DEL PROPONENTE</v>
      </c>
      <c r="Q382" s="379"/>
      <c r="R382" s="379"/>
      <c r="S382" s="380"/>
      <c r="T382" s="201">
        <f>IF(OR(C367="",'ASIGNACION DE PUNTAJES'!$C$5=""),"",VLOOKUP(B367,'ASIGNACION DE PUNTAJES'!$A$15:$G$69,7,FALSE))</f>
        <v>613.84500000000003</v>
      </c>
      <c r="V382" s="202"/>
    </row>
    <row r="383" spans="1:34" ht="9.75" customHeight="1" thickBot="1" x14ac:dyDescent="0.25">
      <c r="M383" s="84"/>
      <c r="N383" s="84"/>
      <c r="O383" s="84"/>
      <c r="V383" s="21"/>
    </row>
    <row r="384" spans="1:34" ht="36.75" customHeight="1" thickBot="1" x14ac:dyDescent="0.25">
      <c r="B384" s="23">
        <f>1+B367</f>
        <v>23</v>
      </c>
      <c r="C384" s="336" t="s">
        <v>919</v>
      </c>
      <c r="D384" s="337"/>
      <c r="E384" s="337"/>
      <c r="F384" s="337"/>
      <c r="G384" s="337"/>
      <c r="H384" s="337"/>
      <c r="I384" s="338"/>
      <c r="J384" s="24" t="str">
        <f>+IF(C384="","","INTEGRANTES")</f>
        <v>INTEGRANTES</v>
      </c>
      <c r="K384" s="339" t="s">
        <v>920</v>
      </c>
      <c r="L384" s="339"/>
      <c r="M384" s="339"/>
      <c r="N384" s="339"/>
      <c r="O384" s="339"/>
      <c r="P384" s="339"/>
      <c r="Q384" s="339"/>
      <c r="R384" s="396" t="str">
        <f>+$R$10</f>
        <v>PROPONENTE No.</v>
      </c>
      <c r="S384" s="397"/>
      <c r="T384" s="25">
        <f>+B384</f>
        <v>23</v>
      </c>
      <c r="U384" s="161" t="str">
        <f>+$U$10</f>
        <v>PFMP</v>
      </c>
      <c r="V384" s="162">
        <f>IF(T398="",0,T398)</f>
        <v>126.8</v>
      </c>
      <c r="X384" s="325" t="s">
        <v>168</v>
      </c>
      <c r="Z384" s="163" t="str">
        <f>+$Z$10</f>
        <v>EXP. ESPECÍFICA 
A:</v>
      </c>
      <c r="AB384" s="163" t="str">
        <f>+$AB$10</f>
        <v>EXP. ESPECÍFICA 
B:</v>
      </c>
      <c r="AG384" s="1">
        <v>2</v>
      </c>
    </row>
    <row r="385" spans="1:34" ht="42" customHeight="1" x14ac:dyDescent="0.2">
      <c r="B385" s="331" t="str">
        <f>+$B$11</f>
        <v>ITEM</v>
      </c>
      <c r="C385" s="318" t="str">
        <f>+$C$11</f>
        <v>PROPONENTE 
/ 
INTEGRANTE OFERENTE PLURAL</v>
      </c>
      <c r="D385" s="333" t="str">
        <f>+$D$11</f>
        <v>INFORMACIÓN DEL CONTRATO</v>
      </c>
      <c r="E385" s="334"/>
      <c r="F385" s="334"/>
      <c r="G385" s="335"/>
      <c r="H385" s="318" t="str">
        <f>+H368</f>
        <v>CONSECUTIVO RUP</v>
      </c>
      <c r="I385" s="318" t="str">
        <f>+$I$11</f>
        <v>¿SE ENCUENTRA INSCRITO EN EL RUP Y CUMPLE CÓDIGOS UNSPSC?</v>
      </c>
      <c r="J385" s="318" t="str">
        <f>+$J$11</f>
        <v xml:space="preserve">VALOR EN RUP (SMMLV) </v>
      </c>
      <c r="K385" s="318" t="str">
        <f>+$K$11</f>
        <v>% PARTIC en el RUP</v>
      </c>
      <c r="L385" s="318" t="str">
        <f>+$L$11</f>
        <v>VALOR DEL CONTRATO TERMINADO (SMMLV) en el   RUP</v>
      </c>
      <c r="M385" s="318" t="str">
        <f>+$M$11</f>
        <v>FECHA DE INICIO</v>
      </c>
      <c r="N385" s="318" t="str">
        <f>+$N$11</f>
        <v>FECHA DE TERMINACION</v>
      </c>
      <c r="O385" s="318" t="str">
        <f>+$O$11</f>
        <v>PLAZO CONTRA-TO (Meses)</v>
      </c>
      <c r="P385" s="390" t="str">
        <f>+$P$11</f>
        <v>Tsusp i</v>
      </c>
      <c r="Q385" s="391"/>
      <c r="R385" s="392"/>
      <c r="S385" s="318" t="str">
        <f>+$S$11</f>
        <v>PLAZO i REAL</v>
      </c>
      <c r="T385" s="318" t="str">
        <f>+$T$11</f>
        <v>FACTURA-CION MENSUAL PROPO-NENTE</v>
      </c>
      <c r="U385" s="318" t="str">
        <f>+$U$11</f>
        <v>VALIDACIÓN DE LA EXPERIENCIA GENERAL
(SI/NO)</v>
      </c>
      <c r="V385" s="393" t="str">
        <f>+$V$11</f>
        <v>OBSERVACIONES</v>
      </c>
      <c r="X385" s="326"/>
      <c r="Z385" s="381" t="str">
        <f>+$Z$11</f>
        <v>Interventoria a la ejecución de obras relacionadas con Colocación de capas granulares (tales como bases y/o sub-bases granulares).</v>
      </c>
      <c r="AB385" s="381" t="str">
        <f>+$AB$11</f>
        <v>Interventoria a la Ejecución de obras de subdrenaje y/o drenaje, en carreteras.</v>
      </c>
    </row>
    <row r="386" spans="1:34" ht="38.25" customHeight="1" thickBot="1" x14ac:dyDescent="0.25">
      <c r="B386" s="395"/>
      <c r="C386" s="348"/>
      <c r="D386" s="165" t="str">
        <f>+$D$12</f>
        <v>ENTIDAD</v>
      </c>
      <c r="E386" s="165" t="str">
        <f>+$E$12</f>
        <v>No. DE CONTRATO</v>
      </c>
      <c r="F386" s="165" t="str">
        <f>+$F$12</f>
        <v>OBJETO</v>
      </c>
      <c r="G386" s="165" t="str">
        <f>+$G$12</f>
        <v>CONTRATISTA</v>
      </c>
      <c r="H386" s="348"/>
      <c r="I386" s="348"/>
      <c r="J386" s="348"/>
      <c r="K386" s="348"/>
      <c r="L386" s="348"/>
      <c r="M386" s="348"/>
      <c r="N386" s="348"/>
      <c r="O386" s="348"/>
      <c r="P386" s="166" t="str">
        <f>+P369</f>
        <v>Finicsuspi</v>
      </c>
      <c r="Q386" s="166" t="str">
        <f>+Q369</f>
        <v xml:space="preserve"> Ftermsuspi </v>
      </c>
      <c r="R386" s="166" t="str">
        <f>+R369</f>
        <v>Tsusp i (meses)</v>
      </c>
      <c r="S386" s="348"/>
      <c r="T386" s="348"/>
      <c r="U386" s="348"/>
      <c r="V386" s="394"/>
      <c r="X386" s="327"/>
      <c r="Z386" s="381"/>
      <c r="AB386" s="381"/>
    </row>
    <row r="387" spans="1:34" s="27" customFormat="1" ht="72.75" customHeight="1" x14ac:dyDescent="0.2">
      <c r="A387" s="27">
        <f>+IF(T387="","",B387)</f>
        <v>1</v>
      </c>
      <c r="B387" s="28">
        <v>1</v>
      </c>
      <c r="C387" s="86" t="s">
        <v>116</v>
      </c>
      <c r="D387" s="86" t="s">
        <v>117</v>
      </c>
      <c r="E387" s="87">
        <v>2121828</v>
      </c>
      <c r="F387" s="87" t="s">
        <v>410</v>
      </c>
      <c r="G387" s="86" t="s">
        <v>411</v>
      </c>
      <c r="H387" s="30">
        <v>31</v>
      </c>
      <c r="I387" s="31" t="s">
        <v>16</v>
      </c>
      <c r="J387" s="32">
        <v>964.75</v>
      </c>
      <c r="K387" s="33">
        <v>0.4</v>
      </c>
      <c r="L387" s="34">
        <f>IF(OR(H387="",I387&lt;&gt;"SI",I387="NO",J387="",J387=0,K387="",K387=0,X387&lt;&gt;"SI"),0,J387*K387)</f>
        <v>385.90000000000003</v>
      </c>
      <c r="M387" s="204">
        <v>41109</v>
      </c>
      <c r="N387" s="204">
        <v>41274</v>
      </c>
      <c r="O387" s="169">
        <f>IF(OR(H387="",I387&lt;&gt;"SI",I387="NO",J387="",J387=0,K387="",K387=0,,M387="",N387=""),"",ROUND((((N387-M387)+1)/30),3))</f>
        <v>5.5330000000000004</v>
      </c>
      <c r="P387" s="204"/>
      <c r="Q387" s="204"/>
      <c r="R387" s="170">
        <f>IF(OR((Q387-P387)=0,P387="",Q387=""),0,(ROUND((((Q387-P387)+1)/30),3)))</f>
        <v>0</v>
      </c>
      <c r="S387" s="171">
        <f>IF(O387="","",ROUND(SUM(O387)-SUM(R387),3))</f>
        <v>5.5330000000000004</v>
      </c>
      <c r="T387" s="172">
        <f>+IF(C387="","",IF(OR(S387="",S387&lt;=0,I387="",I387="NO",U387="",U387="NO",X387="NO"),"",ROUND(SUM(L387)/S387,3)))</f>
        <v>69.745000000000005</v>
      </c>
      <c r="U387" s="35" t="s">
        <v>16</v>
      </c>
      <c r="V387" s="36"/>
      <c r="W387" s="205"/>
      <c r="X387" s="37" t="str">
        <f t="shared" ref="X387:X396" si="176">+IF(C387="","",IF(AND(H387&lt;&gt;"",I387="SI",J387&lt;&gt;"",J387&gt;0,K387&lt;&gt;"",K387&gt;0,S387&lt;&gt;"",S387&gt;0,U387="SI"),"SI","NO"))</f>
        <v>SI</v>
      </c>
      <c r="Z387" s="173" t="s">
        <v>211</v>
      </c>
      <c r="AB387" s="173" t="s">
        <v>16</v>
      </c>
      <c r="AD387" s="10" t="str">
        <f t="shared" ref="AD387:AD396" si="177">+IF($C$384="","",IF(C387="","",IF(L387&gt;=$H$6,"SI","NO")))</f>
        <v>SI</v>
      </c>
      <c r="AE387" s="92">
        <f>+IF(OR($T$387="",X387="",X387="NO"),"",L387)</f>
        <v>385.90000000000003</v>
      </c>
      <c r="AF387" s="92">
        <f>+IF(AE387="","",L387/$S$387)</f>
        <v>69.745165371407921</v>
      </c>
      <c r="AG387" s="174">
        <f>0.1+B384</f>
        <v>23.1</v>
      </c>
      <c r="AH387" s="27" t="s">
        <v>116</v>
      </c>
    </row>
    <row r="388" spans="1:34" s="27" customFormat="1" ht="89.25" customHeight="1" x14ac:dyDescent="0.2">
      <c r="A388" s="27">
        <f t="shared" ref="A388:A396" si="178">+IF(T388="","",B388)</f>
        <v>2</v>
      </c>
      <c r="B388" s="38">
        <v>2</v>
      </c>
      <c r="C388" s="39" t="s">
        <v>116</v>
      </c>
      <c r="D388" s="39" t="s">
        <v>412</v>
      </c>
      <c r="E388" s="46" t="s">
        <v>413</v>
      </c>
      <c r="F388" s="46" t="s">
        <v>414</v>
      </c>
      <c r="G388" s="39" t="s">
        <v>415</v>
      </c>
      <c r="H388" s="40">
        <v>122</v>
      </c>
      <c r="I388" s="41" t="s">
        <v>16</v>
      </c>
      <c r="J388" s="42">
        <v>762.89</v>
      </c>
      <c r="K388" s="43">
        <v>0.5</v>
      </c>
      <c r="L388" s="44">
        <f t="shared" ref="L388:L396" si="179">IF(OR(H388="",I388&lt;&gt;"SI",I388="NO",J388="",J388=0,K388="",K388=0,X388&lt;&gt;"SI"),0,J388*K388)</f>
        <v>381.44499999999999</v>
      </c>
      <c r="M388" s="206">
        <v>42606</v>
      </c>
      <c r="N388" s="206">
        <v>42855</v>
      </c>
      <c r="O388" s="207">
        <f t="shared" ref="O388:O396" si="180">IF(OR(H388="",I388&lt;&gt;"SI",I388="NO",J388="",J388=0,K388="",K388=0,,M388="",N388=""),"",ROUND((((N388-M388)+1)/30),3))</f>
        <v>8.3330000000000002</v>
      </c>
      <c r="P388" s="206"/>
      <c r="Q388" s="206"/>
      <c r="R388" s="177">
        <f t="shared" ref="R388:R396" si="181">IF(OR((Q388-P388)=0,P388="",Q388=""),0,(ROUND((((Q388-P388)+1)/30),3)))</f>
        <v>0</v>
      </c>
      <c r="S388" s="178">
        <f t="shared" ref="S388:S396" si="182">IF(O388="","",ROUND(SUM(O388)-SUM(R388),3))</f>
        <v>8.3330000000000002</v>
      </c>
      <c r="T388" s="208">
        <f t="shared" ref="T388:T396" si="183">+IF(C388="","",IF(OR(S388="",S388&lt;=0,I388="",I388="NO",U388="",U388="NO",X388="NO"),"",ROUND(SUM(L388)/S388,3)))</f>
        <v>45.774999999999999</v>
      </c>
      <c r="U388" s="41" t="s">
        <v>16</v>
      </c>
      <c r="V388" s="209"/>
      <c r="W388" s="205"/>
      <c r="X388" s="37" t="str">
        <f t="shared" si="176"/>
        <v>SI</v>
      </c>
      <c r="Z388" s="173" t="s">
        <v>16</v>
      </c>
      <c r="AB388" s="173" t="s">
        <v>16</v>
      </c>
      <c r="AD388" s="10" t="str">
        <f t="shared" si="177"/>
        <v>SI</v>
      </c>
      <c r="AE388" s="92">
        <f>+IF(OR($T$388="",X388="",X388="NO"),"",L388)</f>
        <v>381.44499999999999</v>
      </c>
      <c r="AF388" s="92">
        <f>+IF(AE388="","",L388/$S$388)</f>
        <v>45.775231009240365</v>
      </c>
      <c r="AG388" s="174">
        <f>0.2+B384</f>
        <v>23.2</v>
      </c>
      <c r="AH388" s="27" t="s">
        <v>416</v>
      </c>
    </row>
    <row r="389" spans="1:34" s="27" customFormat="1" ht="87.75" customHeight="1" x14ac:dyDescent="0.2">
      <c r="A389" s="27">
        <f t="shared" si="178"/>
        <v>3</v>
      </c>
      <c r="B389" s="38">
        <v>3</v>
      </c>
      <c r="C389" s="39" t="s">
        <v>416</v>
      </c>
      <c r="D389" s="39" t="s">
        <v>417</v>
      </c>
      <c r="E389" s="46" t="s">
        <v>206</v>
      </c>
      <c r="F389" s="46" t="s">
        <v>418</v>
      </c>
      <c r="G389" s="39" t="s">
        <v>419</v>
      </c>
      <c r="H389" s="40">
        <v>9</v>
      </c>
      <c r="I389" s="41" t="s">
        <v>16</v>
      </c>
      <c r="J389" s="42">
        <v>25705.75</v>
      </c>
      <c r="K389" s="43">
        <v>0.7</v>
      </c>
      <c r="L389" s="44">
        <f t="shared" si="179"/>
        <v>17994.024999999998</v>
      </c>
      <c r="M389" s="206">
        <v>38055</v>
      </c>
      <c r="N389" s="206">
        <v>40092</v>
      </c>
      <c r="O389" s="207">
        <f t="shared" si="180"/>
        <v>67.933000000000007</v>
      </c>
      <c r="P389" s="206"/>
      <c r="Q389" s="206"/>
      <c r="R389" s="177">
        <f t="shared" si="181"/>
        <v>0</v>
      </c>
      <c r="S389" s="178">
        <f t="shared" si="182"/>
        <v>67.933000000000007</v>
      </c>
      <c r="T389" s="208">
        <f t="shared" si="183"/>
        <v>264.87900000000002</v>
      </c>
      <c r="U389" s="41" t="s">
        <v>16</v>
      </c>
      <c r="V389" s="45"/>
      <c r="W389" s="205"/>
      <c r="X389" s="37" t="str">
        <f t="shared" si="176"/>
        <v>SI</v>
      </c>
      <c r="Z389" s="173" t="s">
        <v>211</v>
      </c>
      <c r="AB389" s="173" t="s">
        <v>16</v>
      </c>
      <c r="AD389" s="10" t="str">
        <f t="shared" si="177"/>
        <v>SI</v>
      </c>
      <c r="AE389" s="92">
        <f>+IF(OR($T$389="",X389="",X389="NO"),"",L389)</f>
        <v>17994.024999999998</v>
      </c>
      <c r="AF389" s="92">
        <f>+IF(AE389="","",L389/$S$389)</f>
        <v>264.87899842491862</v>
      </c>
      <c r="AG389" s="174">
        <f>0.3+B384</f>
        <v>23.3</v>
      </c>
      <c r="AH389" s="27" t="s">
        <v>932</v>
      </c>
    </row>
    <row r="390" spans="1:34" s="27" customFormat="1" ht="12.75" x14ac:dyDescent="0.2">
      <c r="A390" s="27" t="str">
        <f t="shared" si="178"/>
        <v/>
      </c>
      <c r="B390" s="38"/>
      <c r="C390" s="39"/>
      <c r="D390" s="39"/>
      <c r="E390" s="46"/>
      <c r="F390" s="46"/>
      <c r="G390" s="39"/>
      <c r="H390" s="40"/>
      <c r="I390" s="41"/>
      <c r="J390" s="42"/>
      <c r="K390" s="43"/>
      <c r="L390" s="44">
        <f t="shared" si="179"/>
        <v>0</v>
      </c>
      <c r="M390" s="206"/>
      <c r="N390" s="206"/>
      <c r="O390" s="207" t="str">
        <f t="shared" si="180"/>
        <v/>
      </c>
      <c r="P390" s="206"/>
      <c r="Q390" s="206"/>
      <c r="R390" s="177">
        <f t="shared" si="181"/>
        <v>0</v>
      </c>
      <c r="S390" s="178" t="str">
        <f t="shared" si="182"/>
        <v/>
      </c>
      <c r="T390" s="208" t="str">
        <f t="shared" si="183"/>
        <v/>
      </c>
      <c r="U390" s="41"/>
      <c r="V390" s="45"/>
      <c r="W390" s="210"/>
      <c r="X390" s="37" t="str">
        <f t="shared" si="176"/>
        <v/>
      </c>
      <c r="Z390" s="180"/>
      <c r="AB390" s="173"/>
      <c r="AD390" s="10" t="str">
        <f t="shared" si="177"/>
        <v/>
      </c>
      <c r="AE390" s="92" t="str">
        <f>+IF(OR($T$390="",X390="",X390="NO"),"",L390)</f>
        <v/>
      </c>
      <c r="AF390" s="92" t="str">
        <f>+IF(AE390="","",L390/$S$390)</f>
        <v/>
      </c>
      <c r="AG390" s="174"/>
    </row>
    <row r="391" spans="1:34" s="27" customFormat="1" ht="12.75" x14ac:dyDescent="0.2">
      <c r="A391" s="27" t="str">
        <f t="shared" si="178"/>
        <v/>
      </c>
      <c r="B391" s="38"/>
      <c r="C391" s="39"/>
      <c r="D391" s="39"/>
      <c r="E391" s="46"/>
      <c r="F391" s="46"/>
      <c r="G391" s="39"/>
      <c r="H391" s="40"/>
      <c r="I391" s="41"/>
      <c r="J391" s="42"/>
      <c r="K391" s="43"/>
      <c r="L391" s="44">
        <f t="shared" si="179"/>
        <v>0</v>
      </c>
      <c r="M391" s="206"/>
      <c r="N391" s="206"/>
      <c r="O391" s="207" t="str">
        <f t="shared" si="180"/>
        <v/>
      </c>
      <c r="P391" s="206"/>
      <c r="Q391" s="206"/>
      <c r="R391" s="177">
        <f t="shared" si="181"/>
        <v>0</v>
      </c>
      <c r="S391" s="178" t="str">
        <f t="shared" si="182"/>
        <v/>
      </c>
      <c r="T391" s="208" t="str">
        <f t="shared" si="183"/>
        <v/>
      </c>
      <c r="U391" s="41"/>
      <c r="V391" s="45"/>
      <c r="X391" s="37" t="str">
        <f t="shared" si="176"/>
        <v/>
      </c>
      <c r="Z391" s="181"/>
      <c r="AB391" s="173"/>
      <c r="AD391" s="10" t="str">
        <f t="shared" si="177"/>
        <v/>
      </c>
      <c r="AE391" s="92" t="str">
        <f>+IF(OR($T$391="",X391="",X391="NO"),"",L391)</f>
        <v/>
      </c>
      <c r="AF391" s="92" t="str">
        <f>+IF(AE391="","",L391/$S$391)</f>
        <v/>
      </c>
      <c r="AG391" s="174"/>
    </row>
    <row r="392" spans="1:34" s="27" customFormat="1" ht="12.75" x14ac:dyDescent="0.2">
      <c r="A392" s="27" t="str">
        <f t="shared" si="178"/>
        <v/>
      </c>
      <c r="B392" s="38"/>
      <c r="C392" s="39"/>
      <c r="D392" s="39"/>
      <c r="E392" s="46"/>
      <c r="F392" s="46"/>
      <c r="G392" s="39"/>
      <c r="H392" s="40"/>
      <c r="I392" s="41"/>
      <c r="J392" s="42"/>
      <c r="K392" s="43"/>
      <c r="L392" s="44">
        <f t="shared" si="179"/>
        <v>0</v>
      </c>
      <c r="M392" s="206"/>
      <c r="N392" s="206"/>
      <c r="O392" s="207" t="str">
        <f t="shared" si="180"/>
        <v/>
      </c>
      <c r="P392" s="206"/>
      <c r="Q392" s="206"/>
      <c r="R392" s="177">
        <f t="shared" si="181"/>
        <v>0</v>
      </c>
      <c r="S392" s="178" t="str">
        <f t="shared" si="182"/>
        <v/>
      </c>
      <c r="T392" s="208" t="str">
        <f t="shared" si="183"/>
        <v/>
      </c>
      <c r="U392" s="41"/>
      <c r="V392" s="45"/>
      <c r="X392" s="37" t="str">
        <f t="shared" si="176"/>
        <v/>
      </c>
      <c r="Z392" s="181"/>
      <c r="AB392" s="173"/>
      <c r="AD392" s="10" t="str">
        <f t="shared" si="177"/>
        <v/>
      </c>
      <c r="AE392" s="92" t="str">
        <f>+IF(OR($T$392="",X392="",X392="NO"),"",L392)</f>
        <v/>
      </c>
      <c r="AF392" s="92" t="str">
        <f>+IF(AE392="","",L392/$S$392)</f>
        <v/>
      </c>
      <c r="AG392" s="174"/>
    </row>
    <row r="393" spans="1:34" s="27" customFormat="1" ht="12.75" x14ac:dyDescent="0.2">
      <c r="A393" s="27" t="str">
        <f t="shared" si="178"/>
        <v/>
      </c>
      <c r="B393" s="38"/>
      <c r="C393" s="39"/>
      <c r="D393" s="39"/>
      <c r="E393" s="46"/>
      <c r="F393" s="46"/>
      <c r="G393" s="39"/>
      <c r="H393" s="40"/>
      <c r="I393" s="41"/>
      <c r="J393" s="42"/>
      <c r="K393" s="43"/>
      <c r="L393" s="44">
        <f t="shared" si="179"/>
        <v>0</v>
      </c>
      <c r="M393" s="206"/>
      <c r="N393" s="206"/>
      <c r="O393" s="207" t="str">
        <f t="shared" si="180"/>
        <v/>
      </c>
      <c r="P393" s="206"/>
      <c r="Q393" s="206"/>
      <c r="R393" s="177">
        <f t="shared" si="181"/>
        <v>0</v>
      </c>
      <c r="S393" s="178" t="str">
        <f t="shared" si="182"/>
        <v/>
      </c>
      <c r="T393" s="208" t="str">
        <f t="shared" si="183"/>
        <v/>
      </c>
      <c r="U393" s="41"/>
      <c r="V393" s="45"/>
      <c r="X393" s="37" t="str">
        <f t="shared" si="176"/>
        <v/>
      </c>
      <c r="Z393" s="181"/>
      <c r="AB393" s="173"/>
      <c r="AD393" s="10" t="str">
        <f t="shared" si="177"/>
        <v/>
      </c>
      <c r="AE393" s="92" t="str">
        <f>+IF(OR($T$393="",X393="",X393="NO"),"",L393)</f>
        <v/>
      </c>
      <c r="AF393" s="92" t="str">
        <f>+IF(AE393="","",L393/$S$393)</f>
        <v/>
      </c>
      <c r="AG393" s="174"/>
    </row>
    <row r="394" spans="1:34" s="27" customFormat="1" ht="12.75" x14ac:dyDescent="0.2">
      <c r="A394" s="27" t="str">
        <f t="shared" si="178"/>
        <v/>
      </c>
      <c r="B394" s="38"/>
      <c r="C394" s="39"/>
      <c r="D394" s="39"/>
      <c r="E394" s="46"/>
      <c r="F394" s="46"/>
      <c r="G394" s="39"/>
      <c r="H394" s="40"/>
      <c r="I394" s="41"/>
      <c r="J394" s="42"/>
      <c r="K394" s="43"/>
      <c r="L394" s="44">
        <f t="shared" si="179"/>
        <v>0</v>
      </c>
      <c r="M394" s="206"/>
      <c r="N394" s="206"/>
      <c r="O394" s="207" t="str">
        <f t="shared" si="180"/>
        <v/>
      </c>
      <c r="P394" s="206"/>
      <c r="Q394" s="206"/>
      <c r="R394" s="177">
        <f t="shared" si="181"/>
        <v>0</v>
      </c>
      <c r="S394" s="178" t="str">
        <f t="shared" si="182"/>
        <v/>
      </c>
      <c r="T394" s="208" t="str">
        <f t="shared" si="183"/>
        <v/>
      </c>
      <c r="U394" s="41"/>
      <c r="V394" s="45"/>
      <c r="X394" s="37" t="str">
        <f t="shared" si="176"/>
        <v/>
      </c>
      <c r="Z394" s="181"/>
      <c r="AB394" s="173"/>
      <c r="AD394" s="10" t="str">
        <f t="shared" si="177"/>
        <v/>
      </c>
      <c r="AE394" s="92" t="str">
        <f>+IF(OR($T$394="",X394="",X394="NO"),"",L394)</f>
        <v/>
      </c>
      <c r="AF394" s="92" t="str">
        <f>+IF(AE394="","",L394/$S$394)</f>
        <v/>
      </c>
      <c r="AG394" s="174"/>
    </row>
    <row r="395" spans="1:34" s="27" customFormat="1" ht="12.75" x14ac:dyDescent="0.2">
      <c r="A395" s="27" t="str">
        <f t="shared" si="178"/>
        <v/>
      </c>
      <c r="B395" s="38"/>
      <c r="C395" s="39"/>
      <c r="D395" s="39"/>
      <c r="E395" s="46"/>
      <c r="F395" s="46"/>
      <c r="G395" s="39"/>
      <c r="H395" s="40"/>
      <c r="I395" s="41"/>
      <c r="J395" s="42"/>
      <c r="K395" s="43"/>
      <c r="L395" s="44">
        <f t="shared" si="179"/>
        <v>0</v>
      </c>
      <c r="M395" s="206"/>
      <c r="N395" s="206"/>
      <c r="O395" s="207" t="str">
        <f t="shared" si="180"/>
        <v/>
      </c>
      <c r="P395" s="206"/>
      <c r="Q395" s="206"/>
      <c r="R395" s="177">
        <f t="shared" si="181"/>
        <v>0</v>
      </c>
      <c r="S395" s="178" t="str">
        <f t="shared" si="182"/>
        <v/>
      </c>
      <c r="T395" s="208" t="str">
        <f t="shared" si="183"/>
        <v/>
      </c>
      <c r="U395" s="41"/>
      <c r="V395" s="45"/>
      <c r="X395" s="37" t="str">
        <f t="shared" si="176"/>
        <v/>
      </c>
      <c r="Z395" s="181"/>
      <c r="AB395" s="173"/>
      <c r="AD395" s="10" t="str">
        <f t="shared" si="177"/>
        <v/>
      </c>
      <c r="AE395" s="92" t="str">
        <f>+IF(OR($T$395="",X395="",X395="NO"),"",L395)</f>
        <v/>
      </c>
      <c r="AF395" s="92" t="str">
        <f>+IF(AE395="","",L395/$S$395)</f>
        <v/>
      </c>
      <c r="AG395" s="174"/>
    </row>
    <row r="396" spans="1:34" s="27" customFormat="1" ht="13.5" thickBot="1" x14ac:dyDescent="0.25">
      <c r="A396" s="27" t="str">
        <f t="shared" si="178"/>
        <v/>
      </c>
      <c r="B396" s="47"/>
      <c r="C396" s="48"/>
      <c r="D396" s="48"/>
      <c r="E396" s="49"/>
      <c r="F396" s="49"/>
      <c r="G396" s="48"/>
      <c r="H396" s="50"/>
      <c r="I396" s="51"/>
      <c r="J396" s="14"/>
      <c r="K396" s="52"/>
      <c r="L396" s="53">
        <f t="shared" si="179"/>
        <v>0</v>
      </c>
      <c r="M396" s="211"/>
      <c r="N396" s="211"/>
      <c r="O396" s="212" t="str">
        <f t="shared" si="180"/>
        <v/>
      </c>
      <c r="P396" s="211"/>
      <c r="Q396" s="211"/>
      <c r="R396" s="184">
        <f t="shared" si="181"/>
        <v>0</v>
      </c>
      <c r="S396" s="185" t="str">
        <f t="shared" si="182"/>
        <v/>
      </c>
      <c r="T396" s="213" t="str">
        <f t="shared" si="183"/>
        <v/>
      </c>
      <c r="U396" s="51"/>
      <c r="V396" s="54"/>
      <c r="X396" s="55" t="str">
        <f t="shared" si="176"/>
        <v/>
      </c>
      <c r="Z396" s="187"/>
      <c r="AB396" s="188"/>
      <c r="AD396" s="10" t="str">
        <f t="shared" si="177"/>
        <v/>
      </c>
      <c r="AE396" s="92" t="str">
        <f>+IF(OR($T$396="",X396="",X396="NO"),"",L396)</f>
        <v/>
      </c>
      <c r="AF396" s="92" t="str">
        <f>+IF(AE396="","",L396/$S$396)</f>
        <v/>
      </c>
    </row>
    <row r="397" spans="1:34" ht="36" customHeight="1" x14ac:dyDescent="0.2">
      <c r="B397" s="57" t="str">
        <f>"A"&amp;B384</f>
        <v>A23</v>
      </c>
      <c r="C397" s="382" t="str">
        <f>+$C$23</f>
        <v>¿CADA INTEGRANTE DE PROPONENTE PLURAL APORTAN CONTRATO?  (SI; NO; NA)</v>
      </c>
      <c r="D397" s="383"/>
      <c r="E397" s="383"/>
      <c r="F397" s="383"/>
      <c r="G397" s="383"/>
      <c r="H397" s="384"/>
      <c r="I397" s="217" t="str">
        <f>+IF(AG384="","",IF(AG384=1,"NA",IF(AND(AG384=3,(IF(COUNTIFS(C387:C396,AH387,AE387:AE396,"&gt;0")&gt;=1,1,0)+IF(COUNTIFS(C387:C396,AH388,AE387:AE396,"&gt;0")&gt;=1,1,0)+IF(COUNTIFS(C387:C396,AH389,AE387:AE396,"&gt;0")&gt;=1,1,0))&gt;=AG384),"SI",IF(AND(AG384=2,(IF(COUNTIFS(C387:C396,AH387,AE387:AE396,"&gt;0")&gt;=1,1,0)+IF(COUNTIFS(C387:C396,AH388,AE387:AE396,"&gt;0")&gt;=1,1,0))&gt;=AG384),"SI","NO"))))</f>
        <v>SI</v>
      </c>
      <c r="J397" s="59"/>
      <c r="K397" s="27"/>
      <c r="L397" s="27"/>
      <c r="M397" s="27"/>
      <c r="N397" s="27"/>
      <c r="O397" s="27"/>
      <c r="P397" s="385" t="str">
        <f>+$P$23</f>
        <v>FACTURACION MENSUAL TOTAL</v>
      </c>
      <c r="Q397" s="386"/>
      <c r="R397" s="386"/>
      <c r="S397" s="386"/>
      <c r="T397" s="189">
        <f>ROUND(SUM(T387:T396),3)</f>
        <v>380.399</v>
      </c>
      <c r="U397" s="60"/>
      <c r="V397" s="1"/>
      <c r="W397" s="61"/>
      <c r="X397" s="61"/>
      <c r="Y397" s="61"/>
      <c r="Z397" s="61"/>
      <c r="AA397" s="61"/>
      <c r="AB397" s="61"/>
    </row>
    <row r="398" spans="1:34" ht="38.25" customHeight="1" thickBot="1" x14ac:dyDescent="0.25">
      <c r="B398" s="57" t="str">
        <f>"B"&amp;B384</f>
        <v>B23</v>
      </c>
      <c r="C398" s="387" t="str">
        <f>+C381</f>
        <v>En caso de proponente plural: ¿De la totalidad de los contratos aportados por el proponente plural, el valor ejecutado de uno de ellos deberá ser igual o superior al 30% del P.O.?  (SI; NO; NA)</v>
      </c>
      <c r="D398" s="388"/>
      <c r="E398" s="388"/>
      <c r="F398" s="388"/>
      <c r="G398" s="389"/>
      <c r="H398" s="190">
        <f>+$H$6</f>
        <v>268.14722506074827</v>
      </c>
      <c r="I398" s="191" t="str">
        <f>+IF(AG384="","",IF(AG384=1,"NA",IF(AND(AG384&gt;1,(COUNTIFS(AD387:AD396,"SI",AE387:AE396,"&gt;0"))&gt;=1),"SI","NO")))</f>
        <v>SI</v>
      </c>
      <c r="J398" s="192"/>
      <c r="K398" s="193"/>
      <c r="L398" s="194"/>
      <c r="M398" s="194"/>
      <c r="N398" s="194"/>
      <c r="O398" s="194"/>
      <c r="P398" s="387" t="str">
        <f>+$P$24</f>
        <v>PROMEDIO FACTURACIÓN MENSUAL DEL PROPONENTE (PFMP)</v>
      </c>
      <c r="Q398" s="388"/>
      <c r="R398" s="388"/>
      <c r="S398" s="388"/>
      <c r="T398" s="195">
        <f t="array" ref="T398">IF(T397=0,0,ROUND(T397/(SUM(IF(FREQUENCY(A387:A396,A387:A396)&gt;0,1))),3))</f>
        <v>126.8</v>
      </c>
      <c r="U398" s="214"/>
      <c r="V398" s="1"/>
      <c r="W398" s="61"/>
      <c r="X398" s="61"/>
      <c r="Y398" s="61"/>
      <c r="Z398" s="61"/>
      <c r="AA398" s="61"/>
      <c r="AB398" s="61"/>
    </row>
    <row r="399" spans="1:34" ht="21" customHeight="1" thickBot="1" x14ac:dyDescent="0.25">
      <c r="B399" s="197" t="str">
        <f>"C"&amp;B384</f>
        <v>C23</v>
      </c>
      <c r="C399" s="349" t="str">
        <f>+$C$25</f>
        <v>PROPONENTE CUMPLE CON LAS ACTIVIDADES a) y b)? (SI; NO)</v>
      </c>
      <c r="D399" s="350"/>
      <c r="E399" s="350"/>
      <c r="F399" s="350"/>
      <c r="G399" s="350"/>
      <c r="H399" s="351"/>
      <c r="I399" s="198" t="str">
        <f>IF(C384="","",(IF(AND(COUNTIFS(X387:X396,"SI",Z387:Z396,"SI")&gt;=$Z$8,COUNTIFS(X387:X396,"SI",AB387:AB396,"SI")&gt;=$Z$8),"SI","NO")))</f>
        <v>SI</v>
      </c>
      <c r="J399" s="199"/>
      <c r="K399" s="200"/>
      <c r="L399" s="200"/>
      <c r="M399" s="200"/>
      <c r="N399" s="200"/>
      <c r="P399" s="378" t="str">
        <f>+$P$25</f>
        <v>VALOR PUNTAJE POR EXPERIENCIA DEL PROPONENTE</v>
      </c>
      <c r="Q399" s="379"/>
      <c r="R399" s="379"/>
      <c r="S399" s="380"/>
      <c r="T399" s="201">
        <f>IF(OR(C384="",'ASIGNACION DE PUNTAJES'!$C$5=""),"",VLOOKUP(B384,'ASIGNACION DE PUNTAJES'!$A$15:$G$69,7,FALSE))</f>
        <v>652.90099999999995</v>
      </c>
      <c r="V399" s="202"/>
    </row>
    <row r="400" spans="1:34" ht="9.75" customHeight="1" thickBot="1" x14ac:dyDescent="0.25">
      <c r="M400" s="84"/>
      <c r="N400" s="84"/>
      <c r="O400" s="84"/>
      <c r="V400" s="21"/>
    </row>
    <row r="401" spans="1:34" ht="45.75" customHeight="1" thickBot="1" x14ac:dyDescent="0.25">
      <c r="B401" s="23">
        <f>1+B384</f>
        <v>24</v>
      </c>
      <c r="C401" s="336" t="s">
        <v>120</v>
      </c>
      <c r="D401" s="337"/>
      <c r="E401" s="337"/>
      <c r="F401" s="337"/>
      <c r="G401" s="337"/>
      <c r="H401" s="337"/>
      <c r="I401" s="338"/>
      <c r="J401" s="24" t="str">
        <f>+IF(C401="","","INTEGRANTES")</f>
        <v>INTEGRANTES</v>
      </c>
      <c r="K401" s="339" t="s">
        <v>890</v>
      </c>
      <c r="L401" s="339"/>
      <c r="M401" s="339"/>
      <c r="N401" s="339"/>
      <c r="O401" s="339"/>
      <c r="P401" s="339"/>
      <c r="Q401" s="339"/>
      <c r="R401" s="396" t="str">
        <f>+$R$10</f>
        <v>PROPONENTE No.</v>
      </c>
      <c r="S401" s="397"/>
      <c r="T401" s="25">
        <f>+B401</f>
        <v>24</v>
      </c>
      <c r="U401" s="161" t="str">
        <f>+$U$10</f>
        <v>PFMP</v>
      </c>
      <c r="V401" s="162">
        <f>IF(T415="",0,T415)</f>
        <v>119.46899999999999</v>
      </c>
      <c r="X401" s="325" t="s">
        <v>168</v>
      </c>
      <c r="Z401" s="163" t="str">
        <f>+$Z$10</f>
        <v>EXP. ESPECÍFICA 
A:</v>
      </c>
      <c r="AB401" s="163" t="str">
        <f>+$AB$10</f>
        <v>EXP. ESPECÍFICA 
B:</v>
      </c>
      <c r="AG401" s="1">
        <v>1</v>
      </c>
    </row>
    <row r="402" spans="1:34" ht="42" customHeight="1" x14ac:dyDescent="0.2">
      <c r="B402" s="331" t="str">
        <f>+$B$11</f>
        <v>ITEM</v>
      </c>
      <c r="C402" s="318" t="str">
        <f>+$C$11</f>
        <v>PROPONENTE 
/ 
INTEGRANTE OFERENTE PLURAL</v>
      </c>
      <c r="D402" s="333" t="str">
        <f>+$D$11</f>
        <v>INFORMACIÓN DEL CONTRATO</v>
      </c>
      <c r="E402" s="334"/>
      <c r="F402" s="334"/>
      <c r="G402" s="335"/>
      <c r="H402" s="318" t="str">
        <f>+H385</f>
        <v>CONSECUTIVO RUP</v>
      </c>
      <c r="I402" s="318" t="str">
        <f>+$I$11</f>
        <v>¿SE ENCUENTRA INSCRITO EN EL RUP Y CUMPLE CÓDIGOS UNSPSC?</v>
      </c>
      <c r="J402" s="318" t="str">
        <f>+$J$11</f>
        <v xml:space="preserve">VALOR EN RUP (SMMLV) </v>
      </c>
      <c r="K402" s="318" t="str">
        <f>+$K$11</f>
        <v>% PARTIC en el RUP</v>
      </c>
      <c r="L402" s="318" t="str">
        <f>+$L$11</f>
        <v>VALOR DEL CONTRATO TERMINADO (SMMLV) en el   RUP</v>
      </c>
      <c r="M402" s="318" t="str">
        <f>+$M$11</f>
        <v>FECHA DE INICIO</v>
      </c>
      <c r="N402" s="318" t="str">
        <f>+$N$11</f>
        <v>FECHA DE TERMINACION</v>
      </c>
      <c r="O402" s="318" t="str">
        <f>+$O$11</f>
        <v>PLAZO CONTRA-TO (Meses)</v>
      </c>
      <c r="P402" s="390" t="str">
        <f>+$P$11</f>
        <v>Tsusp i</v>
      </c>
      <c r="Q402" s="391"/>
      <c r="R402" s="392"/>
      <c r="S402" s="318" t="str">
        <f>+$S$11</f>
        <v>PLAZO i REAL</v>
      </c>
      <c r="T402" s="318" t="str">
        <f>+$T$11</f>
        <v>FACTURA-CION MENSUAL PROPO-NENTE</v>
      </c>
      <c r="U402" s="318" t="str">
        <f>+$U$11</f>
        <v>VALIDACIÓN DE LA EXPERIENCIA GENERAL
(SI/NO)</v>
      </c>
      <c r="V402" s="393" t="str">
        <f>+$V$11</f>
        <v>OBSERVACIONES</v>
      </c>
      <c r="X402" s="326"/>
      <c r="Z402" s="381" t="str">
        <f>+$Z$11</f>
        <v>Interventoria a la ejecución de obras relacionadas con Colocación de capas granulares (tales como bases y/o sub-bases granulares).</v>
      </c>
      <c r="AB402" s="381" t="str">
        <f>+$AB$11</f>
        <v>Interventoria a la Ejecución de obras de subdrenaje y/o drenaje, en carreteras.</v>
      </c>
    </row>
    <row r="403" spans="1:34" ht="38.25" customHeight="1" thickBot="1" x14ac:dyDescent="0.25">
      <c r="B403" s="395"/>
      <c r="C403" s="319"/>
      <c r="D403" s="26" t="str">
        <f>+$D$12</f>
        <v>ENTIDAD</v>
      </c>
      <c r="E403" s="26" t="str">
        <f>+$E$12</f>
        <v>No. DE CONTRATO</v>
      </c>
      <c r="F403" s="26" t="str">
        <f>+$F$12</f>
        <v>OBJETO</v>
      </c>
      <c r="G403" s="26" t="str">
        <f>+$G$12</f>
        <v>CONTRATISTA</v>
      </c>
      <c r="H403" s="319"/>
      <c r="I403" s="319"/>
      <c r="J403" s="319"/>
      <c r="K403" s="319"/>
      <c r="L403" s="319"/>
      <c r="M403" s="319"/>
      <c r="N403" s="319"/>
      <c r="O403" s="319"/>
      <c r="P403" s="203" t="str">
        <f>+P386</f>
        <v>Finicsuspi</v>
      </c>
      <c r="Q403" s="203" t="str">
        <f>+Q386</f>
        <v xml:space="preserve"> Ftermsuspi </v>
      </c>
      <c r="R403" s="203" t="str">
        <f>+R386</f>
        <v>Tsusp i (meses)</v>
      </c>
      <c r="S403" s="319"/>
      <c r="T403" s="319"/>
      <c r="U403" s="319"/>
      <c r="V403" s="400"/>
      <c r="X403" s="327"/>
      <c r="Z403" s="381"/>
      <c r="AB403" s="381"/>
    </row>
    <row r="404" spans="1:34" s="27" customFormat="1" ht="84.75" customHeight="1" x14ac:dyDescent="0.2">
      <c r="A404" s="27">
        <f>+IF(T404="","",B404)</f>
        <v>1</v>
      </c>
      <c r="B404" s="28">
        <v>1</v>
      </c>
      <c r="C404" s="86" t="s">
        <v>120</v>
      </c>
      <c r="D404" s="86" t="s">
        <v>43</v>
      </c>
      <c r="E404" s="87" t="s">
        <v>420</v>
      </c>
      <c r="F404" s="87" t="s">
        <v>421</v>
      </c>
      <c r="G404" s="86" t="s">
        <v>422</v>
      </c>
      <c r="H404" s="30">
        <v>10</v>
      </c>
      <c r="I404" s="31" t="s">
        <v>16</v>
      </c>
      <c r="J404" s="32">
        <v>7818.25</v>
      </c>
      <c r="K404" s="33">
        <v>0.25</v>
      </c>
      <c r="L404" s="34">
        <f>IF(OR(H404="",I404&lt;&gt;"SI",I404="NO",J404="",J404=0,K404="",K404=0,X404&lt;&gt;"SI"),0,J404*K404)</f>
        <v>1954.5625</v>
      </c>
      <c r="M404" s="204">
        <v>37411</v>
      </c>
      <c r="N404" s="204">
        <v>38518</v>
      </c>
      <c r="O404" s="169">
        <f>IF(OR(H404="",I404&lt;&gt;"SI",I404="NO",J404="",J404=0,K404="",K404=0,,M404="",N404=""),"",ROUND((((N404-M404)+1)/30),3))</f>
        <v>36.933</v>
      </c>
      <c r="P404" s="204"/>
      <c r="Q404" s="204"/>
      <c r="R404" s="170">
        <f>IF(OR((Q404-P404)=0,P404="",Q404=""),0,(ROUND((((Q404-P404)+1)/30),3)))</f>
        <v>0</v>
      </c>
      <c r="S404" s="171">
        <f>IF(O404="","",ROUND(SUM(O404)-SUM(R404),3))</f>
        <v>36.933</v>
      </c>
      <c r="T404" s="172">
        <f>+IF(C404="","",IF(OR(S404="",S404&lt;=0,I404="",I404="NO",U404="",U404="NO",X404="NO"),"",ROUND(SUM(L404)/S404,3)))</f>
        <v>52.921999999999997</v>
      </c>
      <c r="U404" s="35" t="s">
        <v>16</v>
      </c>
      <c r="V404" s="36"/>
      <c r="W404" s="205"/>
      <c r="X404" s="37" t="str">
        <f t="shared" ref="X404:X413" si="184">+IF(C404="","",IF(AND(H404&lt;&gt;"",I404="SI",J404&lt;&gt;"",J404&gt;0,K404&lt;&gt;"",K404&gt;0,S404&lt;&gt;"",S404&gt;0,U404="SI"),"SI","NO"))</f>
        <v>SI</v>
      </c>
      <c r="Z404" s="173" t="s">
        <v>16</v>
      </c>
      <c r="AB404" s="173" t="s">
        <v>16</v>
      </c>
      <c r="AD404" s="10" t="str">
        <f t="shared" ref="AD404:AD413" si="185">+IF($C$401="","",IF(C404="","",IF(L404&gt;=$H$6,"SI","NO")))</f>
        <v>SI</v>
      </c>
      <c r="AE404" s="92">
        <f>+IF(OR($T$404="",X404="",X404="NO"),"",L404)</f>
        <v>1954.5625</v>
      </c>
      <c r="AF404" s="92">
        <f>+IF(AE404="","",L404/$S$404)</f>
        <v>52.921844962499662</v>
      </c>
      <c r="AG404" s="174">
        <f>0.1+B401</f>
        <v>24.1</v>
      </c>
      <c r="AH404" s="27" t="s">
        <v>932</v>
      </c>
    </row>
    <row r="405" spans="1:34" s="27" customFormat="1" ht="68.25" customHeight="1" x14ac:dyDescent="0.2">
      <c r="A405" s="27">
        <f t="shared" ref="A405:A413" si="186">+IF(T405="","",B405)</f>
        <v>2</v>
      </c>
      <c r="B405" s="38">
        <v>2</v>
      </c>
      <c r="C405" s="39" t="s">
        <v>120</v>
      </c>
      <c r="D405" s="39" t="s">
        <v>121</v>
      </c>
      <c r="E405" s="46" t="s">
        <v>423</v>
      </c>
      <c r="F405" s="46" t="s">
        <v>424</v>
      </c>
      <c r="G405" s="39" t="s">
        <v>120</v>
      </c>
      <c r="H405" s="40">
        <v>34</v>
      </c>
      <c r="I405" s="41" t="s">
        <v>16</v>
      </c>
      <c r="J405" s="42">
        <v>2881.97</v>
      </c>
      <c r="K405" s="43">
        <v>1</v>
      </c>
      <c r="L405" s="44">
        <f t="shared" ref="L405:L413" si="187">IF(OR(H405="",I405&lt;&gt;"SI",I405="NO",J405="",J405=0,K405="",K405=0,X405&lt;&gt;"SI"),0,J405*K405)</f>
        <v>2881.97</v>
      </c>
      <c r="M405" s="206">
        <v>39133</v>
      </c>
      <c r="N405" s="206">
        <v>39636</v>
      </c>
      <c r="O405" s="207">
        <f t="shared" ref="O405:O413" si="188">IF(OR(H405="",I405&lt;&gt;"SI",I405="NO",J405="",J405=0,K405="",K405=0,,M405="",N405=""),"",ROUND((((N405-M405)+1)/30),3))</f>
        <v>16.8</v>
      </c>
      <c r="P405" s="206"/>
      <c r="Q405" s="206"/>
      <c r="R405" s="177">
        <f t="shared" ref="R405:R413" si="189">IF(OR((Q405-P405)=0,P405="",Q405=""),0,(ROUND((((Q405-P405)+1)/30),3)))</f>
        <v>0</v>
      </c>
      <c r="S405" s="178">
        <f t="shared" ref="S405:S413" si="190">IF(O405="","",ROUND(SUM(O405)-SUM(R405),3))</f>
        <v>16.8</v>
      </c>
      <c r="T405" s="208">
        <f t="shared" ref="T405:T413" si="191">+IF(C405="","",IF(OR(S405="",S405&lt;=0,I405="",I405="NO",U405="",U405="NO",X405="NO"),"",ROUND(SUM(L405)/S405,3)))</f>
        <v>171.54599999999999</v>
      </c>
      <c r="U405" s="41" t="s">
        <v>16</v>
      </c>
      <c r="V405" s="209"/>
      <c r="W405" s="205"/>
      <c r="X405" s="37" t="str">
        <f t="shared" si="184"/>
        <v>SI</v>
      </c>
      <c r="Z405" s="173" t="s">
        <v>16</v>
      </c>
      <c r="AB405" s="173" t="s">
        <v>211</v>
      </c>
      <c r="AD405" s="10" t="str">
        <f t="shared" si="185"/>
        <v>SI</v>
      </c>
      <c r="AE405" s="92">
        <f>+IF(OR($T$405="",X405="",X405="NO"),"",L405)</f>
        <v>2881.97</v>
      </c>
      <c r="AF405" s="92">
        <f>+IF(AE405="","",L405/$S$405)</f>
        <v>171.54583333333332</v>
      </c>
      <c r="AG405" s="174">
        <f>0.2+B401</f>
        <v>24.2</v>
      </c>
      <c r="AH405" s="27" t="s">
        <v>932</v>
      </c>
    </row>
    <row r="406" spans="1:34" s="27" customFormat="1" ht="94.5" customHeight="1" x14ac:dyDescent="0.2">
      <c r="A406" s="27">
        <f t="shared" si="186"/>
        <v>3</v>
      </c>
      <c r="B406" s="38">
        <v>3</v>
      </c>
      <c r="C406" s="39" t="s">
        <v>120</v>
      </c>
      <c r="D406" s="39" t="s">
        <v>121</v>
      </c>
      <c r="E406" s="46" t="s">
        <v>425</v>
      </c>
      <c r="F406" s="46" t="s">
        <v>426</v>
      </c>
      <c r="G406" s="39" t="s">
        <v>120</v>
      </c>
      <c r="H406" s="40">
        <v>35</v>
      </c>
      <c r="I406" s="41" t="s">
        <v>16</v>
      </c>
      <c r="J406" s="42">
        <v>1991.27</v>
      </c>
      <c r="K406" s="43">
        <v>1</v>
      </c>
      <c r="L406" s="44">
        <f t="shared" si="187"/>
        <v>1991.27</v>
      </c>
      <c r="M406" s="206">
        <v>39142</v>
      </c>
      <c r="N406" s="206">
        <v>39587</v>
      </c>
      <c r="O406" s="207">
        <f t="shared" si="188"/>
        <v>14.867000000000001</v>
      </c>
      <c r="P406" s="206"/>
      <c r="Q406" s="206"/>
      <c r="R406" s="177">
        <f t="shared" si="189"/>
        <v>0</v>
      </c>
      <c r="S406" s="178">
        <f t="shared" si="190"/>
        <v>14.867000000000001</v>
      </c>
      <c r="T406" s="208">
        <f t="shared" si="191"/>
        <v>133.93899999999999</v>
      </c>
      <c r="U406" s="41" t="s">
        <v>16</v>
      </c>
      <c r="V406" s="45"/>
      <c r="W406" s="205"/>
      <c r="X406" s="37" t="str">
        <f t="shared" si="184"/>
        <v>SI</v>
      </c>
      <c r="Z406" s="173" t="s">
        <v>16</v>
      </c>
      <c r="AB406" s="173" t="s">
        <v>16</v>
      </c>
      <c r="AD406" s="10" t="str">
        <f t="shared" si="185"/>
        <v>SI</v>
      </c>
      <c r="AE406" s="92">
        <f>+IF(OR($T$406="",X406="",X406="NO"),"",L406)</f>
        <v>1991.27</v>
      </c>
      <c r="AF406" s="92">
        <f>+IF(AE406="","",L406/$S$406)</f>
        <v>133.9389251362077</v>
      </c>
      <c r="AG406" s="174">
        <f>0.3+B401</f>
        <v>24.3</v>
      </c>
      <c r="AH406" s="27" t="s">
        <v>932</v>
      </c>
    </row>
    <row r="407" spans="1:34" s="27" customFormat="1" ht="12.75" x14ac:dyDescent="0.2">
      <c r="A407" s="27" t="str">
        <f t="shared" si="186"/>
        <v/>
      </c>
      <c r="B407" s="38"/>
      <c r="C407" s="39"/>
      <c r="D407" s="39"/>
      <c r="E407" s="46"/>
      <c r="F407" s="46"/>
      <c r="G407" s="39"/>
      <c r="H407" s="40"/>
      <c r="I407" s="41"/>
      <c r="J407" s="42"/>
      <c r="K407" s="43"/>
      <c r="L407" s="44">
        <f t="shared" si="187"/>
        <v>0</v>
      </c>
      <c r="M407" s="206"/>
      <c r="N407" s="206"/>
      <c r="O407" s="207" t="str">
        <f t="shared" si="188"/>
        <v/>
      </c>
      <c r="P407" s="206"/>
      <c r="Q407" s="206"/>
      <c r="R407" s="177">
        <f t="shared" si="189"/>
        <v>0</v>
      </c>
      <c r="S407" s="178" t="str">
        <f t="shared" si="190"/>
        <v/>
      </c>
      <c r="T407" s="208" t="str">
        <f t="shared" si="191"/>
        <v/>
      </c>
      <c r="U407" s="41"/>
      <c r="V407" s="45"/>
      <c r="W407" s="210"/>
      <c r="X407" s="37" t="str">
        <f t="shared" si="184"/>
        <v/>
      </c>
      <c r="Z407" s="180"/>
      <c r="AB407" s="173"/>
      <c r="AD407" s="10" t="str">
        <f t="shared" si="185"/>
        <v/>
      </c>
      <c r="AE407" s="92" t="str">
        <f>+IF(OR($T$407="",X407="",X407="NO"),"",L407)</f>
        <v/>
      </c>
      <c r="AF407" s="92" t="str">
        <f>+IF(AE407="","",L407/$S$407)</f>
        <v/>
      </c>
      <c r="AG407" s="174"/>
    </row>
    <row r="408" spans="1:34" s="27" customFormat="1" ht="12.75" x14ac:dyDescent="0.2">
      <c r="A408" s="27" t="str">
        <f t="shared" si="186"/>
        <v/>
      </c>
      <c r="B408" s="38"/>
      <c r="C408" s="39"/>
      <c r="D408" s="39"/>
      <c r="E408" s="46"/>
      <c r="F408" s="46"/>
      <c r="G408" s="39"/>
      <c r="H408" s="40"/>
      <c r="I408" s="41"/>
      <c r="J408" s="42"/>
      <c r="K408" s="43"/>
      <c r="L408" s="44">
        <f t="shared" si="187"/>
        <v>0</v>
      </c>
      <c r="M408" s="206"/>
      <c r="N408" s="206"/>
      <c r="O408" s="207" t="str">
        <f t="shared" si="188"/>
        <v/>
      </c>
      <c r="P408" s="206"/>
      <c r="Q408" s="206"/>
      <c r="R408" s="177">
        <f t="shared" si="189"/>
        <v>0</v>
      </c>
      <c r="S408" s="178" t="str">
        <f t="shared" si="190"/>
        <v/>
      </c>
      <c r="T408" s="208" t="str">
        <f t="shared" si="191"/>
        <v/>
      </c>
      <c r="U408" s="41"/>
      <c r="V408" s="45"/>
      <c r="X408" s="37" t="str">
        <f t="shared" si="184"/>
        <v/>
      </c>
      <c r="Z408" s="181"/>
      <c r="AB408" s="173"/>
      <c r="AD408" s="10" t="str">
        <f t="shared" si="185"/>
        <v/>
      </c>
      <c r="AE408" s="92" t="str">
        <f>+IF(OR($T$408="",X408="",X408="NO"),"",L408)</f>
        <v/>
      </c>
      <c r="AF408" s="92" t="str">
        <f>+IF(AE408="","",L408/$S$408)</f>
        <v/>
      </c>
      <c r="AG408" s="174"/>
    </row>
    <row r="409" spans="1:34" s="27" customFormat="1" ht="12.75" x14ac:dyDescent="0.2">
      <c r="A409" s="27" t="str">
        <f t="shared" si="186"/>
        <v/>
      </c>
      <c r="B409" s="38"/>
      <c r="C409" s="39"/>
      <c r="D409" s="39"/>
      <c r="E409" s="46"/>
      <c r="F409" s="46"/>
      <c r="G409" s="39"/>
      <c r="H409" s="40"/>
      <c r="I409" s="41"/>
      <c r="J409" s="42"/>
      <c r="K409" s="43"/>
      <c r="L409" s="44">
        <f t="shared" si="187"/>
        <v>0</v>
      </c>
      <c r="M409" s="206"/>
      <c r="N409" s="206"/>
      <c r="O409" s="207" t="str">
        <f t="shared" si="188"/>
        <v/>
      </c>
      <c r="P409" s="206"/>
      <c r="Q409" s="206"/>
      <c r="R409" s="177">
        <f t="shared" si="189"/>
        <v>0</v>
      </c>
      <c r="S409" s="178" t="str">
        <f t="shared" si="190"/>
        <v/>
      </c>
      <c r="T409" s="208" t="str">
        <f t="shared" si="191"/>
        <v/>
      </c>
      <c r="U409" s="41"/>
      <c r="V409" s="45"/>
      <c r="X409" s="37" t="str">
        <f t="shared" si="184"/>
        <v/>
      </c>
      <c r="Z409" s="181"/>
      <c r="AB409" s="173"/>
      <c r="AD409" s="10" t="str">
        <f t="shared" si="185"/>
        <v/>
      </c>
      <c r="AE409" s="92" t="str">
        <f>+IF(OR($T$409="",X409="",X409="NO"),"",L409)</f>
        <v/>
      </c>
      <c r="AF409" s="92" t="str">
        <f>+IF(AE409="","",L409/$S$409)</f>
        <v/>
      </c>
      <c r="AG409" s="174"/>
    </row>
    <row r="410" spans="1:34" s="27" customFormat="1" ht="12.75" x14ac:dyDescent="0.2">
      <c r="A410" s="27" t="str">
        <f t="shared" si="186"/>
        <v/>
      </c>
      <c r="B410" s="38"/>
      <c r="C410" s="39"/>
      <c r="D410" s="39"/>
      <c r="E410" s="46"/>
      <c r="F410" s="46"/>
      <c r="G410" s="39"/>
      <c r="H410" s="40"/>
      <c r="I410" s="41"/>
      <c r="J410" s="42"/>
      <c r="K410" s="43"/>
      <c r="L410" s="44">
        <f t="shared" si="187"/>
        <v>0</v>
      </c>
      <c r="M410" s="206"/>
      <c r="N410" s="206"/>
      <c r="O410" s="207" t="str">
        <f t="shared" si="188"/>
        <v/>
      </c>
      <c r="P410" s="206"/>
      <c r="Q410" s="206"/>
      <c r="R410" s="177">
        <f t="shared" si="189"/>
        <v>0</v>
      </c>
      <c r="S410" s="178" t="str">
        <f t="shared" si="190"/>
        <v/>
      </c>
      <c r="T410" s="208" t="str">
        <f t="shared" si="191"/>
        <v/>
      </c>
      <c r="U410" s="41"/>
      <c r="V410" s="45"/>
      <c r="X410" s="37" t="str">
        <f t="shared" si="184"/>
        <v/>
      </c>
      <c r="Z410" s="181"/>
      <c r="AB410" s="173"/>
      <c r="AD410" s="10" t="str">
        <f t="shared" si="185"/>
        <v/>
      </c>
      <c r="AE410" s="92" t="str">
        <f>+IF(OR($T$410="",X410="",X410="NO"),"",L410)</f>
        <v/>
      </c>
      <c r="AF410" s="92" t="str">
        <f>+IF(AE410="","",L410/$S$410)</f>
        <v/>
      </c>
      <c r="AG410" s="174"/>
    </row>
    <row r="411" spans="1:34" s="27" customFormat="1" ht="12.75" x14ac:dyDescent="0.2">
      <c r="A411" s="27" t="str">
        <f t="shared" si="186"/>
        <v/>
      </c>
      <c r="B411" s="38"/>
      <c r="C411" s="39"/>
      <c r="D411" s="39"/>
      <c r="E411" s="46"/>
      <c r="F411" s="46"/>
      <c r="G411" s="39"/>
      <c r="H411" s="40"/>
      <c r="I411" s="41"/>
      <c r="J411" s="42"/>
      <c r="K411" s="43"/>
      <c r="L411" s="44">
        <f t="shared" si="187"/>
        <v>0</v>
      </c>
      <c r="M411" s="206"/>
      <c r="N411" s="206"/>
      <c r="O411" s="207" t="str">
        <f t="shared" si="188"/>
        <v/>
      </c>
      <c r="P411" s="206"/>
      <c r="Q411" s="206"/>
      <c r="R411" s="177">
        <f t="shared" si="189"/>
        <v>0</v>
      </c>
      <c r="S411" s="178" t="str">
        <f t="shared" si="190"/>
        <v/>
      </c>
      <c r="T411" s="208" t="str">
        <f t="shared" si="191"/>
        <v/>
      </c>
      <c r="U411" s="41"/>
      <c r="V411" s="45"/>
      <c r="X411" s="37" t="str">
        <f t="shared" si="184"/>
        <v/>
      </c>
      <c r="Z411" s="181"/>
      <c r="AB411" s="173"/>
      <c r="AD411" s="10" t="str">
        <f t="shared" si="185"/>
        <v/>
      </c>
      <c r="AE411" s="92" t="str">
        <f>+IF(OR($T$411="",X411="",X411="NO"),"",L411)</f>
        <v/>
      </c>
      <c r="AF411" s="92" t="str">
        <f>+IF(AE411="","",L411/$S$411)</f>
        <v/>
      </c>
      <c r="AG411" s="174"/>
    </row>
    <row r="412" spans="1:34" s="27" customFormat="1" ht="12.75" x14ac:dyDescent="0.2">
      <c r="A412" s="27" t="str">
        <f t="shared" si="186"/>
        <v/>
      </c>
      <c r="B412" s="38"/>
      <c r="C412" s="39"/>
      <c r="D412" s="39"/>
      <c r="E412" s="46"/>
      <c r="F412" s="46"/>
      <c r="G412" s="39"/>
      <c r="H412" s="40"/>
      <c r="I412" s="41"/>
      <c r="J412" s="42"/>
      <c r="K412" s="43"/>
      <c r="L412" s="44">
        <f t="shared" si="187"/>
        <v>0</v>
      </c>
      <c r="M412" s="206"/>
      <c r="N412" s="206"/>
      <c r="O412" s="207" t="str">
        <f t="shared" si="188"/>
        <v/>
      </c>
      <c r="P412" s="206"/>
      <c r="Q412" s="206"/>
      <c r="R412" s="177">
        <f t="shared" si="189"/>
        <v>0</v>
      </c>
      <c r="S412" s="178" t="str">
        <f t="shared" si="190"/>
        <v/>
      </c>
      <c r="T412" s="208" t="str">
        <f t="shared" si="191"/>
        <v/>
      </c>
      <c r="U412" s="41"/>
      <c r="V412" s="45"/>
      <c r="X412" s="37" t="str">
        <f t="shared" si="184"/>
        <v/>
      </c>
      <c r="Z412" s="181"/>
      <c r="AB412" s="173"/>
      <c r="AD412" s="10" t="str">
        <f t="shared" si="185"/>
        <v/>
      </c>
      <c r="AE412" s="92" t="str">
        <f>+IF(OR($T$412="",X412="",X412="NO"),"",L412)</f>
        <v/>
      </c>
      <c r="AF412" s="92" t="str">
        <f>+IF(AE412="","",L412/$S$412)</f>
        <v/>
      </c>
      <c r="AG412" s="174"/>
    </row>
    <row r="413" spans="1:34" s="27" customFormat="1" ht="13.5" thickBot="1" x14ac:dyDescent="0.25">
      <c r="A413" s="27" t="str">
        <f t="shared" si="186"/>
        <v/>
      </c>
      <c r="B413" s="47"/>
      <c r="C413" s="48"/>
      <c r="D413" s="48"/>
      <c r="E413" s="49"/>
      <c r="F413" s="49"/>
      <c r="G413" s="48"/>
      <c r="H413" s="50"/>
      <c r="I413" s="51"/>
      <c r="J413" s="14"/>
      <c r="K413" s="52"/>
      <c r="L413" s="53">
        <f t="shared" si="187"/>
        <v>0</v>
      </c>
      <c r="M413" s="211"/>
      <c r="N413" s="211"/>
      <c r="O413" s="212" t="str">
        <f t="shared" si="188"/>
        <v/>
      </c>
      <c r="P413" s="211"/>
      <c r="Q413" s="211"/>
      <c r="R413" s="184">
        <f t="shared" si="189"/>
        <v>0</v>
      </c>
      <c r="S413" s="185" t="str">
        <f t="shared" si="190"/>
        <v/>
      </c>
      <c r="T413" s="213" t="str">
        <f t="shared" si="191"/>
        <v/>
      </c>
      <c r="U413" s="51"/>
      <c r="V413" s="54"/>
      <c r="X413" s="55" t="str">
        <f t="shared" si="184"/>
        <v/>
      </c>
      <c r="Z413" s="187"/>
      <c r="AB413" s="188"/>
      <c r="AD413" s="10" t="str">
        <f t="shared" si="185"/>
        <v/>
      </c>
      <c r="AE413" s="92" t="str">
        <f>+IF(OR($T$413="",X413="",X413="NO"),"",L413)</f>
        <v/>
      </c>
      <c r="AF413" s="92" t="str">
        <f>+IF(AE413="","",L413/$S$413)</f>
        <v/>
      </c>
    </row>
    <row r="414" spans="1:34" ht="36" customHeight="1" x14ac:dyDescent="0.2">
      <c r="B414" s="57" t="str">
        <f>"A"&amp;B401</f>
        <v>A24</v>
      </c>
      <c r="C414" s="382" t="str">
        <f>+$C$23</f>
        <v>¿CADA INTEGRANTE DE PROPONENTE PLURAL APORTAN CONTRATO?  (SI; NO; NA)</v>
      </c>
      <c r="D414" s="383"/>
      <c r="E414" s="383"/>
      <c r="F414" s="383"/>
      <c r="G414" s="383"/>
      <c r="H414" s="384"/>
      <c r="I414" s="151" t="str">
        <f>+IF(AG401="","",IF(AG401=1,"NA",IF(AND(AG401=3,(IF(COUNTIFS(C404:C413,AH404,AE404:AE413,"&gt;0")&gt;=1,1,0)+IF(COUNTIFS(C404:C413,AH405,AE404:AE413,"&gt;0")&gt;=1,1,0)+IF(COUNTIFS(C404:C413,AH406,AE404:AE413,"&gt;0")&gt;=1,1,0))&gt;=AG401),"SI",IF(AND(AG401=2,(IF(COUNTIFS(C404:C413,AH404,AE404:AE413,"&gt;0")&gt;=1,1,0)+IF(COUNTIFS(C404:C413,AH405,AE404:AE413,"&gt;0")&gt;=1,1,0))&gt;=AG401),"SI","NO"))))</f>
        <v>NA</v>
      </c>
      <c r="J414" s="59"/>
      <c r="K414" s="27"/>
      <c r="L414" s="27"/>
      <c r="M414" s="27"/>
      <c r="N414" s="27"/>
      <c r="O414" s="27"/>
      <c r="P414" s="385" t="str">
        <f>+$P$23</f>
        <v>FACTURACION MENSUAL TOTAL</v>
      </c>
      <c r="Q414" s="386"/>
      <c r="R414" s="386"/>
      <c r="S414" s="386"/>
      <c r="T414" s="189">
        <f>ROUND(SUM(T404:T413),3)</f>
        <v>358.40699999999998</v>
      </c>
      <c r="U414" s="60"/>
      <c r="V414" s="1"/>
      <c r="W414" s="61"/>
      <c r="X414" s="61"/>
      <c r="Y414" s="61"/>
      <c r="Z414" s="61"/>
      <c r="AA414" s="61"/>
      <c r="AB414" s="61"/>
    </row>
    <row r="415" spans="1:34" ht="38.25" customHeight="1" thickBot="1" x14ac:dyDescent="0.25">
      <c r="B415" s="57" t="str">
        <f>"B"&amp;B401</f>
        <v>B24</v>
      </c>
      <c r="C415" s="387" t="str">
        <f>+C398</f>
        <v>En caso de proponente plural: ¿De la totalidad de los contratos aportados por el proponente plural, el valor ejecutado de uno de ellos deberá ser igual o superior al 30% del P.O.?  (SI; NO; NA)</v>
      </c>
      <c r="D415" s="388"/>
      <c r="E415" s="388"/>
      <c r="F415" s="388"/>
      <c r="G415" s="389"/>
      <c r="H415" s="190">
        <f>+$H$6</f>
        <v>268.14722506074827</v>
      </c>
      <c r="I415" s="191" t="str">
        <f>+IF(AG401="","",IF(AG401=1,"NA",IF(AND(AG401&gt;1,(COUNTIFS(AD404:AD413,"SI",AE404:AE413,"&gt;0"))&gt;=1),"SI","NO")))</f>
        <v>NA</v>
      </c>
      <c r="J415" s="192"/>
      <c r="K415" s="193"/>
      <c r="L415" s="194"/>
      <c r="M415" s="194"/>
      <c r="N415" s="194"/>
      <c r="O415" s="194"/>
      <c r="P415" s="387" t="str">
        <f>+$P$24</f>
        <v>PROMEDIO FACTURACIÓN MENSUAL DEL PROPONENTE (PFMP)</v>
      </c>
      <c r="Q415" s="388"/>
      <c r="R415" s="388"/>
      <c r="S415" s="388"/>
      <c r="T415" s="195">
        <f t="array" ref="T415">IF(T414=0,0,ROUND(T414/(SUM(IF(FREQUENCY(A404:A413,A404:A413)&gt;0,1))),3))</f>
        <v>119.46899999999999</v>
      </c>
      <c r="U415" s="214"/>
      <c r="V415" s="1"/>
      <c r="W415" s="61"/>
      <c r="X415" s="61"/>
      <c r="Y415" s="61"/>
      <c r="Z415" s="61"/>
      <c r="AA415" s="61"/>
      <c r="AB415" s="61"/>
    </row>
    <row r="416" spans="1:34" ht="21" customHeight="1" thickBot="1" x14ac:dyDescent="0.25">
      <c r="B416" s="197" t="str">
        <f>"C"&amp;B401</f>
        <v>C24</v>
      </c>
      <c r="C416" s="349" t="str">
        <f>+$C$25</f>
        <v>PROPONENTE CUMPLE CON LAS ACTIVIDADES a) y b)? (SI; NO)</v>
      </c>
      <c r="D416" s="350"/>
      <c r="E416" s="350"/>
      <c r="F416" s="350"/>
      <c r="G416" s="350"/>
      <c r="H416" s="351"/>
      <c r="I416" s="198" t="str">
        <f>IF(C401="","",(IF(AND(COUNTIFS(X404:X413,"SI",Z404:Z413,"SI")&gt;=$Z$8,COUNTIFS(X404:X413,"SI",AB404:AB413,"SI")&gt;=$Z$8),"SI","NO")))</f>
        <v>SI</v>
      </c>
      <c r="J416" s="199"/>
      <c r="K416" s="200"/>
      <c r="L416" s="200"/>
      <c r="M416" s="200"/>
      <c r="N416" s="200"/>
      <c r="P416" s="378" t="str">
        <f>+$P$25</f>
        <v>VALOR PUNTAJE POR EXPERIENCIA DEL PROPONENTE</v>
      </c>
      <c r="Q416" s="379"/>
      <c r="R416" s="379"/>
      <c r="S416" s="380"/>
      <c r="T416" s="201" t="str">
        <f>IF(OR(C401="",'ASIGNACION DE PUNTAJES'!$C$5=""),"",VLOOKUP(B401,'ASIGNACION DE PUNTAJES'!$A$15:$G$69,7,FALSE))</f>
        <v/>
      </c>
      <c r="V416" s="202"/>
    </row>
    <row r="417" spans="1:34" ht="12" thickBot="1" x14ac:dyDescent="0.25"/>
    <row r="418" spans="1:34" ht="36.75" customHeight="1" thickBot="1" x14ac:dyDescent="0.25">
      <c r="B418" s="23">
        <f>1+B401</f>
        <v>25</v>
      </c>
      <c r="C418" s="336" t="s">
        <v>125</v>
      </c>
      <c r="D418" s="337"/>
      <c r="E418" s="337"/>
      <c r="F418" s="337"/>
      <c r="G418" s="337"/>
      <c r="H418" s="337"/>
      <c r="I418" s="338"/>
      <c r="J418" s="24" t="str">
        <f>+IF(C418="","","INTEGRANTES")</f>
        <v>INTEGRANTES</v>
      </c>
      <c r="K418" s="339" t="s">
        <v>890</v>
      </c>
      <c r="L418" s="339"/>
      <c r="M418" s="339"/>
      <c r="N418" s="339"/>
      <c r="O418" s="339"/>
      <c r="P418" s="339"/>
      <c r="Q418" s="339"/>
      <c r="R418" s="396" t="str">
        <f>+$R$10</f>
        <v>PROPONENTE No.</v>
      </c>
      <c r="S418" s="397"/>
      <c r="T418" s="25">
        <f>+B418</f>
        <v>25</v>
      </c>
      <c r="U418" s="161" t="str">
        <f>+$U$10</f>
        <v>PFMP</v>
      </c>
      <c r="V418" s="162">
        <f>IF(T432="",0,T432)</f>
        <v>123.11799999999999</v>
      </c>
      <c r="X418" s="325" t="s">
        <v>168</v>
      </c>
      <c r="Z418" s="163" t="str">
        <f>+$Z$10</f>
        <v>EXP. ESPECÍFICA 
A:</v>
      </c>
      <c r="AB418" s="163" t="str">
        <f>+$AB$10</f>
        <v>EXP. ESPECÍFICA 
B:</v>
      </c>
      <c r="AG418" s="1">
        <v>1</v>
      </c>
    </row>
    <row r="419" spans="1:34" ht="42" customHeight="1" x14ac:dyDescent="0.2">
      <c r="B419" s="331" t="str">
        <f>+$B$11</f>
        <v>ITEM</v>
      </c>
      <c r="C419" s="318" t="str">
        <f>+$C$11</f>
        <v>PROPONENTE 
/ 
INTEGRANTE OFERENTE PLURAL</v>
      </c>
      <c r="D419" s="333" t="str">
        <f>+$D$11</f>
        <v>INFORMACIÓN DEL CONTRATO</v>
      </c>
      <c r="E419" s="334"/>
      <c r="F419" s="334"/>
      <c r="G419" s="335"/>
      <c r="H419" s="318" t="str">
        <f>+H402</f>
        <v>CONSECUTIVO RUP</v>
      </c>
      <c r="I419" s="318" t="str">
        <f>+$I$11</f>
        <v>¿SE ENCUENTRA INSCRITO EN EL RUP Y CUMPLE CÓDIGOS UNSPSC?</v>
      </c>
      <c r="J419" s="318" t="str">
        <f>+$J$11</f>
        <v xml:space="preserve">VALOR EN RUP (SMMLV) </v>
      </c>
      <c r="K419" s="318" t="str">
        <f>+$K$11</f>
        <v>% PARTIC en el RUP</v>
      </c>
      <c r="L419" s="318" t="str">
        <f>+$L$11</f>
        <v>VALOR DEL CONTRATO TERMINADO (SMMLV) en el   RUP</v>
      </c>
      <c r="M419" s="318" t="str">
        <f>+$M$11</f>
        <v>FECHA DE INICIO</v>
      </c>
      <c r="N419" s="318" t="str">
        <f>+$N$11</f>
        <v>FECHA DE TERMINACION</v>
      </c>
      <c r="O419" s="318" t="str">
        <f>+$O$11</f>
        <v>PLAZO CONTRA-TO (Meses)</v>
      </c>
      <c r="P419" s="390" t="str">
        <f>+$P$11</f>
        <v>Tsusp i</v>
      </c>
      <c r="Q419" s="391"/>
      <c r="R419" s="392"/>
      <c r="S419" s="318" t="str">
        <f>+$S$11</f>
        <v>PLAZO i REAL</v>
      </c>
      <c r="T419" s="318" t="str">
        <f>+$T$11</f>
        <v>FACTURA-CION MENSUAL PROPO-NENTE</v>
      </c>
      <c r="U419" s="318" t="str">
        <f>+$U$11</f>
        <v>VALIDACIÓN DE LA EXPERIENCIA GENERAL
(SI/NO)</v>
      </c>
      <c r="V419" s="393" t="str">
        <f>+$V$11</f>
        <v>OBSERVACIONES</v>
      </c>
      <c r="X419" s="326"/>
      <c r="Z419" s="381" t="str">
        <f>+$Z$11</f>
        <v>Interventoria a la ejecución de obras relacionadas con Colocación de capas granulares (tales como bases y/o sub-bases granulares).</v>
      </c>
      <c r="AB419" s="381" t="str">
        <f>+$AB$11</f>
        <v>Interventoria a la Ejecución de obras de subdrenaje y/o drenaje, en carreteras.</v>
      </c>
    </row>
    <row r="420" spans="1:34" ht="38.25" customHeight="1" thickBot="1" x14ac:dyDescent="0.25">
      <c r="B420" s="395"/>
      <c r="C420" s="348"/>
      <c r="D420" s="165" t="str">
        <f>+$D$12</f>
        <v>ENTIDAD</v>
      </c>
      <c r="E420" s="165" t="str">
        <f>+$E$12</f>
        <v>No. DE CONTRATO</v>
      </c>
      <c r="F420" s="165" t="str">
        <f>+$F$12</f>
        <v>OBJETO</v>
      </c>
      <c r="G420" s="165" t="str">
        <f>+$G$12</f>
        <v>CONTRATISTA</v>
      </c>
      <c r="H420" s="348"/>
      <c r="I420" s="348"/>
      <c r="J420" s="348"/>
      <c r="K420" s="348"/>
      <c r="L420" s="348"/>
      <c r="M420" s="348"/>
      <c r="N420" s="348"/>
      <c r="O420" s="348"/>
      <c r="P420" s="166" t="str">
        <f>+P403</f>
        <v>Finicsuspi</v>
      </c>
      <c r="Q420" s="166" t="str">
        <f>+Q403</f>
        <v xml:space="preserve"> Ftermsuspi </v>
      </c>
      <c r="R420" s="166" t="str">
        <f>+R403</f>
        <v>Tsusp i (meses)</v>
      </c>
      <c r="S420" s="348"/>
      <c r="T420" s="348"/>
      <c r="U420" s="348"/>
      <c r="V420" s="394"/>
      <c r="X420" s="327"/>
      <c r="Z420" s="381"/>
      <c r="AB420" s="381"/>
    </row>
    <row r="421" spans="1:34" s="27" customFormat="1" ht="159.75" customHeight="1" x14ac:dyDescent="0.2">
      <c r="A421" s="27">
        <f>+IF(T421="","",B421)</f>
        <v>1</v>
      </c>
      <c r="B421" s="28">
        <v>1</v>
      </c>
      <c r="C421" s="86" t="s">
        <v>125</v>
      </c>
      <c r="D421" s="86" t="s">
        <v>427</v>
      </c>
      <c r="E421" s="87" t="s">
        <v>428</v>
      </c>
      <c r="F421" s="87" t="s">
        <v>429</v>
      </c>
      <c r="G421" s="86" t="s">
        <v>125</v>
      </c>
      <c r="H421" s="30">
        <v>34</v>
      </c>
      <c r="I421" s="31" t="s">
        <v>16</v>
      </c>
      <c r="J421" s="32">
        <v>1625.16</v>
      </c>
      <c r="K421" s="33">
        <v>1</v>
      </c>
      <c r="L421" s="34">
        <f>IF(OR(H421="",I421&lt;&gt;"SI",I421="NO",J421="",J421=0,K421="",K421=0,X421&lt;&gt;"SI"),0,J421*K421)</f>
        <v>1625.16</v>
      </c>
      <c r="M421" s="204">
        <v>38261</v>
      </c>
      <c r="N421" s="204">
        <v>38656</v>
      </c>
      <c r="O421" s="169">
        <f>IF(OR(H421="",I421&lt;&gt;"SI",I421="NO",J421="",J421=0,K421="",K421=0,,M421="",N421=""),"",ROUND((((N421-M421)+1)/30),3))</f>
        <v>13.2</v>
      </c>
      <c r="P421" s="204"/>
      <c r="Q421" s="204"/>
      <c r="R421" s="170">
        <f>IF(OR((Q421-P421)=0,P421="",Q421=""),0,(ROUND((((Q421-P421)+1)/30),3)))</f>
        <v>0</v>
      </c>
      <c r="S421" s="171">
        <f>IF(O421="","",ROUND(SUM(O421)-SUM(R421),3))</f>
        <v>13.2</v>
      </c>
      <c r="T421" s="172">
        <f>+IF(C421="","",IF(OR(S421="",S421&lt;=0,I421="",I421="NO",U421="",U421="NO",X421="NO"),"",ROUND(SUM(L421)/S421,3)))</f>
        <v>123.11799999999999</v>
      </c>
      <c r="U421" s="35" t="s">
        <v>16</v>
      </c>
      <c r="V421" s="36"/>
      <c r="W421" s="205"/>
      <c r="X421" s="37" t="str">
        <f t="shared" ref="X421:X430" si="192">+IF(C421="","",IF(AND(H421&lt;&gt;"",I421="SI",J421&lt;&gt;"",J421&gt;0,K421&lt;&gt;"",K421&gt;0,S421&lt;&gt;"",S421&gt;0,U421="SI"),"SI","NO"))</f>
        <v>SI</v>
      </c>
      <c r="Z421" s="173" t="s">
        <v>16</v>
      </c>
      <c r="AB421" s="173" t="s">
        <v>16</v>
      </c>
      <c r="AD421" s="10" t="str">
        <f t="shared" ref="AD421:AD430" si="193">+IF($C$418="","",IF(C421="","",IF(L421&gt;=$H$6,"SI","NO")))</f>
        <v>SI</v>
      </c>
      <c r="AE421" s="92">
        <f>+IF(OR($T$421="",X421="",X421="NO"),"",L421)</f>
        <v>1625.16</v>
      </c>
      <c r="AF421" s="92">
        <f>+IF(AE421="","",L421/$S$421)</f>
        <v>123.11818181818182</v>
      </c>
      <c r="AG421" s="174">
        <f>0.1+B418</f>
        <v>25.1</v>
      </c>
      <c r="AH421" s="27" t="s">
        <v>932</v>
      </c>
    </row>
    <row r="422" spans="1:34" s="27" customFormat="1" ht="12.75" x14ac:dyDescent="0.2">
      <c r="A422" s="27" t="str">
        <f t="shared" ref="A422:A430" si="194">+IF(T422="","",B422)</f>
        <v/>
      </c>
      <c r="B422" s="38"/>
      <c r="C422" s="39"/>
      <c r="D422" s="39"/>
      <c r="E422" s="46"/>
      <c r="F422" s="46"/>
      <c r="G422" s="39"/>
      <c r="H422" s="40"/>
      <c r="I422" s="41"/>
      <c r="J422" s="42"/>
      <c r="K422" s="43"/>
      <c r="L422" s="44">
        <f t="shared" ref="L422:L430" si="195">IF(OR(H422="",I422&lt;&gt;"SI",I422="NO",J422="",J422=0,K422="",K422=0,X422&lt;&gt;"SI"),0,J422*K422)</f>
        <v>0</v>
      </c>
      <c r="M422" s="206"/>
      <c r="N422" s="206"/>
      <c r="O422" s="207" t="str">
        <f t="shared" ref="O422:O430" si="196">IF(OR(H422="",I422&lt;&gt;"SI",I422="NO",J422="",J422=0,K422="",K422=0,,M422="",N422=""),"",ROUND((((N422-M422)+1)/30),3))</f>
        <v/>
      </c>
      <c r="P422" s="206"/>
      <c r="Q422" s="206"/>
      <c r="R422" s="177">
        <f t="shared" ref="R422:R430" si="197">IF(OR((Q422-P422)=0,P422="",Q422=""),0,(ROUND((((Q422-P422)+1)/30),3)))</f>
        <v>0</v>
      </c>
      <c r="S422" s="178" t="str">
        <f t="shared" ref="S422:S430" si="198">IF(O422="","",ROUND(SUM(O422)-SUM(R422),3))</f>
        <v/>
      </c>
      <c r="T422" s="208" t="str">
        <f t="shared" ref="T422:T430" si="199">+IF(C422="","",IF(OR(S422="",S422&lt;=0,I422="",I422="NO",U422="",U422="NO",X422="NO"),"",ROUND(SUM(L422)/S422,3)))</f>
        <v/>
      </c>
      <c r="U422" s="41"/>
      <c r="V422" s="209"/>
      <c r="W422" s="205"/>
      <c r="X422" s="37" t="str">
        <f t="shared" si="192"/>
        <v/>
      </c>
      <c r="Z422" s="173"/>
      <c r="AB422" s="173"/>
      <c r="AD422" s="10" t="str">
        <f t="shared" si="193"/>
        <v/>
      </c>
      <c r="AE422" s="92" t="str">
        <f>+IF(OR($T$422="",X422="",X422="NO"),"",L422)</f>
        <v/>
      </c>
      <c r="AF422" s="92" t="str">
        <f>+IF(AE422="","",L422/$S$422)</f>
        <v/>
      </c>
      <c r="AG422" s="174">
        <f>0.2+B418</f>
        <v>25.2</v>
      </c>
      <c r="AH422" s="27" t="s">
        <v>932</v>
      </c>
    </row>
    <row r="423" spans="1:34" s="27" customFormat="1" ht="12.75" x14ac:dyDescent="0.2">
      <c r="A423" s="27" t="str">
        <f t="shared" si="194"/>
        <v/>
      </c>
      <c r="B423" s="38"/>
      <c r="C423" s="39"/>
      <c r="D423" s="39"/>
      <c r="E423" s="46"/>
      <c r="F423" s="46"/>
      <c r="G423" s="39"/>
      <c r="H423" s="40"/>
      <c r="I423" s="41"/>
      <c r="J423" s="42"/>
      <c r="K423" s="43"/>
      <c r="L423" s="44">
        <f t="shared" si="195"/>
        <v>0</v>
      </c>
      <c r="M423" s="206"/>
      <c r="N423" s="206"/>
      <c r="O423" s="207" t="str">
        <f t="shared" si="196"/>
        <v/>
      </c>
      <c r="P423" s="206"/>
      <c r="Q423" s="206"/>
      <c r="R423" s="177">
        <f t="shared" si="197"/>
        <v>0</v>
      </c>
      <c r="S423" s="178" t="str">
        <f t="shared" si="198"/>
        <v/>
      </c>
      <c r="T423" s="208" t="str">
        <f t="shared" si="199"/>
        <v/>
      </c>
      <c r="U423" s="41"/>
      <c r="V423" s="45"/>
      <c r="W423" s="205"/>
      <c r="X423" s="37" t="str">
        <f t="shared" si="192"/>
        <v/>
      </c>
      <c r="Z423" s="173"/>
      <c r="AB423" s="173"/>
      <c r="AD423" s="10" t="str">
        <f t="shared" si="193"/>
        <v/>
      </c>
      <c r="AE423" s="92" t="str">
        <f>+IF(OR($T$423="",X423="",X423="NO"),"",L423)</f>
        <v/>
      </c>
      <c r="AF423" s="92" t="str">
        <f>+IF(AE423="","",L423/$S$423)</f>
        <v/>
      </c>
      <c r="AG423" s="174">
        <f>0.3+B418</f>
        <v>25.3</v>
      </c>
      <c r="AH423" s="27" t="s">
        <v>932</v>
      </c>
    </row>
    <row r="424" spans="1:34" s="27" customFormat="1" ht="12.75" x14ac:dyDescent="0.2">
      <c r="A424" s="27" t="str">
        <f t="shared" si="194"/>
        <v/>
      </c>
      <c r="B424" s="38"/>
      <c r="C424" s="39"/>
      <c r="D424" s="39"/>
      <c r="E424" s="46"/>
      <c r="F424" s="46"/>
      <c r="G424" s="39"/>
      <c r="H424" s="40"/>
      <c r="I424" s="41"/>
      <c r="J424" s="42"/>
      <c r="K424" s="43"/>
      <c r="L424" s="44">
        <f t="shared" si="195"/>
        <v>0</v>
      </c>
      <c r="M424" s="206"/>
      <c r="N424" s="206"/>
      <c r="O424" s="207" t="str">
        <f t="shared" si="196"/>
        <v/>
      </c>
      <c r="P424" s="206"/>
      <c r="Q424" s="206"/>
      <c r="R424" s="177">
        <f t="shared" si="197"/>
        <v>0</v>
      </c>
      <c r="S424" s="178" t="str">
        <f t="shared" si="198"/>
        <v/>
      </c>
      <c r="T424" s="208" t="str">
        <f t="shared" si="199"/>
        <v/>
      </c>
      <c r="U424" s="41"/>
      <c r="V424" s="45"/>
      <c r="W424" s="210"/>
      <c r="X424" s="37" t="str">
        <f t="shared" si="192"/>
        <v/>
      </c>
      <c r="Z424" s="180"/>
      <c r="AB424" s="173"/>
      <c r="AD424" s="10" t="str">
        <f t="shared" si="193"/>
        <v/>
      </c>
      <c r="AE424" s="92" t="str">
        <f>+IF(OR($T$424="",X424="",X424="NO"),"",L424)</f>
        <v/>
      </c>
      <c r="AF424" s="92" t="str">
        <f>+IF(AE424="","",L424/$S$424)</f>
        <v/>
      </c>
      <c r="AG424" s="174"/>
    </row>
    <row r="425" spans="1:34" s="27" customFormat="1" ht="12.75" x14ac:dyDescent="0.2">
      <c r="A425" s="27" t="str">
        <f t="shared" si="194"/>
        <v/>
      </c>
      <c r="B425" s="38"/>
      <c r="C425" s="39"/>
      <c r="D425" s="39"/>
      <c r="E425" s="46"/>
      <c r="F425" s="46"/>
      <c r="G425" s="39"/>
      <c r="H425" s="40"/>
      <c r="I425" s="41"/>
      <c r="J425" s="42"/>
      <c r="K425" s="43"/>
      <c r="L425" s="44">
        <f t="shared" si="195"/>
        <v>0</v>
      </c>
      <c r="M425" s="206"/>
      <c r="N425" s="206"/>
      <c r="O425" s="207" t="str">
        <f t="shared" si="196"/>
        <v/>
      </c>
      <c r="P425" s="206"/>
      <c r="Q425" s="206"/>
      <c r="R425" s="177">
        <f t="shared" si="197"/>
        <v>0</v>
      </c>
      <c r="S425" s="178" t="str">
        <f t="shared" si="198"/>
        <v/>
      </c>
      <c r="T425" s="208" t="str">
        <f t="shared" si="199"/>
        <v/>
      </c>
      <c r="U425" s="41"/>
      <c r="V425" s="45"/>
      <c r="X425" s="37" t="str">
        <f t="shared" si="192"/>
        <v/>
      </c>
      <c r="Z425" s="181"/>
      <c r="AB425" s="173"/>
      <c r="AD425" s="10" t="str">
        <f t="shared" si="193"/>
        <v/>
      </c>
      <c r="AE425" s="92" t="str">
        <f>+IF(OR($T$425="",X425="",X425="NO"),"",L425)</f>
        <v/>
      </c>
      <c r="AF425" s="92" t="str">
        <f>+IF(AE425="","",L425/$S$425)</f>
        <v/>
      </c>
      <c r="AG425" s="174"/>
    </row>
    <row r="426" spans="1:34" s="27" customFormat="1" ht="12.75" x14ac:dyDescent="0.2">
      <c r="A426" s="27" t="str">
        <f t="shared" si="194"/>
        <v/>
      </c>
      <c r="B426" s="38"/>
      <c r="C426" s="39"/>
      <c r="D426" s="39"/>
      <c r="E426" s="46"/>
      <c r="F426" s="46"/>
      <c r="G426" s="39"/>
      <c r="H426" s="40"/>
      <c r="I426" s="41"/>
      <c r="J426" s="42"/>
      <c r="K426" s="43"/>
      <c r="L426" s="44">
        <f t="shared" si="195"/>
        <v>0</v>
      </c>
      <c r="M426" s="206"/>
      <c r="N426" s="206"/>
      <c r="O426" s="207" t="str">
        <f t="shared" si="196"/>
        <v/>
      </c>
      <c r="P426" s="206"/>
      <c r="Q426" s="206"/>
      <c r="R426" s="177">
        <f t="shared" si="197"/>
        <v>0</v>
      </c>
      <c r="S426" s="178" t="str">
        <f t="shared" si="198"/>
        <v/>
      </c>
      <c r="T426" s="208" t="str">
        <f t="shared" si="199"/>
        <v/>
      </c>
      <c r="U426" s="41"/>
      <c r="V426" s="45"/>
      <c r="X426" s="37" t="str">
        <f t="shared" si="192"/>
        <v/>
      </c>
      <c r="Z426" s="181"/>
      <c r="AB426" s="173"/>
      <c r="AD426" s="10" t="str">
        <f t="shared" si="193"/>
        <v/>
      </c>
      <c r="AE426" s="92" t="str">
        <f>+IF(OR($T$426="",X426="",X426="NO"),"",L426)</f>
        <v/>
      </c>
      <c r="AF426" s="92" t="str">
        <f>+IF(AE426="","",L426/$S$426)</f>
        <v/>
      </c>
      <c r="AG426" s="174"/>
    </row>
    <row r="427" spans="1:34" s="27" customFormat="1" ht="12.75" x14ac:dyDescent="0.2">
      <c r="A427" s="27" t="str">
        <f t="shared" si="194"/>
        <v/>
      </c>
      <c r="B427" s="38"/>
      <c r="C427" s="39"/>
      <c r="D427" s="39"/>
      <c r="E427" s="46"/>
      <c r="F427" s="46"/>
      <c r="G427" s="39"/>
      <c r="H427" s="40"/>
      <c r="I427" s="41"/>
      <c r="J427" s="42"/>
      <c r="K427" s="43"/>
      <c r="L427" s="44">
        <f t="shared" si="195"/>
        <v>0</v>
      </c>
      <c r="M427" s="206"/>
      <c r="N427" s="206"/>
      <c r="O427" s="207" t="str">
        <f t="shared" si="196"/>
        <v/>
      </c>
      <c r="P427" s="206"/>
      <c r="Q427" s="206"/>
      <c r="R427" s="177">
        <f t="shared" si="197"/>
        <v>0</v>
      </c>
      <c r="S427" s="178" t="str">
        <f t="shared" si="198"/>
        <v/>
      </c>
      <c r="T427" s="208" t="str">
        <f t="shared" si="199"/>
        <v/>
      </c>
      <c r="U427" s="41"/>
      <c r="V427" s="45"/>
      <c r="X427" s="37" t="str">
        <f t="shared" si="192"/>
        <v/>
      </c>
      <c r="Z427" s="181"/>
      <c r="AB427" s="173"/>
      <c r="AD427" s="10" t="str">
        <f t="shared" si="193"/>
        <v/>
      </c>
      <c r="AE427" s="92" t="str">
        <f>+IF(OR($T$427="",X427="",X427="NO"),"",L427)</f>
        <v/>
      </c>
      <c r="AF427" s="92" t="str">
        <f>+IF(AE427="","",L427/$S$427)</f>
        <v/>
      </c>
      <c r="AG427" s="174"/>
    </row>
    <row r="428" spans="1:34" s="27" customFormat="1" ht="12.75" x14ac:dyDescent="0.2">
      <c r="A428" s="27" t="str">
        <f t="shared" si="194"/>
        <v/>
      </c>
      <c r="B428" s="38"/>
      <c r="C428" s="39"/>
      <c r="D428" s="39"/>
      <c r="E428" s="46"/>
      <c r="F428" s="46"/>
      <c r="G428" s="39"/>
      <c r="H428" s="40"/>
      <c r="I428" s="41"/>
      <c r="J428" s="42"/>
      <c r="K428" s="43"/>
      <c r="L428" s="44">
        <f t="shared" si="195"/>
        <v>0</v>
      </c>
      <c r="M428" s="206"/>
      <c r="N428" s="206"/>
      <c r="O428" s="207" t="str">
        <f t="shared" si="196"/>
        <v/>
      </c>
      <c r="P428" s="206"/>
      <c r="Q428" s="206"/>
      <c r="R428" s="177">
        <f t="shared" si="197"/>
        <v>0</v>
      </c>
      <c r="S428" s="178" t="str">
        <f t="shared" si="198"/>
        <v/>
      </c>
      <c r="T428" s="208" t="str">
        <f t="shared" si="199"/>
        <v/>
      </c>
      <c r="U428" s="41"/>
      <c r="V428" s="45"/>
      <c r="X428" s="37" t="str">
        <f t="shared" si="192"/>
        <v/>
      </c>
      <c r="Z428" s="181"/>
      <c r="AB428" s="173"/>
      <c r="AD428" s="10" t="str">
        <f t="shared" si="193"/>
        <v/>
      </c>
      <c r="AE428" s="92" t="str">
        <f>+IF(OR($T$428="",X428="",X428="NO"),"",L428)</f>
        <v/>
      </c>
      <c r="AF428" s="92" t="str">
        <f>+IF(AE428="","",L428/$S$428)</f>
        <v/>
      </c>
      <c r="AG428" s="174"/>
    </row>
    <row r="429" spans="1:34" s="27" customFormat="1" ht="12.75" x14ac:dyDescent="0.2">
      <c r="A429" s="27" t="str">
        <f t="shared" si="194"/>
        <v/>
      </c>
      <c r="B429" s="38"/>
      <c r="C429" s="39"/>
      <c r="D429" s="39"/>
      <c r="E429" s="46"/>
      <c r="F429" s="46"/>
      <c r="G429" s="39"/>
      <c r="H429" s="40"/>
      <c r="I429" s="41"/>
      <c r="J429" s="42"/>
      <c r="K429" s="43"/>
      <c r="L429" s="44">
        <f t="shared" si="195"/>
        <v>0</v>
      </c>
      <c r="M429" s="206"/>
      <c r="N429" s="206"/>
      <c r="O429" s="207" t="str">
        <f t="shared" si="196"/>
        <v/>
      </c>
      <c r="P429" s="206"/>
      <c r="Q429" s="206"/>
      <c r="R429" s="177">
        <f t="shared" si="197"/>
        <v>0</v>
      </c>
      <c r="S429" s="178" t="str">
        <f t="shared" si="198"/>
        <v/>
      </c>
      <c r="T429" s="208" t="str">
        <f t="shared" si="199"/>
        <v/>
      </c>
      <c r="U429" s="41"/>
      <c r="V429" s="45"/>
      <c r="X429" s="37" t="str">
        <f t="shared" si="192"/>
        <v/>
      </c>
      <c r="Z429" s="181"/>
      <c r="AB429" s="173"/>
      <c r="AD429" s="10" t="str">
        <f t="shared" si="193"/>
        <v/>
      </c>
      <c r="AE429" s="92" t="str">
        <f>+IF(OR($T$429="",X429="",X429="NO"),"",L429)</f>
        <v/>
      </c>
      <c r="AF429" s="92" t="str">
        <f>+IF(AE429="","",L429/$S$429)</f>
        <v/>
      </c>
      <c r="AG429" s="174"/>
    </row>
    <row r="430" spans="1:34" s="27" customFormat="1" ht="13.5" thickBot="1" x14ac:dyDescent="0.25">
      <c r="A430" s="27" t="str">
        <f t="shared" si="194"/>
        <v/>
      </c>
      <c r="B430" s="47"/>
      <c r="C430" s="48"/>
      <c r="D430" s="48"/>
      <c r="E430" s="49"/>
      <c r="F430" s="49"/>
      <c r="G430" s="48"/>
      <c r="H430" s="50"/>
      <c r="I430" s="51"/>
      <c r="J430" s="14"/>
      <c r="K430" s="52"/>
      <c r="L430" s="53">
        <f t="shared" si="195"/>
        <v>0</v>
      </c>
      <c r="M430" s="211"/>
      <c r="N430" s="211"/>
      <c r="O430" s="212" t="str">
        <f t="shared" si="196"/>
        <v/>
      </c>
      <c r="P430" s="211"/>
      <c r="Q430" s="211"/>
      <c r="R430" s="184">
        <f t="shared" si="197"/>
        <v>0</v>
      </c>
      <c r="S430" s="185" t="str">
        <f t="shared" si="198"/>
        <v/>
      </c>
      <c r="T430" s="213" t="str">
        <f t="shared" si="199"/>
        <v/>
      </c>
      <c r="U430" s="51"/>
      <c r="V430" s="54"/>
      <c r="X430" s="55" t="str">
        <f t="shared" si="192"/>
        <v/>
      </c>
      <c r="Z430" s="187"/>
      <c r="AB430" s="188"/>
      <c r="AD430" s="10" t="str">
        <f t="shared" si="193"/>
        <v/>
      </c>
      <c r="AE430" s="92" t="str">
        <f>+IF(OR($T$430="",X430="",X430="NO"),"",L430)</f>
        <v/>
      </c>
      <c r="AF430" s="92" t="str">
        <f>+IF(AE430="","",L430/$S$430)</f>
        <v/>
      </c>
    </row>
    <row r="431" spans="1:34" ht="36" customHeight="1" x14ac:dyDescent="0.2">
      <c r="B431" s="57" t="str">
        <f>"A"&amp;B418</f>
        <v>A25</v>
      </c>
      <c r="C431" s="382" t="str">
        <f>+$C$23</f>
        <v>¿CADA INTEGRANTE DE PROPONENTE PLURAL APORTAN CONTRATO?  (SI; NO; NA)</v>
      </c>
      <c r="D431" s="383"/>
      <c r="E431" s="383"/>
      <c r="F431" s="383"/>
      <c r="G431" s="383"/>
      <c r="H431" s="384"/>
      <c r="I431" s="217" t="str">
        <f>+IF(AG418="","",IF(AG418=1,"NA",IF(AND(AG418=3,(IF(COUNTIFS(C421:C430,AH421,AE421:AE430,"&gt;0")&gt;=1,1,0)+IF(COUNTIFS(C421:C430,AH422,AE421:AE430,"&gt;0")&gt;=1,1,0)+IF(COUNTIFS(C421:C430,AH423,AE421:AE430,"&gt;0")&gt;=1,1,0))&gt;=AG418),"SI",IF(AND(AG418=2,(IF(COUNTIFS(C421:C430,AH421,AE421:AE430,"&gt;0")&gt;=1,1,0)+IF(COUNTIFS(C421:C430,AH422,AE421:AE430,"&gt;0")&gt;=1,1,0))&gt;=AG418),"SI","NO"))))</f>
        <v>NA</v>
      </c>
      <c r="J431" s="59"/>
      <c r="K431" s="27"/>
      <c r="L431" s="27"/>
      <c r="M431" s="27"/>
      <c r="N431" s="27"/>
      <c r="O431" s="27"/>
      <c r="P431" s="385" t="str">
        <f>+$P$23</f>
        <v>FACTURACION MENSUAL TOTAL</v>
      </c>
      <c r="Q431" s="386"/>
      <c r="R431" s="386"/>
      <c r="S431" s="386"/>
      <c r="T431" s="189">
        <f>ROUND(SUM(T421:T430),3)</f>
        <v>123.11799999999999</v>
      </c>
      <c r="U431" s="60"/>
      <c r="V431" s="1"/>
      <c r="W431" s="61"/>
      <c r="X431" s="61"/>
      <c r="Y431" s="61"/>
      <c r="Z431" s="61"/>
      <c r="AA431" s="61"/>
      <c r="AB431" s="61"/>
    </row>
    <row r="432" spans="1:34" ht="38.25" customHeight="1" thickBot="1" x14ac:dyDescent="0.25">
      <c r="B432" s="57" t="str">
        <f>"B"&amp;B418</f>
        <v>B25</v>
      </c>
      <c r="C432" s="387" t="str">
        <f>+C415</f>
        <v>En caso de proponente plural: ¿De la totalidad de los contratos aportados por el proponente plural, el valor ejecutado de uno de ellos deberá ser igual o superior al 30% del P.O.?  (SI; NO; NA)</v>
      </c>
      <c r="D432" s="388"/>
      <c r="E432" s="388"/>
      <c r="F432" s="388"/>
      <c r="G432" s="389"/>
      <c r="H432" s="190">
        <f>+$H$6</f>
        <v>268.14722506074827</v>
      </c>
      <c r="I432" s="191" t="str">
        <f>+IF(AG418="","",IF(AG418=1,"NA",IF(AND(AG418&gt;1,(COUNTIFS(AD421:AD430,"SI",AE421:AE430,"&gt;0"))&gt;=1),"SI","NO")))</f>
        <v>NA</v>
      </c>
      <c r="J432" s="192"/>
      <c r="K432" s="193"/>
      <c r="L432" s="194"/>
      <c r="M432" s="194"/>
      <c r="N432" s="194"/>
      <c r="O432" s="194"/>
      <c r="P432" s="387" t="str">
        <f>+$P$24</f>
        <v>PROMEDIO FACTURACIÓN MENSUAL DEL PROPONENTE (PFMP)</v>
      </c>
      <c r="Q432" s="388"/>
      <c r="R432" s="388"/>
      <c r="S432" s="388"/>
      <c r="T432" s="195">
        <f t="array" ref="T432">IF(T431=0,0,ROUND(T431/(SUM(IF(FREQUENCY(A421:A430,A421:A430)&gt;0,1))),3))</f>
        <v>123.11799999999999</v>
      </c>
      <c r="U432" s="214"/>
      <c r="V432" s="1"/>
      <c r="W432" s="61"/>
      <c r="X432" s="61"/>
      <c r="Y432" s="61"/>
      <c r="Z432" s="61"/>
      <c r="AA432" s="61"/>
      <c r="AB432" s="61"/>
    </row>
    <row r="433" spans="1:34" ht="21" customHeight="1" thickBot="1" x14ac:dyDescent="0.25">
      <c r="B433" s="197" t="str">
        <f>"C"&amp;B418</f>
        <v>C25</v>
      </c>
      <c r="C433" s="349" t="str">
        <f>+$C$25</f>
        <v>PROPONENTE CUMPLE CON LAS ACTIVIDADES a) y b)? (SI; NO)</v>
      </c>
      <c r="D433" s="350"/>
      <c r="E433" s="350"/>
      <c r="F433" s="350"/>
      <c r="G433" s="350"/>
      <c r="H433" s="351"/>
      <c r="I433" s="198" t="str">
        <f>IF(C418="","",(IF(AND(COUNTIFS(X421:X430,"SI",Z421:Z430,"SI")&gt;=$Z$8,COUNTIFS(X421:X430,"SI",AB421:AB430,"SI")&gt;=$Z$8),"SI","NO")))</f>
        <v>SI</v>
      </c>
      <c r="J433" s="199"/>
      <c r="K433" s="200"/>
      <c r="L433" s="200"/>
      <c r="M433" s="200"/>
      <c r="N433" s="200"/>
      <c r="P433" s="378" t="str">
        <f>+$P$25</f>
        <v>VALOR PUNTAJE POR EXPERIENCIA DEL PROPONENTE</v>
      </c>
      <c r="Q433" s="379"/>
      <c r="R433" s="379"/>
      <c r="S433" s="380"/>
      <c r="T433" s="201">
        <f>IF(OR(C418="",'ASIGNACION DE PUNTAJES'!$C$5=""),"",VLOOKUP(B418,'ASIGNACION DE PUNTAJES'!$A$15:$G$69,7,FALSE))</f>
        <v>633.94200000000001</v>
      </c>
      <c r="V433" s="202"/>
    </row>
    <row r="434" spans="1:34" ht="12" thickBot="1" x14ac:dyDescent="0.25"/>
    <row r="435" spans="1:34" ht="36.75" customHeight="1" thickBot="1" x14ac:dyDescent="0.25">
      <c r="B435" s="23">
        <f>1+B418</f>
        <v>26</v>
      </c>
      <c r="C435" s="336" t="s">
        <v>921</v>
      </c>
      <c r="D435" s="337"/>
      <c r="E435" s="337"/>
      <c r="F435" s="337"/>
      <c r="G435" s="337"/>
      <c r="H435" s="337"/>
      <c r="I435" s="338"/>
      <c r="J435" s="24" t="str">
        <f>+IF(C435="","","INTEGRANTES")</f>
        <v>INTEGRANTES</v>
      </c>
      <c r="K435" s="339" t="s">
        <v>922</v>
      </c>
      <c r="L435" s="339"/>
      <c r="M435" s="339"/>
      <c r="N435" s="339"/>
      <c r="O435" s="339"/>
      <c r="P435" s="339"/>
      <c r="Q435" s="339"/>
      <c r="R435" s="396" t="str">
        <f>+$R$10</f>
        <v>PROPONENTE No.</v>
      </c>
      <c r="S435" s="397"/>
      <c r="T435" s="25">
        <f>+B435</f>
        <v>26</v>
      </c>
      <c r="U435" s="161" t="str">
        <f>+$U$10</f>
        <v>PFMP</v>
      </c>
      <c r="V435" s="162">
        <f>IF(T449="",0,T449)</f>
        <v>133.97</v>
      </c>
      <c r="X435" s="325" t="s">
        <v>168</v>
      </c>
      <c r="Z435" s="163" t="str">
        <f>+$Z$10</f>
        <v>EXP. ESPECÍFICA 
A:</v>
      </c>
      <c r="AB435" s="163" t="str">
        <f>+$AB$10</f>
        <v>EXP. ESPECÍFICA 
B:</v>
      </c>
      <c r="AG435" s="1">
        <v>2</v>
      </c>
    </row>
    <row r="436" spans="1:34" ht="42" customHeight="1" x14ac:dyDescent="0.2">
      <c r="B436" s="331" t="str">
        <f>+$B$11</f>
        <v>ITEM</v>
      </c>
      <c r="C436" s="318" t="str">
        <f>+$C$11</f>
        <v>PROPONENTE 
/ 
INTEGRANTE OFERENTE PLURAL</v>
      </c>
      <c r="D436" s="333" t="str">
        <f>+$D$11</f>
        <v>INFORMACIÓN DEL CONTRATO</v>
      </c>
      <c r="E436" s="334"/>
      <c r="F436" s="334"/>
      <c r="G436" s="335"/>
      <c r="H436" s="318" t="str">
        <f>+H419</f>
        <v>CONSECUTIVO RUP</v>
      </c>
      <c r="I436" s="318" t="str">
        <f>+$I$11</f>
        <v>¿SE ENCUENTRA INSCRITO EN EL RUP Y CUMPLE CÓDIGOS UNSPSC?</v>
      </c>
      <c r="J436" s="318" t="str">
        <f>+$J$11</f>
        <v xml:space="preserve">VALOR EN RUP (SMMLV) </v>
      </c>
      <c r="K436" s="318" t="str">
        <f>+$K$11</f>
        <v>% PARTIC en el RUP</v>
      </c>
      <c r="L436" s="318" t="str">
        <f>+$L$11</f>
        <v>VALOR DEL CONTRATO TERMINADO (SMMLV) en el   RUP</v>
      </c>
      <c r="M436" s="318" t="str">
        <f>+$M$11</f>
        <v>FECHA DE INICIO</v>
      </c>
      <c r="N436" s="318" t="str">
        <f>+$N$11</f>
        <v>FECHA DE TERMINACION</v>
      </c>
      <c r="O436" s="318" t="str">
        <f>+$O$11</f>
        <v>PLAZO CONTRA-TO (Meses)</v>
      </c>
      <c r="P436" s="390" t="str">
        <f>+$P$11</f>
        <v>Tsusp i</v>
      </c>
      <c r="Q436" s="391"/>
      <c r="R436" s="392"/>
      <c r="S436" s="318" t="str">
        <f>+$S$11</f>
        <v>PLAZO i REAL</v>
      </c>
      <c r="T436" s="318" t="str">
        <f>+$T$11</f>
        <v>FACTURA-CION MENSUAL PROPO-NENTE</v>
      </c>
      <c r="U436" s="318" t="str">
        <f>+$U$11</f>
        <v>VALIDACIÓN DE LA EXPERIENCIA GENERAL
(SI/NO)</v>
      </c>
      <c r="V436" s="393" t="str">
        <f>+$V$11</f>
        <v>OBSERVACIONES</v>
      </c>
      <c r="X436" s="326"/>
      <c r="Z436" s="381" t="str">
        <f>+$Z$11</f>
        <v>Interventoria a la ejecución de obras relacionadas con Colocación de capas granulares (tales como bases y/o sub-bases granulares).</v>
      </c>
      <c r="AB436" s="381" t="str">
        <f>+$AB$11</f>
        <v>Interventoria a la Ejecución de obras de subdrenaje y/o drenaje, en carreteras.</v>
      </c>
    </row>
    <row r="437" spans="1:34" ht="38.25" customHeight="1" thickBot="1" x14ac:dyDescent="0.25">
      <c r="B437" s="395"/>
      <c r="C437" s="348"/>
      <c r="D437" s="165" t="str">
        <f>+$D$12</f>
        <v>ENTIDAD</v>
      </c>
      <c r="E437" s="165" t="str">
        <f>+$E$12</f>
        <v>No. DE CONTRATO</v>
      </c>
      <c r="F437" s="165" t="str">
        <f>+$F$12</f>
        <v>OBJETO</v>
      </c>
      <c r="G437" s="165" t="str">
        <f>+$G$12</f>
        <v>CONTRATISTA</v>
      </c>
      <c r="H437" s="348"/>
      <c r="I437" s="348"/>
      <c r="J437" s="348"/>
      <c r="K437" s="348"/>
      <c r="L437" s="348"/>
      <c r="M437" s="348"/>
      <c r="N437" s="348"/>
      <c r="O437" s="348"/>
      <c r="P437" s="166" t="str">
        <f>+P420</f>
        <v>Finicsuspi</v>
      </c>
      <c r="Q437" s="166" t="str">
        <f>+Q420</f>
        <v xml:space="preserve"> Ftermsuspi </v>
      </c>
      <c r="R437" s="166" t="str">
        <f>+R420</f>
        <v>Tsusp i (meses)</v>
      </c>
      <c r="S437" s="348"/>
      <c r="T437" s="348"/>
      <c r="U437" s="348"/>
      <c r="V437" s="394"/>
      <c r="X437" s="327"/>
      <c r="Z437" s="381"/>
      <c r="AB437" s="381"/>
    </row>
    <row r="438" spans="1:34" s="27" customFormat="1" ht="113.25" customHeight="1" x14ac:dyDescent="0.2">
      <c r="A438" s="27">
        <f>+IF(T438="","",B438)</f>
        <v>1</v>
      </c>
      <c r="B438" s="28">
        <v>1</v>
      </c>
      <c r="C438" s="86" t="s">
        <v>129</v>
      </c>
      <c r="D438" s="86" t="s">
        <v>43</v>
      </c>
      <c r="E438" s="87" t="s">
        <v>430</v>
      </c>
      <c r="F438" s="87" t="s">
        <v>431</v>
      </c>
      <c r="G438" s="86" t="s">
        <v>129</v>
      </c>
      <c r="H438" s="30">
        <v>27</v>
      </c>
      <c r="I438" s="31" t="s">
        <v>16</v>
      </c>
      <c r="J438" s="32">
        <v>5503.67</v>
      </c>
      <c r="K438" s="33">
        <v>1</v>
      </c>
      <c r="L438" s="34">
        <f>IF(OR(H438="",I438&lt;&gt;"SI",I438="NO",J438="",J438=0,K438="",K438=0,X438&lt;&gt;"SI"),0,J438*K438)</f>
        <v>5503.67</v>
      </c>
      <c r="M438" s="204">
        <v>38673</v>
      </c>
      <c r="N438" s="204">
        <v>40084</v>
      </c>
      <c r="O438" s="169">
        <f>IF(OR(H438="",I438&lt;&gt;"SI",I438="NO",J438="",J438=0,K438="",K438=0,,M438="",N438=""),"",ROUND((((N438-M438)+1)/30),3))</f>
        <v>47.067</v>
      </c>
      <c r="P438" s="204">
        <v>39431</v>
      </c>
      <c r="Q438" s="204">
        <v>39456</v>
      </c>
      <c r="R438" s="170">
        <f>IF(OR((Q438-P438)=0,P438="",Q438=""),0,(ROUND((((Q438-P438)+1)/30),3)))</f>
        <v>0.86699999999999999</v>
      </c>
      <c r="S438" s="171">
        <f>IF(O438="","",ROUND(SUM(O438)-SUM(R438),3))</f>
        <v>46.2</v>
      </c>
      <c r="T438" s="172">
        <f>+IF(C438="","",IF(OR(S438="",S438&lt;=0,I438="",I438="NO",U438="",U438="NO",X438="NO"),"",ROUND(SUM(L438)/S438,3)))</f>
        <v>119.127</v>
      </c>
      <c r="U438" s="35" t="s">
        <v>16</v>
      </c>
      <c r="V438" s="36"/>
      <c r="W438" s="205"/>
      <c r="X438" s="37" t="str">
        <f t="shared" ref="X438:X447" si="200">+IF(C438="","",IF(AND(H438&lt;&gt;"",I438="SI",J438&lt;&gt;"",J438&gt;0,K438&lt;&gt;"",K438&gt;0,S438&lt;&gt;"",S438&gt;0,U438="SI"),"SI","NO"))</f>
        <v>SI</v>
      </c>
      <c r="Z438" s="173" t="s">
        <v>211</v>
      </c>
      <c r="AB438" s="173" t="s">
        <v>16</v>
      </c>
      <c r="AD438" s="10" t="str">
        <f t="shared" ref="AD438:AD447" si="201">+IF($C$435="","",IF(C438="","",IF(L438&gt;=$H$6,"SI","NO")))</f>
        <v>SI</v>
      </c>
      <c r="AE438" s="92">
        <f>+IF(OR($T$438="",X438="",X438="NO"),"",L438)</f>
        <v>5503.67</v>
      </c>
      <c r="AF438" s="92">
        <f>+IF(AE438="","",L438/$S$438)</f>
        <v>119.12705627705627</v>
      </c>
      <c r="AG438" s="174">
        <f>0.1+B435</f>
        <v>26.1</v>
      </c>
      <c r="AH438" s="27" t="s">
        <v>432</v>
      </c>
    </row>
    <row r="439" spans="1:34" s="27" customFormat="1" ht="111.75" customHeight="1" x14ac:dyDescent="0.2">
      <c r="A439" s="27">
        <f t="shared" ref="A439:A447" si="202">+IF(T439="","",B439)</f>
        <v>2</v>
      </c>
      <c r="B439" s="38">
        <v>2</v>
      </c>
      <c r="C439" s="39" t="s">
        <v>432</v>
      </c>
      <c r="D439" s="39" t="s">
        <v>43</v>
      </c>
      <c r="E439" s="46" t="s">
        <v>433</v>
      </c>
      <c r="F439" s="46" t="s">
        <v>434</v>
      </c>
      <c r="G439" s="39" t="s">
        <v>432</v>
      </c>
      <c r="H439" s="40">
        <v>46</v>
      </c>
      <c r="I439" s="41" t="s">
        <v>16</v>
      </c>
      <c r="J439" s="42">
        <v>3764.97</v>
      </c>
      <c r="K439" s="43">
        <v>1</v>
      </c>
      <c r="L439" s="44">
        <f t="shared" ref="L439:L447" si="203">IF(OR(H439="",I439&lt;&gt;"SI",I439="NO",J439="",J439=0,K439="",K439=0,X439&lt;&gt;"SI"),0,J439*K439)</f>
        <v>3764.97</v>
      </c>
      <c r="M439" s="206">
        <v>36992</v>
      </c>
      <c r="N439" s="206">
        <v>37750</v>
      </c>
      <c r="O439" s="207">
        <f t="shared" ref="O439:O447" si="204">IF(OR(H439="",I439&lt;&gt;"SI",I439="NO",J439="",J439=0,K439="",K439=0,,M439="",N439=""),"",ROUND((((N439-M439)+1)/30),3))</f>
        <v>25.3</v>
      </c>
      <c r="P439" s="206"/>
      <c r="Q439" s="206"/>
      <c r="R439" s="177">
        <f t="shared" ref="R439:R447" si="205">IF(OR((Q439-P439)=0,P439="",Q439=""),0,(ROUND((((Q439-P439)+1)/30),3)))</f>
        <v>0</v>
      </c>
      <c r="S439" s="178">
        <f t="shared" ref="S439:S447" si="206">IF(O439="","",ROUND(SUM(O439)-SUM(R439),3))</f>
        <v>25.3</v>
      </c>
      <c r="T439" s="208">
        <f t="shared" ref="T439:T447" si="207">+IF(C439="","",IF(OR(S439="",S439&lt;=0,I439="",I439="NO",U439="",U439="NO",X439="NO"),"",ROUND(SUM(L439)/S439,3)))</f>
        <v>148.81299999999999</v>
      </c>
      <c r="U439" s="41" t="s">
        <v>16</v>
      </c>
      <c r="V439" s="209"/>
      <c r="W439" s="205"/>
      <c r="X439" s="37" t="str">
        <f t="shared" si="200"/>
        <v>SI</v>
      </c>
      <c r="Z439" s="173" t="s">
        <v>16</v>
      </c>
      <c r="AB439" s="173" t="s">
        <v>211</v>
      </c>
      <c r="AD439" s="10" t="str">
        <f t="shared" si="201"/>
        <v>SI</v>
      </c>
      <c r="AE439" s="92">
        <f>+IF(OR($T$439="",X439="",X439="NO"),"",L439)</f>
        <v>3764.97</v>
      </c>
      <c r="AF439" s="92">
        <f>+IF(AE439="","",L439/$S$439)</f>
        <v>148.81304347826085</v>
      </c>
      <c r="AG439" s="174">
        <f>0.2+B435</f>
        <v>26.2</v>
      </c>
      <c r="AH439" s="27" t="s">
        <v>129</v>
      </c>
    </row>
    <row r="440" spans="1:34" s="27" customFormat="1" ht="12.75" x14ac:dyDescent="0.2">
      <c r="A440" s="27" t="str">
        <f t="shared" si="202"/>
        <v/>
      </c>
      <c r="B440" s="38"/>
      <c r="C440" s="39"/>
      <c r="D440" s="39"/>
      <c r="E440" s="46"/>
      <c r="F440" s="46"/>
      <c r="G440" s="39"/>
      <c r="H440" s="40"/>
      <c r="I440" s="41"/>
      <c r="J440" s="42"/>
      <c r="K440" s="43"/>
      <c r="L440" s="44">
        <f t="shared" si="203"/>
        <v>0</v>
      </c>
      <c r="M440" s="206"/>
      <c r="N440" s="206"/>
      <c r="O440" s="207" t="str">
        <f t="shared" si="204"/>
        <v/>
      </c>
      <c r="P440" s="206"/>
      <c r="Q440" s="206"/>
      <c r="R440" s="177">
        <f t="shared" si="205"/>
        <v>0</v>
      </c>
      <c r="S440" s="178" t="str">
        <f t="shared" si="206"/>
        <v/>
      </c>
      <c r="T440" s="208" t="str">
        <f t="shared" si="207"/>
        <v/>
      </c>
      <c r="U440" s="41"/>
      <c r="V440" s="45"/>
      <c r="W440" s="205"/>
      <c r="X440" s="37" t="str">
        <f t="shared" si="200"/>
        <v/>
      </c>
      <c r="Z440" s="173"/>
      <c r="AB440" s="173"/>
      <c r="AD440" s="10" t="str">
        <f t="shared" si="201"/>
        <v/>
      </c>
      <c r="AE440" s="92" t="str">
        <f>+IF(OR($T$440="",X440="",X440="NO"),"",L440)</f>
        <v/>
      </c>
      <c r="AF440" s="92" t="str">
        <f>+IF(AE440="","",L440/$S$440)</f>
        <v/>
      </c>
      <c r="AG440" s="174">
        <f>0.3+B435</f>
        <v>26.3</v>
      </c>
      <c r="AH440" s="27" t="s">
        <v>932</v>
      </c>
    </row>
    <row r="441" spans="1:34" s="27" customFormat="1" ht="12.75" x14ac:dyDescent="0.2">
      <c r="A441" s="27" t="str">
        <f t="shared" si="202"/>
        <v/>
      </c>
      <c r="B441" s="38"/>
      <c r="C441" s="39"/>
      <c r="D441" s="39"/>
      <c r="E441" s="46"/>
      <c r="F441" s="46"/>
      <c r="G441" s="39"/>
      <c r="H441" s="40"/>
      <c r="I441" s="41"/>
      <c r="J441" s="42"/>
      <c r="K441" s="43"/>
      <c r="L441" s="44">
        <f t="shared" si="203"/>
        <v>0</v>
      </c>
      <c r="M441" s="206"/>
      <c r="N441" s="206"/>
      <c r="O441" s="207" t="str">
        <f t="shared" si="204"/>
        <v/>
      </c>
      <c r="P441" s="206"/>
      <c r="Q441" s="206"/>
      <c r="R441" s="177">
        <f t="shared" si="205"/>
        <v>0</v>
      </c>
      <c r="S441" s="178" t="str">
        <f t="shared" si="206"/>
        <v/>
      </c>
      <c r="T441" s="208" t="str">
        <f t="shared" si="207"/>
        <v/>
      </c>
      <c r="U441" s="41"/>
      <c r="V441" s="45"/>
      <c r="W441" s="210"/>
      <c r="X441" s="37" t="str">
        <f t="shared" si="200"/>
        <v/>
      </c>
      <c r="Z441" s="180"/>
      <c r="AB441" s="173"/>
      <c r="AD441" s="10" t="str">
        <f t="shared" si="201"/>
        <v/>
      </c>
      <c r="AE441" s="92" t="str">
        <f>+IF(OR($T$441="",X441="",X441="NO"),"",L441)</f>
        <v/>
      </c>
      <c r="AF441" s="92" t="str">
        <f>+IF(AE441="","",L441/$S$441)</f>
        <v/>
      </c>
      <c r="AG441" s="174"/>
    </row>
    <row r="442" spans="1:34" s="27" customFormat="1" ht="12.75" x14ac:dyDescent="0.2">
      <c r="A442" s="27" t="str">
        <f t="shared" si="202"/>
        <v/>
      </c>
      <c r="B442" s="38"/>
      <c r="C442" s="39"/>
      <c r="D442" s="39"/>
      <c r="E442" s="46"/>
      <c r="F442" s="46"/>
      <c r="G442" s="39"/>
      <c r="H442" s="40"/>
      <c r="I442" s="41"/>
      <c r="J442" s="42"/>
      <c r="K442" s="43"/>
      <c r="L442" s="44">
        <f t="shared" si="203"/>
        <v>0</v>
      </c>
      <c r="M442" s="206"/>
      <c r="N442" s="206"/>
      <c r="O442" s="207" t="str">
        <f t="shared" si="204"/>
        <v/>
      </c>
      <c r="P442" s="206"/>
      <c r="Q442" s="206"/>
      <c r="R442" s="177">
        <f t="shared" si="205"/>
        <v>0</v>
      </c>
      <c r="S442" s="178" t="str">
        <f t="shared" si="206"/>
        <v/>
      </c>
      <c r="T442" s="208" t="str">
        <f t="shared" si="207"/>
        <v/>
      </c>
      <c r="U442" s="41"/>
      <c r="V442" s="45"/>
      <c r="X442" s="37" t="str">
        <f t="shared" si="200"/>
        <v/>
      </c>
      <c r="Z442" s="181"/>
      <c r="AB442" s="173"/>
      <c r="AD442" s="10" t="str">
        <f t="shared" si="201"/>
        <v/>
      </c>
      <c r="AE442" s="92" t="str">
        <f>+IF(OR($T$442="",X442="",X442="NO"),"",L442)</f>
        <v/>
      </c>
      <c r="AF442" s="92" t="str">
        <f>+IF(AE442="","",L442/$S$442)</f>
        <v/>
      </c>
      <c r="AG442" s="174"/>
    </row>
    <row r="443" spans="1:34" s="27" customFormat="1" ht="12.75" x14ac:dyDescent="0.2">
      <c r="A443" s="27" t="str">
        <f t="shared" si="202"/>
        <v/>
      </c>
      <c r="B443" s="38"/>
      <c r="C443" s="39"/>
      <c r="D443" s="39"/>
      <c r="E443" s="46"/>
      <c r="F443" s="46"/>
      <c r="G443" s="39"/>
      <c r="H443" s="40"/>
      <c r="I443" s="41"/>
      <c r="J443" s="42"/>
      <c r="K443" s="43"/>
      <c r="L443" s="44">
        <f t="shared" si="203"/>
        <v>0</v>
      </c>
      <c r="M443" s="206"/>
      <c r="N443" s="206"/>
      <c r="O443" s="207" t="str">
        <f t="shared" si="204"/>
        <v/>
      </c>
      <c r="P443" s="206"/>
      <c r="Q443" s="206"/>
      <c r="R443" s="177">
        <f t="shared" si="205"/>
        <v>0</v>
      </c>
      <c r="S443" s="178" t="str">
        <f t="shared" si="206"/>
        <v/>
      </c>
      <c r="T443" s="208" t="str">
        <f t="shared" si="207"/>
        <v/>
      </c>
      <c r="U443" s="41"/>
      <c r="V443" s="45"/>
      <c r="X443" s="37" t="str">
        <f t="shared" si="200"/>
        <v/>
      </c>
      <c r="Z443" s="181"/>
      <c r="AB443" s="173"/>
      <c r="AD443" s="10" t="str">
        <f t="shared" si="201"/>
        <v/>
      </c>
      <c r="AE443" s="92" t="str">
        <f>+IF(OR($T$443="",X443="",X443="NO"),"",L443)</f>
        <v/>
      </c>
      <c r="AF443" s="92" t="str">
        <f>+IF(AE443="","",L443/$S$443)</f>
        <v/>
      </c>
      <c r="AG443" s="174"/>
    </row>
    <row r="444" spans="1:34" s="27" customFormat="1" ht="12.75" x14ac:dyDescent="0.2">
      <c r="A444" s="27" t="str">
        <f t="shared" si="202"/>
        <v/>
      </c>
      <c r="B444" s="38"/>
      <c r="C444" s="39"/>
      <c r="D444" s="39"/>
      <c r="E444" s="46"/>
      <c r="F444" s="46"/>
      <c r="G444" s="39"/>
      <c r="H444" s="40"/>
      <c r="I444" s="41"/>
      <c r="J444" s="42"/>
      <c r="K444" s="43"/>
      <c r="L444" s="44">
        <f t="shared" si="203"/>
        <v>0</v>
      </c>
      <c r="M444" s="206"/>
      <c r="N444" s="206"/>
      <c r="O444" s="207" t="str">
        <f t="shared" si="204"/>
        <v/>
      </c>
      <c r="P444" s="206"/>
      <c r="Q444" s="206"/>
      <c r="R444" s="177">
        <f t="shared" si="205"/>
        <v>0</v>
      </c>
      <c r="S444" s="178" t="str">
        <f t="shared" si="206"/>
        <v/>
      </c>
      <c r="T444" s="208" t="str">
        <f t="shared" si="207"/>
        <v/>
      </c>
      <c r="U444" s="41"/>
      <c r="V444" s="45"/>
      <c r="X444" s="37" t="str">
        <f t="shared" si="200"/>
        <v/>
      </c>
      <c r="Z444" s="181"/>
      <c r="AB444" s="173"/>
      <c r="AD444" s="10" t="str">
        <f t="shared" si="201"/>
        <v/>
      </c>
      <c r="AE444" s="92" t="str">
        <f>+IF(OR($T$444="",X444="",X444="NO"),"",L444)</f>
        <v/>
      </c>
      <c r="AF444" s="92" t="str">
        <f>+IF(AE444="","",L444/$S$444)</f>
        <v/>
      </c>
      <c r="AG444" s="174"/>
    </row>
    <row r="445" spans="1:34" s="27" customFormat="1" ht="12.75" x14ac:dyDescent="0.2">
      <c r="A445" s="27" t="str">
        <f t="shared" si="202"/>
        <v/>
      </c>
      <c r="B445" s="38"/>
      <c r="C445" s="39"/>
      <c r="D445" s="39"/>
      <c r="E445" s="46"/>
      <c r="F445" s="46"/>
      <c r="G445" s="39"/>
      <c r="H445" s="40"/>
      <c r="I445" s="41"/>
      <c r="J445" s="42"/>
      <c r="K445" s="43"/>
      <c r="L445" s="44">
        <f t="shared" si="203"/>
        <v>0</v>
      </c>
      <c r="M445" s="206"/>
      <c r="N445" s="206"/>
      <c r="O445" s="207" t="str">
        <f t="shared" si="204"/>
        <v/>
      </c>
      <c r="P445" s="206"/>
      <c r="Q445" s="206"/>
      <c r="R445" s="177">
        <f t="shared" si="205"/>
        <v>0</v>
      </c>
      <c r="S445" s="178" t="str">
        <f t="shared" si="206"/>
        <v/>
      </c>
      <c r="T445" s="208" t="str">
        <f t="shared" si="207"/>
        <v/>
      </c>
      <c r="U445" s="41"/>
      <c r="V445" s="45"/>
      <c r="X445" s="37" t="str">
        <f t="shared" si="200"/>
        <v/>
      </c>
      <c r="Z445" s="181"/>
      <c r="AB445" s="173"/>
      <c r="AD445" s="10" t="str">
        <f t="shared" si="201"/>
        <v/>
      </c>
      <c r="AE445" s="92" t="str">
        <f>+IF(OR($T$445="",X445="",X445="NO"),"",L445)</f>
        <v/>
      </c>
      <c r="AF445" s="92" t="str">
        <f>+IF(AE445="","",L445/$S$445)</f>
        <v/>
      </c>
      <c r="AG445" s="174"/>
    </row>
    <row r="446" spans="1:34" s="27" customFormat="1" ht="12.75" x14ac:dyDescent="0.2">
      <c r="A446" s="27" t="str">
        <f t="shared" si="202"/>
        <v/>
      </c>
      <c r="B446" s="38"/>
      <c r="C446" s="39"/>
      <c r="D446" s="39"/>
      <c r="E446" s="46"/>
      <c r="F446" s="46"/>
      <c r="G446" s="39"/>
      <c r="H446" s="40"/>
      <c r="I446" s="41"/>
      <c r="J446" s="42"/>
      <c r="K446" s="43"/>
      <c r="L446" s="44">
        <f t="shared" si="203"/>
        <v>0</v>
      </c>
      <c r="M446" s="206"/>
      <c r="N446" s="206"/>
      <c r="O446" s="207" t="str">
        <f t="shared" si="204"/>
        <v/>
      </c>
      <c r="P446" s="206"/>
      <c r="Q446" s="206"/>
      <c r="R446" s="177">
        <f t="shared" si="205"/>
        <v>0</v>
      </c>
      <c r="S446" s="178" t="str">
        <f t="shared" si="206"/>
        <v/>
      </c>
      <c r="T446" s="208" t="str">
        <f t="shared" si="207"/>
        <v/>
      </c>
      <c r="U446" s="41"/>
      <c r="V446" s="45"/>
      <c r="X446" s="37" t="str">
        <f t="shared" si="200"/>
        <v/>
      </c>
      <c r="Z446" s="181"/>
      <c r="AB446" s="173"/>
      <c r="AD446" s="10" t="str">
        <f t="shared" si="201"/>
        <v/>
      </c>
      <c r="AE446" s="92" t="str">
        <f>+IF(OR($T$446="",X446="",X446="NO"),"",L446)</f>
        <v/>
      </c>
      <c r="AF446" s="92" t="str">
        <f>+IF(AE446="","",L446/$S$446)</f>
        <v/>
      </c>
      <c r="AG446" s="174"/>
    </row>
    <row r="447" spans="1:34" s="27" customFormat="1" ht="13.5" thickBot="1" x14ac:dyDescent="0.25">
      <c r="A447" s="27" t="str">
        <f t="shared" si="202"/>
        <v/>
      </c>
      <c r="B447" s="47"/>
      <c r="C447" s="48"/>
      <c r="D447" s="48"/>
      <c r="E447" s="49"/>
      <c r="F447" s="49"/>
      <c r="G447" s="48"/>
      <c r="H447" s="50"/>
      <c r="I447" s="51"/>
      <c r="J447" s="14"/>
      <c r="K447" s="52"/>
      <c r="L447" s="53">
        <f t="shared" si="203"/>
        <v>0</v>
      </c>
      <c r="M447" s="211"/>
      <c r="N447" s="211"/>
      <c r="O447" s="212" t="str">
        <f t="shared" si="204"/>
        <v/>
      </c>
      <c r="P447" s="211"/>
      <c r="Q447" s="211"/>
      <c r="R447" s="184">
        <f t="shared" si="205"/>
        <v>0</v>
      </c>
      <c r="S447" s="185" t="str">
        <f t="shared" si="206"/>
        <v/>
      </c>
      <c r="T447" s="213" t="str">
        <f t="shared" si="207"/>
        <v/>
      </c>
      <c r="U447" s="51"/>
      <c r="V447" s="54"/>
      <c r="X447" s="55" t="str">
        <f t="shared" si="200"/>
        <v/>
      </c>
      <c r="Z447" s="187"/>
      <c r="AB447" s="188"/>
      <c r="AD447" s="10" t="str">
        <f t="shared" si="201"/>
        <v/>
      </c>
      <c r="AE447" s="92" t="str">
        <f>+IF(OR($T$447="",X447="",X447="NO"),"",L447)</f>
        <v/>
      </c>
      <c r="AF447" s="92" t="str">
        <f>+IF(AE447="","",L447/$S$447)</f>
        <v/>
      </c>
    </row>
    <row r="448" spans="1:34" ht="36" customHeight="1" x14ac:dyDescent="0.2">
      <c r="B448" s="57" t="str">
        <f>"A"&amp;B435</f>
        <v>A26</v>
      </c>
      <c r="C448" s="382" t="str">
        <f>+$C$23</f>
        <v>¿CADA INTEGRANTE DE PROPONENTE PLURAL APORTAN CONTRATO?  (SI; NO; NA)</v>
      </c>
      <c r="D448" s="383"/>
      <c r="E448" s="383"/>
      <c r="F448" s="383"/>
      <c r="G448" s="383"/>
      <c r="H448" s="384"/>
      <c r="I448" s="217" t="str">
        <f>+IF(AG435="","",IF(AG435=1,"NA",IF(AND(AG435=3,(IF(COUNTIFS(C438:C447,AH438,AE438:AE447,"&gt;0")&gt;=1,1,0)+IF(COUNTIFS(C438:C447,AH439,AE438:AE447,"&gt;0")&gt;=1,1,0)+IF(COUNTIFS(C438:C447,AH440,AE438:AE447,"&gt;0")&gt;=1,1,0))&gt;=AG435),"SI",IF(AND(AG435=2,(IF(COUNTIFS(C438:C447,AH438,AE438:AE447,"&gt;0")&gt;=1,1,0)+IF(COUNTIFS(C438:C447,AH439,AE438:AE447,"&gt;0")&gt;=1,1,0))&gt;=AG435),"SI","NO"))))</f>
        <v>SI</v>
      </c>
      <c r="J448" s="59"/>
      <c r="K448" s="27"/>
      <c r="L448" s="27"/>
      <c r="M448" s="27"/>
      <c r="N448" s="27"/>
      <c r="O448" s="27"/>
      <c r="P448" s="385" t="str">
        <f>+$P$23</f>
        <v>FACTURACION MENSUAL TOTAL</v>
      </c>
      <c r="Q448" s="386"/>
      <c r="R448" s="386"/>
      <c r="S448" s="386"/>
      <c r="T448" s="189">
        <f>ROUND(SUM(T438:T447),3)</f>
        <v>267.94</v>
      </c>
      <c r="U448" s="60"/>
      <c r="V448" s="1"/>
      <c r="W448" s="61"/>
      <c r="X448" s="61"/>
      <c r="Y448" s="61"/>
      <c r="Z448" s="61"/>
      <c r="AA448" s="61"/>
      <c r="AB448" s="61"/>
    </row>
    <row r="449" spans="1:34" ht="38.25" customHeight="1" thickBot="1" x14ac:dyDescent="0.25">
      <c r="B449" s="57" t="str">
        <f>"B"&amp;B435</f>
        <v>B26</v>
      </c>
      <c r="C449" s="387" t="str">
        <f>+C432</f>
        <v>En caso de proponente plural: ¿De la totalidad de los contratos aportados por el proponente plural, el valor ejecutado de uno de ellos deberá ser igual o superior al 30% del P.O.?  (SI; NO; NA)</v>
      </c>
      <c r="D449" s="388"/>
      <c r="E449" s="388"/>
      <c r="F449" s="388"/>
      <c r="G449" s="389"/>
      <c r="H449" s="190">
        <f>+$H$6</f>
        <v>268.14722506074827</v>
      </c>
      <c r="I449" s="191" t="str">
        <f>+IF(AG435="","",IF(AG435=1,"NA",IF(AND(AG435&gt;1,(COUNTIFS(AD438:AD447,"SI",AE438:AE447,"&gt;0"))&gt;=1),"SI","NO")))</f>
        <v>SI</v>
      </c>
      <c r="J449" s="192"/>
      <c r="K449" s="193"/>
      <c r="L449" s="194"/>
      <c r="M449" s="194"/>
      <c r="N449" s="194"/>
      <c r="O449" s="194"/>
      <c r="P449" s="387" t="str">
        <f>+$P$24</f>
        <v>PROMEDIO FACTURACIÓN MENSUAL DEL PROPONENTE (PFMP)</v>
      </c>
      <c r="Q449" s="388"/>
      <c r="R449" s="388"/>
      <c r="S449" s="388"/>
      <c r="T449" s="195">
        <f t="array" ref="T449">IF(T448=0,0,ROUND(T448/(SUM(IF(FREQUENCY(A438:A447,A438:A447)&gt;0,1))),3))</f>
        <v>133.97</v>
      </c>
      <c r="U449" s="214"/>
      <c r="V449" s="1"/>
      <c r="W449" s="61"/>
      <c r="X449" s="61"/>
      <c r="Y449" s="61"/>
      <c r="Z449" s="61"/>
      <c r="AA449" s="61"/>
      <c r="AB449" s="61"/>
    </row>
    <row r="450" spans="1:34" ht="21" customHeight="1" thickBot="1" x14ac:dyDescent="0.25">
      <c r="B450" s="197" t="str">
        <f>"C"&amp;B435</f>
        <v>C26</v>
      </c>
      <c r="C450" s="349" t="str">
        <f>+$C$25</f>
        <v>PROPONENTE CUMPLE CON LAS ACTIVIDADES a) y b)? (SI; NO)</v>
      </c>
      <c r="D450" s="350"/>
      <c r="E450" s="350"/>
      <c r="F450" s="350"/>
      <c r="G450" s="350"/>
      <c r="H450" s="351"/>
      <c r="I450" s="198" t="str">
        <f>IF(C435="","",(IF(AND(COUNTIFS(X438:X447,"SI",Z438:Z447,"SI")&gt;=$Z$8,COUNTIFS(X438:X447,"SI",AB438:AB447,"SI")&gt;=$Z$8),"SI","NO")))</f>
        <v>SI</v>
      </c>
      <c r="J450" s="199"/>
      <c r="K450" s="200"/>
      <c r="L450" s="200"/>
      <c r="M450" s="200"/>
      <c r="N450" s="200"/>
      <c r="P450" s="378" t="str">
        <f>+$P$25</f>
        <v>VALOR PUNTAJE POR EXPERIENCIA DEL PROPONENTE</v>
      </c>
      <c r="Q450" s="379"/>
      <c r="R450" s="379"/>
      <c r="S450" s="380"/>
      <c r="T450" s="201">
        <f>IF(OR(C435="",'ASIGNACION DE PUNTAJES'!$C$5=""),"",VLOOKUP(B435,'ASIGNACION DE PUNTAJES'!$A$15:$G$69,7,FALSE))</f>
        <v>689.82</v>
      </c>
      <c r="V450" s="202"/>
    </row>
    <row r="451" spans="1:34" ht="12" thickBot="1" x14ac:dyDescent="0.25"/>
    <row r="452" spans="1:34" ht="36.75" customHeight="1" thickBot="1" x14ac:dyDescent="0.25">
      <c r="B452" s="23">
        <f>1+B435</f>
        <v>27</v>
      </c>
      <c r="C452" s="336" t="s">
        <v>134</v>
      </c>
      <c r="D452" s="337"/>
      <c r="E452" s="337"/>
      <c r="F452" s="337"/>
      <c r="G452" s="337"/>
      <c r="H452" s="337"/>
      <c r="I452" s="338"/>
      <c r="J452" s="24" t="str">
        <f>+IF(C452="","","INTEGRANTES")</f>
        <v>INTEGRANTES</v>
      </c>
      <c r="K452" s="339" t="s">
        <v>923</v>
      </c>
      <c r="L452" s="339"/>
      <c r="M452" s="339"/>
      <c r="N452" s="339"/>
      <c r="O452" s="339"/>
      <c r="P452" s="339"/>
      <c r="Q452" s="339"/>
      <c r="R452" s="396" t="str">
        <f>+$R$10</f>
        <v>PROPONENTE No.</v>
      </c>
      <c r="S452" s="397"/>
      <c r="T452" s="25">
        <f>+B452</f>
        <v>27</v>
      </c>
      <c r="U452" s="161" t="str">
        <f>+$U$10</f>
        <v>PFMP</v>
      </c>
      <c r="V452" s="162">
        <f>IF(T466="",0,T466)</f>
        <v>0</v>
      </c>
      <c r="X452" s="325" t="s">
        <v>168</v>
      </c>
      <c r="Z452" s="163" t="str">
        <f>+$Z$10</f>
        <v>EXP. ESPECÍFICA 
A:</v>
      </c>
      <c r="AB452" s="163" t="str">
        <f>+$AB$10</f>
        <v>EXP. ESPECÍFICA 
B:</v>
      </c>
      <c r="AG452" s="1">
        <v>2</v>
      </c>
    </row>
    <row r="453" spans="1:34" ht="42" customHeight="1" x14ac:dyDescent="0.2">
      <c r="B453" s="331" t="str">
        <f>+$B$11</f>
        <v>ITEM</v>
      </c>
      <c r="C453" s="318" t="str">
        <f>+$C$11</f>
        <v>PROPONENTE 
/ 
INTEGRANTE OFERENTE PLURAL</v>
      </c>
      <c r="D453" s="333" t="str">
        <f>+$D$11</f>
        <v>INFORMACIÓN DEL CONTRATO</v>
      </c>
      <c r="E453" s="334"/>
      <c r="F453" s="334"/>
      <c r="G453" s="335"/>
      <c r="H453" s="318" t="str">
        <f>+H436</f>
        <v>CONSECUTIVO RUP</v>
      </c>
      <c r="I453" s="318" t="str">
        <f>+$I$11</f>
        <v>¿SE ENCUENTRA INSCRITO EN EL RUP Y CUMPLE CÓDIGOS UNSPSC?</v>
      </c>
      <c r="J453" s="318" t="str">
        <f>+$J$11</f>
        <v xml:space="preserve">VALOR EN RUP (SMMLV) </v>
      </c>
      <c r="K453" s="318" t="str">
        <f>+$K$11</f>
        <v>% PARTIC en el RUP</v>
      </c>
      <c r="L453" s="318" t="str">
        <f>+$L$11</f>
        <v>VALOR DEL CONTRATO TERMINADO (SMMLV) en el   RUP</v>
      </c>
      <c r="M453" s="318" t="str">
        <f>+$M$11</f>
        <v>FECHA DE INICIO</v>
      </c>
      <c r="N453" s="318" t="str">
        <f>+$N$11</f>
        <v>FECHA DE TERMINACION</v>
      </c>
      <c r="O453" s="318" t="str">
        <f>+$O$11</f>
        <v>PLAZO CONTRA-TO (Meses)</v>
      </c>
      <c r="P453" s="390" t="str">
        <f>+$P$11</f>
        <v>Tsusp i</v>
      </c>
      <c r="Q453" s="391"/>
      <c r="R453" s="392"/>
      <c r="S453" s="318" t="str">
        <f>+$S$11</f>
        <v>PLAZO i REAL</v>
      </c>
      <c r="T453" s="318" t="str">
        <f>+$T$11</f>
        <v>FACTURA-CION MENSUAL PROPO-NENTE</v>
      </c>
      <c r="U453" s="318" t="str">
        <f>+$U$11</f>
        <v>VALIDACIÓN DE LA EXPERIENCIA GENERAL
(SI/NO)</v>
      </c>
      <c r="V453" s="393" t="str">
        <f>+$V$11</f>
        <v>OBSERVACIONES</v>
      </c>
      <c r="X453" s="326"/>
      <c r="Z453" s="381" t="str">
        <f>+$Z$11</f>
        <v>Interventoria a la ejecución de obras relacionadas con Colocación de capas granulares (tales como bases y/o sub-bases granulares).</v>
      </c>
      <c r="AB453" s="381" t="str">
        <f>+$AB$11</f>
        <v>Interventoria a la Ejecución de obras de subdrenaje y/o drenaje, en carreteras.</v>
      </c>
    </row>
    <row r="454" spans="1:34" ht="38.25" customHeight="1" thickBot="1" x14ac:dyDescent="0.25">
      <c r="B454" s="395"/>
      <c r="C454" s="348"/>
      <c r="D454" s="165" t="str">
        <f>+$D$12</f>
        <v>ENTIDAD</v>
      </c>
      <c r="E454" s="165" t="str">
        <f>+$E$12</f>
        <v>No. DE CONTRATO</v>
      </c>
      <c r="F454" s="165" t="str">
        <f>+$F$12</f>
        <v>OBJETO</v>
      </c>
      <c r="G454" s="165" t="str">
        <f>+$G$12</f>
        <v>CONTRATISTA</v>
      </c>
      <c r="H454" s="348"/>
      <c r="I454" s="348"/>
      <c r="J454" s="348"/>
      <c r="K454" s="348"/>
      <c r="L454" s="348"/>
      <c r="M454" s="348"/>
      <c r="N454" s="348"/>
      <c r="O454" s="348"/>
      <c r="P454" s="166" t="str">
        <f>+P437</f>
        <v>Finicsuspi</v>
      </c>
      <c r="Q454" s="166" t="str">
        <f>+Q437</f>
        <v xml:space="preserve"> Ftermsuspi </v>
      </c>
      <c r="R454" s="166" t="str">
        <f>+R437</f>
        <v>Tsusp i (meses)</v>
      </c>
      <c r="S454" s="348"/>
      <c r="T454" s="348"/>
      <c r="U454" s="348"/>
      <c r="V454" s="394"/>
      <c r="X454" s="327"/>
      <c r="Z454" s="381"/>
      <c r="AB454" s="381"/>
    </row>
    <row r="455" spans="1:34" s="27" customFormat="1" ht="108.75" customHeight="1" x14ac:dyDescent="0.2">
      <c r="A455" s="27" t="str">
        <f>+IF(T455="","",B455)</f>
        <v/>
      </c>
      <c r="B455" s="28">
        <v>1</v>
      </c>
      <c r="C455" s="86" t="s">
        <v>435</v>
      </c>
      <c r="D455" s="86" t="s">
        <v>436</v>
      </c>
      <c r="E455" s="87" t="s">
        <v>437</v>
      </c>
      <c r="F455" s="87" t="s">
        <v>438</v>
      </c>
      <c r="G455" s="86" t="s">
        <v>439</v>
      </c>
      <c r="H455" s="30">
        <v>13</v>
      </c>
      <c r="I455" s="31" t="s">
        <v>16</v>
      </c>
      <c r="J455" s="32">
        <v>457.43</v>
      </c>
      <c r="K455" s="33">
        <v>0.26</v>
      </c>
      <c r="L455" s="34">
        <f>IF(OR(H455="",I455&lt;&gt;"SI",I455="NO",J455="",J455=0,K455="",K455=0,X455&lt;&gt;"SI"),0,J455*K455)</f>
        <v>0</v>
      </c>
      <c r="M455" s="204">
        <v>42381</v>
      </c>
      <c r="N455" s="204">
        <v>42578</v>
      </c>
      <c r="O455" s="169">
        <f>IF(OR(H455="",I455&lt;&gt;"SI",I455="NO",J455="",J455=0,K455="",K455=0,,M455="",N455=""),"",ROUND((((N455-M455)+1)/30),3))</f>
        <v>6.6</v>
      </c>
      <c r="P455" s="204"/>
      <c r="Q455" s="204"/>
      <c r="R455" s="170">
        <f>IF(OR((Q455-P455)=0,P455="",Q455=""),0,(ROUND((((Q455-P455)+1)/30),3)))</f>
        <v>0</v>
      </c>
      <c r="S455" s="171">
        <f>IF(O455="","",ROUND(SUM(O455)-SUM(R455),3))</f>
        <v>6.6</v>
      </c>
      <c r="T455" s="172" t="str">
        <f>+IF(C455="","",IF(OR(S455="",S455&lt;=0,I455="",I455="NO",U455="",U455="NO",X455="NO"),"",ROUND(SUM(L455)/S455,3)))</f>
        <v/>
      </c>
      <c r="U455" s="35" t="s">
        <v>211</v>
      </c>
      <c r="V455" s="36" t="s">
        <v>440</v>
      </c>
      <c r="W455" s="205"/>
      <c r="X455" s="37" t="str">
        <f t="shared" ref="X455:X464" si="208">+IF(C455="","",IF(AND(H455&lt;&gt;"",I455="SI",J455&lt;&gt;"",J455&gt;0,K455&lt;&gt;"",K455&gt;0,S455&lt;&gt;"",S455&gt;0,U455="SI"),"SI","NO"))</f>
        <v>NO</v>
      </c>
      <c r="Z455" s="173" t="s">
        <v>211</v>
      </c>
      <c r="AB455" s="173" t="s">
        <v>211</v>
      </c>
      <c r="AD455" s="10" t="str">
        <f t="shared" ref="AD455:AD464" si="209">+IF($C$452="","",IF(C455="","",IF(L455&gt;=$H$6,"SI","NO")))</f>
        <v>NO</v>
      </c>
      <c r="AE455" s="92" t="str">
        <f>+IF(OR($T$455="",X455="",X455="NO"),"",L455)</f>
        <v/>
      </c>
      <c r="AF455" s="92" t="str">
        <f>+IF(AE455="","",L455/$S$455)</f>
        <v/>
      </c>
      <c r="AG455" s="174">
        <f>0.1+B452</f>
        <v>27.1</v>
      </c>
      <c r="AH455" s="27" t="s">
        <v>435</v>
      </c>
    </row>
    <row r="456" spans="1:34" s="27" customFormat="1" ht="211.5" customHeight="1" x14ac:dyDescent="0.2">
      <c r="A456" s="27" t="str">
        <f t="shared" ref="A456:A464" si="210">+IF(T456="","",B456)</f>
        <v/>
      </c>
      <c r="B456" s="38">
        <v>2</v>
      </c>
      <c r="C456" s="39" t="s">
        <v>441</v>
      </c>
      <c r="D456" s="39" t="s">
        <v>442</v>
      </c>
      <c r="E456" s="46" t="s">
        <v>443</v>
      </c>
      <c r="F456" s="46" t="s">
        <v>444</v>
      </c>
      <c r="G456" s="39" t="s">
        <v>445</v>
      </c>
      <c r="H456" s="40">
        <v>172</v>
      </c>
      <c r="I456" s="41" t="s">
        <v>16</v>
      </c>
      <c r="J456" s="42">
        <v>966.61</v>
      </c>
      <c r="K456" s="43">
        <v>1</v>
      </c>
      <c r="L456" s="44">
        <f t="shared" ref="L456:L464" si="211">IF(OR(H456="",I456&lt;&gt;"SI",I456="NO",J456="",J456=0,K456="",K456=0,X456&lt;&gt;"SI"),0,J456*K456)</f>
        <v>0</v>
      </c>
      <c r="M456" s="206">
        <v>37291</v>
      </c>
      <c r="N456" s="206">
        <v>37406</v>
      </c>
      <c r="O456" s="207">
        <f t="shared" ref="O456:O464" si="212">IF(OR(H456="",I456&lt;&gt;"SI",I456="NO",J456="",J456=0,K456="",K456=0,,M456="",N456=""),"",ROUND((((N456-M456)+1)/30),3))</f>
        <v>3.867</v>
      </c>
      <c r="P456" s="206"/>
      <c r="Q456" s="206"/>
      <c r="R456" s="177">
        <f t="shared" ref="R456:R464" si="213">IF(OR((Q456-P456)=0,P456="",Q456=""),0,(ROUND((((Q456-P456)+1)/30),3)))</f>
        <v>0</v>
      </c>
      <c r="S456" s="178">
        <f t="shared" ref="S456:S464" si="214">IF(O456="","",ROUND(SUM(O456)-SUM(R456),3))</f>
        <v>3.867</v>
      </c>
      <c r="T456" s="208" t="str">
        <f t="shared" ref="T456:T464" si="215">+IF(C456="","",IF(OR(S456="",S456&lt;=0,I456="",I456="NO",U456="",U456="NO",X456="NO"),"",ROUND(SUM(L456)/S456,3)))</f>
        <v/>
      </c>
      <c r="U456" s="41" t="s">
        <v>211</v>
      </c>
      <c r="V456" s="221" t="s">
        <v>446</v>
      </c>
      <c r="W456" s="205"/>
      <c r="X456" s="37" t="str">
        <f t="shared" si="208"/>
        <v>NO</v>
      </c>
      <c r="Z456" s="173" t="s">
        <v>211</v>
      </c>
      <c r="AB456" s="173" t="s">
        <v>211</v>
      </c>
      <c r="AD456" s="10" t="str">
        <f t="shared" si="209"/>
        <v>NO</v>
      </c>
      <c r="AE456" s="92" t="str">
        <f>+IF(OR($T$456="",X456="",X456="NO"),"",L456)</f>
        <v/>
      </c>
      <c r="AF456" s="92" t="str">
        <f>+IF(AE456="","",L456/$S$456)</f>
        <v/>
      </c>
      <c r="AG456" s="174">
        <f>0.2+B452</f>
        <v>27.2</v>
      </c>
      <c r="AH456" s="27" t="s">
        <v>441</v>
      </c>
    </row>
    <row r="457" spans="1:34" s="27" customFormat="1" ht="12.75" x14ac:dyDescent="0.2">
      <c r="A457" s="27" t="str">
        <f t="shared" si="210"/>
        <v/>
      </c>
      <c r="B457" s="38"/>
      <c r="C457" s="39"/>
      <c r="D457" s="39"/>
      <c r="E457" s="46"/>
      <c r="F457" s="46"/>
      <c r="G457" s="39"/>
      <c r="H457" s="40"/>
      <c r="I457" s="41"/>
      <c r="J457" s="42"/>
      <c r="K457" s="43"/>
      <c r="L457" s="44">
        <f t="shared" si="211"/>
        <v>0</v>
      </c>
      <c r="M457" s="206"/>
      <c r="N457" s="206"/>
      <c r="O457" s="207" t="str">
        <f t="shared" si="212"/>
        <v/>
      </c>
      <c r="P457" s="206"/>
      <c r="Q457" s="206"/>
      <c r="R457" s="177">
        <f t="shared" si="213"/>
        <v>0</v>
      </c>
      <c r="S457" s="178" t="str">
        <f t="shared" si="214"/>
        <v/>
      </c>
      <c r="T457" s="208" t="str">
        <f t="shared" si="215"/>
        <v/>
      </c>
      <c r="U457" s="41"/>
      <c r="V457" s="45"/>
      <c r="W457" s="205"/>
      <c r="X457" s="37" t="str">
        <f t="shared" si="208"/>
        <v/>
      </c>
      <c r="Z457" s="173"/>
      <c r="AB457" s="173"/>
      <c r="AD457" s="10" t="str">
        <f t="shared" si="209"/>
        <v/>
      </c>
      <c r="AE457" s="92" t="str">
        <f>+IF(OR($T$457="",X457="",X457="NO"),"",L457)</f>
        <v/>
      </c>
      <c r="AF457" s="92" t="str">
        <f>+IF(AE457="","",L457/$S$457)</f>
        <v/>
      </c>
      <c r="AG457" s="174">
        <f>0.3+B452</f>
        <v>27.3</v>
      </c>
      <c r="AH457" s="27" t="s">
        <v>932</v>
      </c>
    </row>
    <row r="458" spans="1:34" s="27" customFormat="1" ht="12.75" x14ac:dyDescent="0.2">
      <c r="A458" s="27" t="str">
        <f t="shared" si="210"/>
        <v/>
      </c>
      <c r="B458" s="38"/>
      <c r="C458" s="39"/>
      <c r="D458" s="39"/>
      <c r="E458" s="46"/>
      <c r="F458" s="46"/>
      <c r="G458" s="39"/>
      <c r="H458" s="40"/>
      <c r="I458" s="41"/>
      <c r="J458" s="42"/>
      <c r="K458" s="43"/>
      <c r="L458" s="44">
        <f t="shared" si="211"/>
        <v>0</v>
      </c>
      <c r="M458" s="206"/>
      <c r="N458" s="206"/>
      <c r="O458" s="207" t="str">
        <f t="shared" si="212"/>
        <v/>
      </c>
      <c r="P458" s="206"/>
      <c r="Q458" s="206"/>
      <c r="R458" s="177">
        <f t="shared" si="213"/>
        <v>0</v>
      </c>
      <c r="S458" s="178" t="str">
        <f t="shared" si="214"/>
        <v/>
      </c>
      <c r="T458" s="208" t="str">
        <f t="shared" si="215"/>
        <v/>
      </c>
      <c r="U458" s="41"/>
      <c r="V458" s="45"/>
      <c r="W458" s="210"/>
      <c r="X458" s="37" t="str">
        <f t="shared" si="208"/>
        <v/>
      </c>
      <c r="Z458" s="180"/>
      <c r="AB458" s="173"/>
      <c r="AD458" s="10" t="str">
        <f t="shared" si="209"/>
        <v/>
      </c>
      <c r="AE458" s="92" t="str">
        <f>+IF(OR($T$458="",X458="",X458="NO"),"",L458)</f>
        <v/>
      </c>
      <c r="AF458" s="92" t="str">
        <f>+IF(AE458="","",L458/$S$458)</f>
        <v/>
      </c>
      <c r="AG458" s="174"/>
    </row>
    <row r="459" spans="1:34" s="27" customFormat="1" ht="12.75" x14ac:dyDescent="0.2">
      <c r="A459" s="27" t="str">
        <f t="shared" si="210"/>
        <v/>
      </c>
      <c r="B459" s="38"/>
      <c r="C459" s="39"/>
      <c r="D459" s="39"/>
      <c r="E459" s="46"/>
      <c r="F459" s="46"/>
      <c r="G459" s="39"/>
      <c r="H459" s="40"/>
      <c r="I459" s="41"/>
      <c r="J459" s="42"/>
      <c r="K459" s="43"/>
      <c r="L459" s="44">
        <f t="shared" si="211"/>
        <v>0</v>
      </c>
      <c r="M459" s="206"/>
      <c r="N459" s="206"/>
      <c r="O459" s="207" t="str">
        <f t="shared" si="212"/>
        <v/>
      </c>
      <c r="P459" s="206"/>
      <c r="Q459" s="206"/>
      <c r="R459" s="177">
        <f t="shared" si="213"/>
        <v>0</v>
      </c>
      <c r="S459" s="178" t="str">
        <f t="shared" si="214"/>
        <v/>
      </c>
      <c r="T459" s="208" t="str">
        <f t="shared" si="215"/>
        <v/>
      </c>
      <c r="U459" s="41"/>
      <c r="V459" s="45"/>
      <c r="X459" s="37" t="str">
        <f t="shared" si="208"/>
        <v/>
      </c>
      <c r="Z459" s="181"/>
      <c r="AB459" s="173"/>
      <c r="AD459" s="10" t="str">
        <f t="shared" si="209"/>
        <v/>
      </c>
      <c r="AE459" s="92" t="str">
        <f>+IF(OR($T$459="",X459="",X459="NO"),"",L459)</f>
        <v/>
      </c>
      <c r="AF459" s="92" t="str">
        <f>+IF(AE459="","",L459/$S$459)</f>
        <v/>
      </c>
      <c r="AG459" s="174"/>
    </row>
    <row r="460" spans="1:34" s="27" customFormat="1" ht="12.75" x14ac:dyDescent="0.2">
      <c r="A460" s="27" t="str">
        <f t="shared" si="210"/>
        <v/>
      </c>
      <c r="B460" s="38"/>
      <c r="C460" s="39"/>
      <c r="D460" s="39"/>
      <c r="E460" s="46"/>
      <c r="F460" s="46"/>
      <c r="G460" s="39"/>
      <c r="H460" s="40"/>
      <c r="I460" s="41"/>
      <c r="J460" s="42"/>
      <c r="K460" s="43"/>
      <c r="L460" s="44">
        <f t="shared" si="211"/>
        <v>0</v>
      </c>
      <c r="M460" s="206"/>
      <c r="N460" s="206"/>
      <c r="O460" s="207" t="str">
        <f t="shared" si="212"/>
        <v/>
      </c>
      <c r="P460" s="206"/>
      <c r="Q460" s="206"/>
      <c r="R460" s="177">
        <f t="shared" si="213"/>
        <v>0</v>
      </c>
      <c r="S460" s="178" t="str">
        <f t="shared" si="214"/>
        <v/>
      </c>
      <c r="T460" s="208" t="str">
        <f t="shared" si="215"/>
        <v/>
      </c>
      <c r="U460" s="41"/>
      <c r="V460" s="45"/>
      <c r="X460" s="37" t="str">
        <f t="shared" si="208"/>
        <v/>
      </c>
      <c r="Z460" s="181"/>
      <c r="AB460" s="173"/>
      <c r="AD460" s="10" t="str">
        <f t="shared" si="209"/>
        <v/>
      </c>
      <c r="AE460" s="92" t="str">
        <f>+IF(OR($T$460="",X460="",X460="NO"),"",L460)</f>
        <v/>
      </c>
      <c r="AF460" s="92" t="str">
        <f>+IF(AE460="","",L460/$S$460)</f>
        <v/>
      </c>
      <c r="AG460" s="174"/>
    </row>
    <row r="461" spans="1:34" s="27" customFormat="1" ht="12.75" x14ac:dyDescent="0.2">
      <c r="A461" s="27" t="str">
        <f t="shared" si="210"/>
        <v/>
      </c>
      <c r="B461" s="38"/>
      <c r="C461" s="39"/>
      <c r="D461" s="39"/>
      <c r="E461" s="46"/>
      <c r="F461" s="46"/>
      <c r="G461" s="39"/>
      <c r="H461" s="40"/>
      <c r="I461" s="41"/>
      <c r="J461" s="42"/>
      <c r="K461" s="43"/>
      <c r="L461" s="44">
        <f t="shared" si="211"/>
        <v>0</v>
      </c>
      <c r="M461" s="206"/>
      <c r="N461" s="206"/>
      <c r="O461" s="207" t="str">
        <f t="shared" si="212"/>
        <v/>
      </c>
      <c r="P461" s="206"/>
      <c r="Q461" s="206"/>
      <c r="R461" s="177">
        <f t="shared" si="213"/>
        <v>0</v>
      </c>
      <c r="S461" s="178" t="str">
        <f t="shared" si="214"/>
        <v/>
      </c>
      <c r="T461" s="208" t="str">
        <f t="shared" si="215"/>
        <v/>
      </c>
      <c r="U461" s="41"/>
      <c r="V461" s="45"/>
      <c r="X461" s="37" t="str">
        <f t="shared" si="208"/>
        <v/>
      </c>
      <c r="Z461" s="181"/>
      <c r="AB461" s="173"/>
      <c r="AD461" s="10" t="str">
        <f t="shared" si="209"/>
        <v/>
      </c>
      <c r="AE461" s="92" t="str">
        <f>+IF(OR($T$461="",X461="",X461="NO"),"",L461)</f>
        <v/>
      </c>
      <c r="AF461" s="92" t="str">
        <f>+IF(AE461="","",L461/$S$461)</f>
        <v/>
      </c>
      <c r="AG461" s="174"/>
    </row>
    <row r="462" spans="1:34" s="27" customFormat="1" ht="12.75" x14ac:dyDescent="0.2">
      <c r="A462" s="27" t="str">
        <f t="shared" si="210"/>
        <v/>
      </c>
      <c r="B462" s="38"/>
      <c r="C462" s="39"/>
      <c r="D462" s="39"/>
      <c r="E462" s="46"/>
      <c r="F462" s="46"/>
      <c r="G462" s="39"/>
      <c r="H462" s="40"/>
      <c r="I462" s="41"/>
      <c r="J462" s="42"/>
      <c r="K462" s="43"/>
      <c r="L462" s="44">
        <f t="shared" si="211"/>
        <v>0</v>
      </c>
      <c r="M462" s="206"/>
      <c r="N462" s="206"/>
      <c r="O462" s="207" t="str">
        <f t="shared" si="212"/>
        <v/>
      </c>
      <c r="P462" s="206"/>
      <c r="Q462" s="206"/>
      <c r="R462" s="177">
        <f t="shared" si="213"/>
        <v>0</v>
      </c>
      <c r="S462" s="178" t="str">
        <f t="shared" si="214"/>
        <v/>
      </c>
      <c r="T462" s="208" t="str">
        <f t="shared" si="215"/>
        <v/>
      </c>
      <c r="U462" s="41"/>
      <c r="V462" s="45"/>
      <c r="X462" s="37" t="str">
        <f t="shared" si="208"/>
        <v/>
      </c>
      <c r="Z462" s="181"/>
      <c r="AB462" s="173"/>
      <c r="AD462" s="10" t="str">
        <f t="shared" si="209"/>
        <v/>
      </c>
      <c r="AE462" s="92" t="str">
        <f>+IF(OR($T$462="",X462="",X462="NO"),"",L462)</f>
        <v/>
      </c>
      <c r="AF462" s="92" t="str">
        <f>+IF(AE462="","",L462/$S$462)</f>
        <v/>
      </c>
      <c r="AG462" s="174"/>
    </row>
    <row r="463" spans="1:34" s="27" customFormat="1" ht="12.75" x14ac:dyDescent="0.2">
      <c r="A463" s="27" t="str">
        <f t="shared" si="210"/>
        <v/>
      </c>
      <c r="B463" s="38"/>
      <c r="C463" s="39"/>
      <c r="D463" s="39"/>
      <c r="E463" s="46"/>
      <c r="F463" s="46"/>
      <c r="G463" s="39"/>
      <c r="H463" s="40"/>
      <c r="I463" s="41"/>
      <c r="J463" s="42"/>
      <c r="K463" s="43"/>
      <c r="L463" s="44">
        <f t="shared" si="211"/>
        <v>0</v>
      </c>
      <c r="M463" s="206"/>
      <c r="N463" s="206"/>
      <c r="O463" s="207" t="str">
        <f t="shared" si="212"/>
        <v/>
      </c>
      <c r="P463" s="206"/>
      <c r="Q463" s="206"/>
      <c r="R463" s="177">
        <f t="shared" si="213"/>
        <v>0</v>
      </c>
      <c r="S463" s="178" t="str">
        <f t="shared" si="214"/>
        <v/>
      </c>
      <c r="T463" s="208" t="str">
        <f t="shared" si="215"/>
        <v/>
      </c>
      <c r="U463" s="41"/>
      <c r="V463" s="45"/>
      <c r="X463" s="37" t="str">
        <f t="shared" si="208"/>
        <v/>
      </c>
      <c r="Z463" s="181"/>
      <c r="AB463" s="173"/>
      <c r="AD463" s="10" t="str">
        <f t="shared" si="209"/>
        <v/>
      </c>
      <c r="AE463" s="92" t="str">
        <f>+IF(OR($T$463="",X463="",X463="NO"),"",L463)</f>
        <v/>
      </c>
      <c r="AF463" s="92" t="str">
        <f>+IF(AE463="","",L463/$S$463)</f>
        <v/>
      </c>
      <c r="AG463" s="174"/>
    </row>
    <row r="464" spans="1:34" s="27" customFormat="1" ht="13.5" thickBot="1" x14ac:dyDescent="0.25">
      <c r="A464" s="27" t="str">
        <f t="shared" si="210"/>
        <v/>
      </c>
      <c r="B464" s="47"/>
      <c r="C464" s="48"/>
      <c r="D464" s="48"/>
      <c r="E464" s="49"/>
      <c r="F464" s="49"/>
      <c r="G464" s="48"/>
      <c r="H464" s="50"/>
      <c r="I464" s="51"/>
      <c r="J464" s="14"/>
      <c r="K464" s="52"/>
      <c r="L464" s="53">
        <f t="shared" si="211"/>
        <v>0</v>
      </c>
      <c r="M464" s="211"/>
      <c r="N464" s="211"/>
      <c r="O464" s="212" t="str">
        <f t="shared" si="212"/>
        <v/>
      </c>
      <c r="P464" s="211"/>
      <c r="Q464" s="211"/>
      <c r="R464" s="184">
        <f t="shared" si="213"/>
        <v>0</v>
      </c>
      <c r="S464" s="185" t="str">
        <f t="shared" si="214"/>
        <v/>
      </c>
      <c r="T464" s="213" t="str">
        <f t="shared" si="215"/>
        <v/>
      </c>
      <c r="U464" s="51"/>
      <c r="V464" s="54"/>
      <c r="X464" s="55" t="str">
        <f t="shared" si="208"/>
        <v/>
      </c>
      <c r="Z464" s="187"/>
      <c r="AB464" s="188"/>
      <c r="AD464" s="10" t="str">
        <f t="shared" si="209"/>
        <v/>
      </c>
      <c r="AE464" s="92" t="str">
        <f>+IF(OR($T$464="",X464="",X464="NO"),"",L464)</f>
        <v/>
      </c>
      <c r="AF464" s="92" t="str">
        <f>+IF(AE464="","",L464/$S$464)</f>
        <v/>
      </c>
    </row>
    <row r="465" spans="1:34" ht="36" customHeight="1" x14ac:dyDescent="0.2">
      <c r="B465" s="57" t="str">
        <f>"A"&amp;B452</f>
        <v>A27</v>
      </c>
      <c r="C465" s="382" t="str">
        <f>+$C$23</f>
        <v>¿CADA INTEGRANTE DE PROPONENTE PLURAL APORTAN CONTRATO?  (SI; NO; NA)</v>
      </c>
      <c r="D465" s="383"/>
      <c r="E465" s="383"/>
      <c r="F465" s="383"/>
      <c r="G465" s="383"/>
      <c r="H465" s="384"/>
      <c r="I465" s="217" t="str">
        <f>+IF(AG452="","",IF(AG452=1,"NA",IF(AND(AG452=3,(IF(COUNTIFS(C455:C464,AH455,AE455:AE464,"&gt;0")&gt;=1,1,0)+IF(COUNTIFS(C455:C464,AH456,AE455:AE464,"&gt;0")&gt;=1,1,0)+IF(COUNTIFS(C455:C464,AH457,AE455:AE464,"&gt;0")&gt;=1,1,0))&gt;=AG452),"SI",IF(AND(AG452=2,(IF(COUNTIFS(C455:C464,AH455,AE455:AE464,"&gt;0")&gt;=1,1,0)+IF(COUNTIFS(C455:C464,AH456,AE455:AE464,"&gt;0")&gt;=1,1,0))&gt;=AG452),"SI","NO"))))</f>
        <v>NO</v>
      </c>
      <c r="J465" s="59"/>
      <c r="K465" s="27"/>
      <c r="L465" s="27"/>
      <c r="M465" s="27"/>
      <c r="N465" s="27"/>
      <c r="O465" s="27"/>
      <c r="P465" s="385" t="str">
        <f>+$P$23</f>
        <v>FACTURACION MENSUAL TOTAL</v>
      </c>
      <c r="Q465" s="386"/>
      <c r="R465" s="386"/>
      <c r="S465" s="386"/>
      <c r="T465" s="189">
        <f>ROUND(SUM(T455:T464),3)</f>
        <v>0</v>
      </c>
      <c r="U465" s="60"/>
      <c r="V465" s="1"/>
      <c r="W465" s="61"/>
      <c r="X465" s="61"/>
      <c r="Y465" s="61"/>
      <c r="Z465" s="61"/>
      <c r="AA465" s="61"/>
      <c r="AB465" s="61"/>
    </row>
    <row r="466" spans="1:34" ht="38.25" customHeight="1" thickBot="1" x14ac:dyDescent="0.25">
      <c r="B466" s="57" t="str">
        <f>"B"&amp;B452</f>
        <v>B27</v>
      </c>
      <c r="C466" s="387" t="str">
        <f>+C449</f>
        <v>En caso de proponente plural: ¿De la totalidad de los contratos aportados por el proponente plural, el valor ejecutado de uno de ellos deberá ser igual o superior al 30% del P.O.?  (SI; NO; NA)</v>
      </c>
      <c r="D466" s="388"/>
      <c r="E466" s="388"/>
      <c r="F466" s="388"/>
      <c r="G466" s="389"/>
      <c r="H466" s="190">
        <f>+$H$6</f>
        <v>268.14722506074827</v>
      </c>
      <c r="I466" s="191" t="str">
        <f>+IF(AG452="","",IF(AG452=1,"NA",IF(AND(AG452&gt;1,(COUNTIFS(AD455:AD464,"SI",AE455:AE464,"&gt;0"))&gt;=1),"SI","NO")))</f>
        <v>NO</v>
      </c>
      <c r="J466" s="192"/>
      <c r="K466" s="193"/>
      <c r="L466" s="194"/>
      <c r="M466" s="194"/>
      <c r="N466" s="194"/>
      <c r="O466" s="194"/>
      <c r="P466" s="387" t="str">
        <f>+$P$24</f>
        <v>PROMEDIO FACTURACIÓN MENSUAL DEL PROPONENTE (PFMP)</v>
      </c>
      <c r="Q466" s="388"/>
      <c r="R466" s="388"/>
      <c r="S466" s="388"/>
      <c r="T466" s="195">
        <f t="array" ref="T466">IF(T465=0,0,ROUND(T465/(SUM(IF(FREQUENCY(A455:A464,A455:A464)&gt;0,1))),3))</f>
        <v>0</v>
      </c>
      <c r="U466" s="214"/>
      <c r="V466" s="1"/>
      <c r="W466" s="61"/>
      <c r="X466" s="61"/>
      <c r="Y466" s="61"/>
      <c r="Z466" s="61"/>
      <c r="AA466" s="61"/>
      <c r="AB466" s="61"/>
    </row>
    <row r="467" spans="1:34" ht="21" customHeight="1" thickBot="1" x14ac:dyDescent="0.25">
      <c r="B467" s="197" t="str">
        <f>"C"&amp;B452</f>
        <v>C27</v>
      </c>
      <c r="C467" s="349" t="str">
        <f>+$C$25</f>
        <v>PROPONENTE CUMPLE CON LAS ACTIVIDADES a) y b)? (SI; NO)</v>
      </c>
      <c r="D467" s="350"/>
      <c r="E467" s="350"/>
      <c r="F467" s="350"/>
      <c r="G467" s="350"/>
      <c r="H467" s="351"/>
      <c r="I467" s="198" t="str">
        <f>IF(C452="","",(IF(AND(COUNTIFS(X455:X464,"SI",Z455:Z464,"SI")&gt;=$Z$8,COUNTIFS(X455:X464,"SI",AB455:AB464,"SI")&gt;=$Z$8),"SI","NO")))</f>
        <v>NO</v>
      </c>
      <c r="J467" s="199"/>
      <c r="K467" s="200"/>
      <c r="L467" s="200"/>
      <c r="M467" s="200"/>
      <c r="N467" s="200"/>
      <c r="P467" s="378" t="str">
        <f>+$P$25</f>
        <v>VALOR PUNTAJE POR EXPERIENCIA DEL PROPONENTE</v>
      </c>
      <c r="Q467" s="379"/>
      <c r="R467" s="379"/>
      <c r="S467" s="380"/>
      <c r="T467" s="201" t="str">
        <f>IF(OR(C452="",'ASIGNACION DE PUNTAJES'!$C$5=""),"",VLOOKUP(B452,'ASIGNACION DE PUNTAJES'!$A$15:$G$69,7,FALSE))</f>
        <v/>
      </c>
      <c r="V467" s="202"/>
    </row>
    <row r="468" spans="1:34" ht="12" thickBot="1" x14ac:dyDescent="0.25"/>
    <row r="469" spans="1:34" ht="36.75" customHeight="1" thickBot="1" x14ac:dyDescent="0.25">
      <c r="B469" s="23">
        <f>1+B452</f>
        <v>28</v>
      </c>
      <c r="C469" s="336" t="s">
        <v>924</v>
      </c>
      <c r="D469" s="337"/>
      <c r="E469" s="337"/>
      <c r="F469" s="337"/>
      <c r="G469" s="337"/>
      <c r="H469" s="337"/>
      <c r="I469" s="338"/>
      <c r="J469" s="24" t="str">
        <f>+IF(C469="","","INTEGRANTES")</f>
        <v>INTEGRANTES</v>
      </c>
      <c r="K469" s="339" t="s">
        <v>925</v>
      </c>
      <c r="L469" s="339"/>
      <c r="M469" s="339"/>
      <c r="N469" s="339"/>
      <c r="O469" s="339"/>
      <c r="P469" s="339"/>
      <c r="Q469" s="339"/>
      <c r="R469" s="396" t="str">
        <f>+$R$10</f>
        <v>PROPONENTE No.</v>
      </c>
      <c r="S469" s="397"/>
      <c r="T469" s="25">
        <f>+B469</f>
        <v>28</v>
      </c>
      <c r="U469" s="161" t="str">
        <f>+$U$10</f>
        <v>PFMP</v>
      </c>
      <c r="V469" s="162">
        <f>IF(T483="",0,T483)</f>
        <v>126.59699999999999</v>
      </c>
      <c r="X469" s="325" t="s">
        <v>168</v>
      </c>
      <c r="Z469" s="163" t="str">
        <f>+$Z$10</f>
        <v>EXP. ESPECÍFICA 
A:</v>
      </c>
      <c r="AB469" s="163" t="str">
        <f>+$AB$10</f>
        <v>EXP. ESPECÍFICA 
B:</v>
      </c>
      <c r="AG469" s="1">
        <v>2</v>
      </c>
    </row>
    <row r="470" spans="1:34" ht="42" customHeight="1" x14ac:dyDescent="0.2">
      <c r="B470" s="331" t="str">
        <f>+$B$11</f>
        <v>ITEM</v>
      </c>
      <c r="C470" s="318" t="str">
        <f>+$C$11</f>
        <v>PROPONENTE 
/ 
INTEGRANTE OFERENTE PLURAL</v>
      </c>
      <c r="D470" s="333" t="str">
        <f>+$D$11</f>
        <v>INFORMACIÓN DEL CONTRATO</v>
      </c>
      <c r="E470" s="334"/>
      <c r="F470" s="334"/>
      <c r="G470" s="335"/>
      <c r="H470" s="318" t="str">
        <f>+H453</f>
        <v>CONSECUTIVO RUP</v>
      </c>
      <c r="I470" s="318" t="str">
        <f>+$I$11</f>
        <v>¿SE ENCUENTRA INSCRITO EN EL RUP Y CUMPLE CÓDIGOS UNSPSC?</v>
      </c>
      <c r="J470" s="318" t="str">
        <f>+$J$11</f>
        <v xml:space="preserve">VALOR EN RUP (SMMLV) </v>
      </c>
      <c r="K470" s="318" t="str">
        <f>+$K$11</f>
        <v>% PARTIC en el RUP</v>
      </c>
      <c r="L470" s="318" t="str">
        <f>+$L$11</f>
        <v>VALOR DEL CONTRATO TERMINADO (SMMLV) en el   RUP</v>
      </c>
      <c r="M470" s="318" t="str">
        <f>+$M$11</f>
        <v>FECHA DE INICIO</v>
      </c>
      <c r="N470" s="318" t="str">
        <f>+$N$11</f>
        <v>FECHA DE TERMINACION</v>
      </c>
      <c r="O470" s="318" t="str">
        <f>+$O$11</f>
        <v>PLAZO CONTRA-TO (Meses)</v>
      </c>
      <c r="P470" s="390" t="str">
        <f>+$P$11</f>
        <v>Tsusp i</v>
      </c>
      <c r="Q470" s="391"/>
      <c r="R470" s="392"/>
      <c r="S470" s="318" t="str">
        <f>+$S$11</f>
        <v>PLAZO i REAL</v>
      </c>
      <c r="T470" s="318" t="str">
        <f>+$T$11</f>
        <v>FACTURA-CION MENSUAL PROPO-NENTE</v>
      </c>
      <c r="U470" s="318" t="str">
        <f>+$U$11</f>
        <v>VALIDACIÓN DE LA EXPERIENCIA GENERAL
(SI/NO)</v>
      </c>
      <c r="V470" s="393" t="str">
        <f>+$V$11</f>
        <v>OBSERVACIONES</v>
      </c>
      <c r="X470" s="326"/>
      <c r="Z470" s="381" t="str">
        <f>+$Z$11</f>
        <v>Interventoria a la ejecución de obras relacionadas con Colocación de capas granulares (tales como bases y/o sub-bases granulares).</v>
      </c>
      <c r="AB470" s="381" t="str">
        <f>+$AB$11</f>
        <v>Interventoria a la Ejecución de obras de subdrenaje y/o drenaje, en carreteras.</v>
      </c>
    </row>
    <row r="471" spans="1:34" ht="38.25" customHeight="1" thickBot="1" x14ac:dyDescent="0.25">
      <c r="B471" s="395"/>
      <c r="C471" s="348"/>
      <c r="D471" s="165" t="str">
        <f>+$D$12</f>
        <v>ENTIDAD</v>
      </c>
      <c r="E471" s="165" t="str">
        <f>+$E$12</f>
        <v>No. DE CONTRATO</v>
      </c>
      <c r="F471" s="165" t="str">
        <f>+$F$12</f>
        <v>OBJETO</v>
      </c>
      <c r="G471" s="165" t="str">
        <f>+$G$12</f>
        <v>CONTRATISTA</v>
      </c>
      <c r="H471" s="348"/>
      <c r="I471" s="348"/>
      <c r="J471" s="348"/>
      <c r="K471" s="348"/>
      <c r="L471" s="348"/>
      <c r="M471" s="348"/>
      <c r="N471" s="348"/>
      <c r="O471" s="348"/>
      <c r="P471" s="166" t="str">
        <f>+P454</f>
        <v>Finicsuspi</v>
      </c>
      <c r="Q471" s="166" t="str">
        <f>+Q454</f>
        <v xml:space="preserve"> Ftermsuspi </v>
      </c>
      <c r="R471" s="166" t="str">
        <f>+R454</f>
        <v>Tsusp i (meses)</v>
      </c>
      <c r="S471" s="348"/>
      <c r="T471" s="348"/>
      <c r="U471" s="348"/>
      <c r="V471" s="394"/>
      <c r="X471" s="327"/>
      <c r="Z471" s="381"/>
      <c r="AB471" s="381"/>
    </row>
    <row r="472" spans="1:34" s="27" customFormat="1" ht="71.25" customHeight="1" x14ac:dyDescent="0.2">
      <c r="A472" s="27">
        <f>+IF(T472="","",B472)</f>
        <v>1</v>
      </c>
      <c r="B472" s="28">
        <v>1</v>
      </c>
      <c r="C472" s="86" t="s">
        <v>447</v>
      </c>
      <c r="D472" s="86" t="s">
        <v>448</v>
      </c>
      <c r="E472" s="87" t="s">
        <v>449</v>
      </c>
      <c r="F472" s="87" t="s">
        <v>450</v>
      </c>
      <c r="G472" s="86" t="s">
        <v>451</v>
      </c>
      <c r="H472" s="30">
        <v>18</v>
      </c>
      <c r="I472" s="31" t="s">
        <v>16</v>
      </c>
      <c r="J472" s="32">
        <v>1145</v>
      </c>
      <c r="K472" s="33">
        <v>0.85</v>
      </c>
      <c r="L472" s="34">
        <f>IF(OR(H472="",I472&lt;&gt;"SI",I472="NO",J472="",J472=0,K472="",K472=0,X472&lt;&gt;"SI"),0,J472*K472)</f>
        <v>973.25</v>
      </c>
      <c r="M472" s="204">
        <v>36535</v>
      </c>
      <c r="N472" s="204">
        <v>36840</v>
      </c>
      <c r="O472" s="169">
        <f>IF(OR(H472="",I472&lt;&gt;"SI",I472="NO",J472="",J472=0,K472="",K472=0,,M472="",N472=""),"",ROUND((((N472-M472)+1)/30),3))</f>
        <v>10.199999999999999</v>
      </c>
      <c r="P472" s="204"/>
      <c r="Q472" s="204"/>
      <c r="R472" s="170">
        <v>1</v>
      </c>
      <c r="S472" s="171">
        <f>IF(O472="","",ROUND(SUM(O472)-SUM(R472),3))</f>
        <v>9.1999999999999993</v>
      </c>
      <c r="T472" s="172">
        <f>+IF(C472="","",IF(OR(S472="",S472&lt;=0,I472="",I472="NO",U472="",U472="NO",X472="NO"),"",ROUND(SUM(L472)/S472,3)))</f>
        <v>105.788</v>
      </c>
      <c r="U472" s="35" t="s">
        <v>16</v>
      </c>
      <c r="V472" s="36"/>
      <c r="W472" s="205"/>
      <c r="X472" s="37" t="str">
        <f t="shared" ref="X472:X481" si="216">+IF(C472="","",IF(AND(H472&lt;&gt;"",I472="SI",J472&lt;&gt;"",J472&gt;0,K472&lt;&gt;"",K472&gt;0,S472&lt;&gt;"",S472&gt;0,U472="SI"),"SI","NO"))</f>
        <v>SI</v>
      </c>
      <c r="Z472" s="173" t="s">
        <v>16</v>
      </c>
      <c r="AB472" s="173" t="s">
        <v>16</v>
      </c>
      <c r="AD472" s="10" t="str">
        <f t="shared" ref="AD472:AD481" si="217">+IF($C$469="","",IF(C472="","",IF(L472&gt;=$H$6,"SI","NO")))</f>
        <v>SI</v>
      </c>
      <c r="AE472" s="92">
        <f>+IF(OR($T$472="",X472="",X472="NO"),"",L472)</f>
        <v>973.25</v>
      </c>
      <c r="AF472" s="92">
        <f>+IF(AE472="","",L472/$S$472)</f>
        <v>105.78804347826087</v>
      </c>
      <c r="AG472" s="174">
        <f>0.1+B469</f>
        <v>28.1</v>
      </c>
      <c r="AH472" s="27" t="s">
        <v>136</v>
      </c>
    </row>
    <row r="473" spans="1:34" s="27" customFormat="1" ht="119.25" customHeight="1" x14ac:dyDescent="0.2">
      <c r="A473" s="27">
        <f t="shared" ref="A473:A481" si="218">+IF(T473="","",B473)</f>
        <v>2</v>
      </c>
      <c r="B473" s="38">
        <v>2</v>
      </c>
      <c r="C473" s="39" t="s">
        <v>136</v>
      </c>
      <c r="D473" s="39" t="s">
        <v>452</v>
      </c>
      <c r="E473" s="46" t="s">
        <v>453</v>
      </c>
      <c r="F473" s="46" t="s">
        <v>454</v>
      </c>
      <c r="G473" s="39" t="s">
        <v>455</v>
      </c>
      <c r="H473" s="40">
        <v>22</v>
      </c>
      <c r="I473" s="41" t="s">
        <v>16</v>
      </c>
      <c r="J473" s="42">
        <v>6038.4</v>
      </c>
      <c r="K473" s="43">
        <v>0.73</v>
      </c>
      <c r="L473" s="44">
        <f t="shared" ref="L473:L481" si="219">IF(OR(H473="",I473&lt;&gt;"SI",I473="NO",J473="",J473=0,K473="",K473=0,X473&lt;&gt;"SI"),0,J473*K473)</f>
        <v>4408.0319999999992</v>
      </c>
      <c r="M473" s="206">
        <v>41912</v>
      </c>
      <c r="N473" s="206">
        <v>42628</v>
      </c>
      <c r="O473" s="207">
        <f t="shared" ref="O473:O481" si="220">IF(OR(H473="",I473&lt;&gt;"SI",I473="NO",J473="",J473=0,K473="",K473=0,,M473="",N473=""),"",ROUND((((N473-M473)+1)/30),3))</f>
        <v>23.9</v>
      </c>
      <c r="P473" s="206">
        <v>42429</v>
      </c>
      <c r="Q473" s="206">
        <v>42521</v>
      </c>
      <c r="R473" s="177">
        <f t="shared" ref="R473:R481" si="221">IF(OR((Q473-P473)=0,P473="",Q473=""),0,(ROUND((((Q473-P473)+1)/30),3)))</f>
        <v>3.1</v>
      </c>
      <c r="S473" s="178">
        <f t="shared" ref="S473:S481" si="222">IF(O473="","",ROUND(SUM(O473)-SUM(R473),3))</f>
        <v>20.8</v>
      </c>
      <c r="T473" s="208">
        <f t="shared" ref="T473:T481" si="223">+IF(C473="","",IF(OR(S473="",S473&lt;=0,I473="",I473="NO",U473="",U473="NO",X473="NO"),"",ROUND(SUM(L473)/S473,3)))</f>
        <v>211.92500000000001</v>
      </c>
      <c r="U473" s="41" t="s">
        <v>16</v>
      </c>
      <c r="V473" s="209"/>
      <c r="W473" s="205"/>
      <c r="X473" s="37" t="str">
        <f t="shared" si="216"/>
        <v>SI</v>
      </c>
      <c r="Z473" s="173" t="s">
        <v>16</v>
      </c>
      <c r="AB473" s="173" t="s">
        <v>16</v>
      </c>
      <c r="AD473" s="10" t="str">
        <f t="shared" si="217"/>
        <v>SI</v>
      </c>
      <c r="AE473" s="92">
        <f>+IF(OR($T$473="",X473="",X473="NO"),"",L473)</f>
        <v>4408.0319999999992</v>
      </c>
      <c r="AF473" s="92">
        <f>+IF(AE473="","",L473/$S$473)</f>
        <v>211.92461538461535</v>
      </c>
      <c r="AG473" s="174">
        <f>0.2+B469</f>
        <v>28.2</v>
      </c>
      <c r="AH473" s="27" t="s">
        <v>447</v>
      </c>
    </row>
    <row r="474" spans="1:34" s="27" customFormat="1" ht="95.25" customHeight="1" x14ac:dyDescent="0.2">
      <c r="A474" s="27">
        <f t="shared" si="218"/>
        <v>3</v>
      </c>
      <c r="B474" s="38">
        <v>3</v>
      </c>
      <c r="C474" s="39" t="s">
        <v>136</v>
      </c>
      <c r="D474" s="39" t="s">
        <v>456</v>
      </c>
      <c r="E474" s="46" t="s">
        <v>457</v>
      </c>
      <c r="F474" s="46" t="s">
        <v>458</v>
      </c>
      <c r="G474" s="39" t="s">
        <v>459</v>
      </c>
      <c r="H474" s="40">
        <v>14</v>
      </c>
      <c r="I474" s="41" t="s">
        <v>16</v>
      </c>
      <c r="J474" s="42">
        <v>562.79999999999995</v>
      </c>
      <c r="K474" s="43">
        <v>0.5</v>
      </c>
      <c r="L474" s="44">
        <f t="shared" si="219"/>
        <v>281.39999999999998</v>
      </c>
      <c r="M474" s="206">
        <v>42231</v>
      </c>
      <c r="N474" s="206">
        <v>42366</v>
      </c>
      <c r="O474" s="207">
        <f t="shared" si="220"/>
        <v>4.5330000000000004</v>
      </c>
      <c r="P474" s="206"/>
      <c r="Q474" s="206"/>
      <c r="R474" s="177">
        <f t="shared" si="221"/>
        <v>0</v>
      </c>
      <c r="S474" s="178">
        <f t="shared" si="222"/>
        <v>4.5330000000000004</v>
      </c>
      <c r="T474" s="208">
        <f t="shared" si="223"/>
        <v>62.078000000000003</v>
      </c>
      <c r="U474" s="41" t="s">
        <v>16</v>
      </c>
      <c r="V474" s="45"/>
      <c r="W474" s="205"/>
      <c r="X474" s="37" t="str">
        <f t="shared" si="216"/>
        <v>SI</v>
      </c>
      <c r="Z474" s="173" t="s">
        <v>16</v>
      </c>
      <c r="AB474" s="173" t="s">
        <v>16</v>
      </c>
      <c r="AD474" s="10" t="str">
        <f t="shared" si="217"/>
        <v>SI</v>
      </c>
      <c r="AE474" s="92">
        <f>+IF(OR($T$474="",X474="",X474="NO"),"",L474)</f>
        <v>281.39999999999998</v>
      </c>
      <c r="AF474" s="92">
        <f>+IF(AE474="","",L474/$S$474)</f>
        <v>62.078093977498334</v>
      </c>
      <c r="AG474" s="174">
        <f>0.3+B469</f>
        <v>28.3</v>
      </c>
      <c r="AH474" s="27" t="s">
        <v>932</v>
      </c>
    </row>
    <row r="475" spans="1:34" s="27" customFormat="1" ht="12.75" x14ac:dyDescent="0.2">
      <c r="A475" s="27" t="str">
        <f t="shared" si="218"/>
        <v/>
      </c>
      <c r="B475" s="38"/>
      <c r="C475" s="39"/>
      <c r="D475" s="39"/>
      <c r="E475" s="46"/>
      <c r="F475" s="46"/>
      <c r="G475" s="39"/>
      <c r="H475" s="40"/>
      <c r="I475" s="41"/>
      <c r="J475" s="42"/>
      <c r="K475" s="43"/>
      <c r="L475" s="44">
        <f t="shared" si="219"/>
        <v>0</v>
      </c>
      <c r="M475" s="206"/>
      <c r="N475" s="206"/>
      <c r="O475" s="207" t="str">
        <f t="shared" si="220"/>
        <v/>
      </c>
      <c r="P475" s="206"/>
      <c r="Q475" s="206"/>
      <c r="R475" s="177">
        <f t="shared" si="221"/>
        <v>0</v>
      </c>
      <c r="S475" s="178" t="str">
        <f t="shared" si="222"/>
        <v/>
      </c>
      <c r="T475" s="208" t="str">
        <f t="shared" si="223"/>
        <v/>
      </c>
      <c r="U475" s="41"/>
      <c r="V475" s="45"/>
      <c r="W475" s="210"/>
      <c r="X475" s="37" t="str">
        <f t="shared" si="216"/>
        <v/>
      </c>
      <c r="Z475" s="180"/>
      <c r="AB475" s="173"/>
      <c r="AD475" s="10" t="str">
        <f t="shared" si="217"/>
        <v/>
      </c>
      <c r="AE475" s="92" t="str">
        <f>+IF(OR($T$475="",X475="",X475="NO"),"",L475)</f>
        <v/>
      </c>
      <c r="AF475" s="92" t="str">
        <f>+IF(AE475="","",L475/$S$475)</f>
        <v/>
      </c>
      <c r="AG475" s="174"/>
    </row>
    <row r="476" spans="1:34" s="27" customFormat="1" ht="12.75" x14ac:dyDescent="0.2">
      <c r="A476" s="27" t="str">
        <f t="shared" si="218"/>
        <v/>
      </c>
      <c r="B476" s="38"/>
      <c r="C476" s="39"/>
      <c r="D476" s="39"/>
      <c r="E476" s="46"/>
      <c r="F476" s="46"/>
      <c r="G476" s="39"/>
      <c r="H476" s="40"/>
      <c r="I476" s="41"/>
      <c r="J476" s="42"/>
      <c r="K476" s="43"/>
      <c r="L476" s="44">
        <f t="shared" si="219"/>
        <v>0</v>
      </c>
      <c r="M476" s="206"/>
      <c r="N476" s="206"/>
      <c r="O476" s="207" t="str">
        <f t="shared" si="220"/>
        <v/>
      </c>
      <c r="P476" s="206"/>
      <c r="Q476" s="206"/>
      <c r="R476" s="177">
        <f t="shared" si="221"/>
        <v>0</v>
      </c>
      <c r="S476" s="178" t="str">
        <f t="shared" si="222"/>
        <v/>
      </c>
      <c r="T476" s="208" t="str">
        <f t="shared" si="223"/>
        <v/>
      </c>
      <c r="U476" s="41"/>
      <c r="V476" s="45"/>
      <c r="X476" s="37" t="str">
        <f t="shared" si="216"/>
        <v/>
      </c>
      <c r="Z476" s="181"/>
      <c r="AB476" s="173"/>
      <c r="AD476" s="10" t="str">
        <f t="shared" si="217"/>
        <v/>
      </c>
      <c r="AE476" s="92" t="str">
        <f>+IF(OR($T$476="",X476="",X476="NO"),"",L476)</f>
        <v/>
      </c>
      <c r="AF476" s="92" t="str">
        <f>+IF(AE476="","",L476/$S$476)</f>
        <v/>
      </c>
      <c r="AG476" s="174"/>
    </row>
    <row r="477" spans="1:34" s="27" customFormat="1" ht="12.75" x14ac:dyDescent="0.2">
      <c r="A477" s="27" t="str">
        <f t="shared" si="218"/>
        <v/>
      </c>
      <c r="B477" s="38"/>
      <c r="C477" s="39"/>
      <c r="D477" s="39"/>
      <c r="E477" s="46"/>
      <c r="F477" s="46"/>
      <c r="G477" s="39"/>
      <c r="H477" s="40"/>
      <c r="I477" s="41"/>
      <c r="J477" s="42"/>
      <c r="K477" s="43"/>
      <c r="L477" s="44">
        <f t="shared" si="219"/>
        <v>0</v>
      </c>
      <c r="M477" s="206"/>
      <c r="N477" s="206"/>
      <c r="O477" s="207" t="str">
        <f t="shared" si="220"/>
        <v/>
      </c>
      <c r="P477" s="206"/>
      <c r="Q477" s="206"/>
      <c r="R477" s="177">
        <f t="shared" si="221"/>
        <v>0</v>
      </c>
      <c r="S477" s="178" t="str">
        <f t="shared" si="222"/>
        <v/>
      </c>
      <c r="T477" s="208" t="str">
        <f t="shared" si="223"/>
        <v/>
      </c>
      <c r="U477" s="41"/>
      <c r="V477" s="45"/>
      <c r="X477" s="37" t="str">
        <f t="shared" si="216"/>
        <v/>
      </c>
      <c r="Z477" s="181"/>
      <c r="AB477" s="173"/>
      <c r="AD477" s="10" t="str">
        <f t="shared" si="217"/>
        <v/>
      </c>
      <c r="AE477" s="92" t="str">
        <f>+IF(OR($T$477="",X477="",X477="NO"),"",L477)</f>
        <v/>
      </c>
      <c r="AF477" s="92" t="str">
        <f>+IF(AE477="","",L477/$S$477)</f>
        <v/>
      </c>
      <c r="AG477" s="174"/>
    </row>
    <row r="478" spans="1:34" s="27" customFormat="1" ht="12.75" x14ac:dyDescent="0.2">
      <c r="A478" s="27" t="str">
        <f t="shared" si="218"/>
        <v/>
      </c>
      <c r="B478" s="38"/>
      <c r="C478" s="39"/>
      <c r="D478" s="39"/>
      <c r="E478" s="46"/>
      <c r="F478" s="46"/>
      <c r="G478" s="39"/>
      <c r="H478" s="40"/>
      <c r="I478" s="41"/>
      <c r="J478" s="42"/>
      <c r="K478" s="43"/>
      <c r="L478" s="44">
        <f t="shared" si="219"/>
        <v>0</v>
      </c>
      <c r="M478" s="206"/>
      <c r="N478" s="206"/>
      <c r="O478" s="207" t="str">
        <f t="shared" si="220"/>
        <v/>
      </c>
      <c r="P478" s="206"/>
      <c r="Q478" s="206"/>
      <c r="R478" s="177">
        <f t="shared" si="221"/>
        <v>0</v>
      </c>
      <c r="S478" s="178" t="str">
        <f t="shared" si="222"/>
        <v/>
      </c>
      <c r="T478" s="208" t="str">
        <f t="shared" si="223"/>
        <v/>
      </c>
      <c r="U478" s="41"/>
      <c r="V478" s="45"/>
      <c r="X478" s="37" t="str">
        <f t="shared" si="216"/>
        <v/>
      </c>
      <c r="Z478" s="181"/>
      <c r="AB478" s="173"/>
      <c r="AD478" s="10" t="str">
        <f t="shared" si="217"/>
        <v/>
      </c>
      <c r="AE478" s="92" t="str">
        <f>+IF(OR($T$478="",X478="",X478="NO"),"",L478)</f>
        <v/>
      </c>
      <c r="AF478" s="92" t="str">
        <f>+IF(AE478="","",L478/$S$478)</f>
        <v/>
      </c>
      <c r="AG478" s="174"/>
    </row>
    <row r="479" spans="1:34" s="27" customFormat="1" ht="12.75" x14ac:dyDescent="0.2">
      <c r="A479" s="27" t="str">
        <f t="shared" si="218"/>
        <v/>
      </c>
      <c r="B479" s="38"/>
      <c r="C479" s="39"/>
      <c r="D479" s="39"/>
      <c r="E479" s="46"/>
      <c r="F479" s="46"/>
      <c r="G479" s="39"/>
      <c r="H479" s="40"/>
      <c r="I479" s="41"/>
      <c r="J479" s="42"/>
      <c r="K479" s="43"/>
      <c r="L479" s="44">
        <f t="shared" si="219"/>
        <v>0</v>
      </c>
      <c r="M479" s="206"/>
      <c r="N479" s="206"/>
      <c r="O479" s="207" t="str">
        <f t="shared" si="220"/>
        <v/>
      </c>
      <c r="P479" s="206"/>
      <c r="Q479" s="206"/>
      <c r="R479" s="177">
        <f t="shared" si="221"/>
        <v>0</v>
      </c>
      <c r="S479" s="178" t="str">
        <f t="shared" si="222"/>
        <v/>
      </c>
      <c r="T479" s="208" t="str">
        <f t="shared" si="223"/>
        <v/>
      </c>
      <c r="U479" s="41"/>
      <c r="V479" s="45"/>
      <c r="X479" s="37" t="str">
        <f t="shared" si="216"/>
        <v/>
      </c>
      <c r="Z479" s="181"/>
      <c r="AB479" s="173"/>
      <c r="AD479" s="10" t="str">
        <f t="shared" si="217"/>
        <v/>
      </c>
      <c r="AE479" s="92" t="str">
        <f>+IF(OR($T$479="",X479="",X479="NO"),"",L479)</f>
        <v/>
      </c>
      <c r="AF479" s="92" t="str">
        <f>+IF(AE479="","",L479/$S$479)</f>
        <v/>
      </c>
      <c r="AG479" s="174"/>
    </row>
    <row r="480" spans="1:34" s="27" customFormat="1" ht="12.75" x14ac:dyDescent="0.2">
      <c r="A480" s="27" t="str">
        <f t="shared" si="218"/>
        <v/>
      </c>
      <c r="B480" s="38"/>
      <c r="C480" s="39"/>
      <c r="D480" s="39"/>
      <c r="E480" s="46"/>
      <c r="F480" s="46"/>
      <c r="G480" s="39"/>
      <c r="H480" s="40"/>
      <c r="I480" s="41"/>
      <c r="J480" s="42"/>
      <c r="K480" s="43"/>
      <c r="L480" s="44">
        <f t="shared" si="219"/>
        <v>0</v>
      </c>
      <c r="M480" s="206"/>
      <c r="N480" s="206"/>
      <c r="O480" s="207" t="str">
        <f t="shared" si="220"/>
        <v/>
      </c>
      <c r="P480" s="206"/>
      <c r="Q480" s="206"/>
      <c r="R480" s="177">
        <f t="shared" si="221"/>
        <v>0</v>
      </c>
      <c r="S480" s="178" t="str">
        <f t="shared" si="222"/>
        <v/>
      </c>
      <c r="T480" s="208" t="str">
        <f t="shared" si="223"/>
        <v/>
      </c>
      <c r="U480" s="41"/>
      <c r="V480" s="45"/>
      <c r="X480" s="37" t="str">
        <f t="shared" si="216"/>
        <v/>
      </c>
      <c r="Z480" s="181"/>
      <c r="AB480" s="173"/>
      <c r="AD480" s="10" t="str">
        <f t="shared" si="217"/>
        <v/>
      </c>
      <c r="AE480" s="92" t="str">
        <f>+IF(OR($T$480="",X480="",X480="NO"),"",L480)</f>
        <v/>
      </c>
      <c r="AF480" s="92" t="str">
        <f>+IF(AE480="","",L480/$S$480)</f>
        <v/>
      </c>
      <c r="AG480" s="174"/>
    </row>
    <row r="481" spans="1:34" s="27" customFormat="1" ht="13.5" thickBot="1" x14ac:dyDescent="0.25">
      <c r="A481" s="27" t="str">
        <f t="shared" si="218"/>
        <v/>
      </c>
      <c r="B481" s="47"/>
      <c r="C481" s="48"/>
      <c r="D481" s="48"/>
      <c r="E481" s="49"/>
      <c r="F481" s="49"/>
      <c r="G481" s="48"/>
      <c r="H481" s="50"/>
      <c r="I481" s="51"/>
      <c r="J481" s="14"/>
      <c r="K481" s="52"/>
      <c r="L481" s="53">
        <f t="shared" si="219"/>
        <v>0</v>
      </c>
      <c r="M481" s="211"/>
      <c r="N481" s="211"/>
      <c r="O481" s="212" t="str">
        <f t="shared" si="220"/>
        <v/>
      </c>
      <c r="P481" s="211"/>
      <c r="Q481" s="211"/>
      <c r="R481" s="184">
        <f t="shared" si="221"/>
        <v>0</v>
      </c>
      <c r="S481" s="185" t="str">
        <f t="shared" si="222"/>
        <v/>
      </c>
      <c r="T481" s="213" t="str">
        <f t="shared" si="223"/>
        <v/>
      </c>
      <c r="U481" s="51"/>
      <c r="V481" s="54"/>
      <c r="X481" s="55" t="str">
        <f t="shared" si="216"/>
        <v/>
      </c>
      <c r="Z481" s="187"/>
      <c r="AB481" s="188"/>
      <c r="AD481" s="10" t="str">
        <f t="shared" si="217"/>
        <v/>
      </c>
      <c r="AE481" s="92" t="str">
        <f>+IF(OR($T$481="",X481="",X481="NO"),"",L481)</f>
        <v/>
      </c>
      <c r="AF481" s="92" t="str">
        <f>+IF(AE481="","",L481/$S$481)</f>
        <v/>
      </c>
    </row>
    <row r="482" spans="1:34" ht="36" customHeight="1" x14ac:dyDescent="0.2">
      <c r="B482" s="57" t="str">
        <f>"A"&amp;B469</f>
        <v>A28</v>
      </c>
      <c r="C482" s="382" t="str">
        <f>+$C$23</f>
        <v>¿CADA INTEGRANTE DE PROPONENTE PLURAL APORTAN CONTRATO?  (SI; NO; NA)</v>
      </c>
      <c r="D482" s="383"/>
      <c r="E482" s="383"/>
      <c r="F482" s="383"/>
      <c r="G482" s="383"/>
      <c r="H482" s="384"/>
      <c r="I482" s="217" t="str">
        <f>+IF(AG469="","",IF(AG469=1,"NA",IF(AND(AG469=3,(IF(COUNTIFS(C472:C481,AH472,AE472:AE481,"&gt;0")&gt;=1,1,0)+IF(COUNTIFS(C472:C481,AH473,AE472:AE481,"&gt;0")&gt;=1,1,0)+IF(COUNTIFS(C472:C481,AH474,AE472:AE481,"&gt;0")&gt;=1,1,0))&gt;=AG469),"SI",IF(AND(AG469=2,(IF(COUNTIFS(C472:C481,AH472,AE472:AE481,"&gt;0")&gt;=1,1,0)+IF(COUNTIFS(C472:C481,AH473,AE472:AE481,"&gt;0")&gt;=1,1,0))&gt;=AG469),"SI","NO"))))</f>
        <v>SI</v>
      </c>
      <c r="J482" s="59"/>
      <c r="K482" s="27"/>
      <c r="L482" s="27"/>
      <c r="M482" s="27"/>
      <c r="N482" s="27"/>
      <c r="O482" s="27"/>
      <c r="P482" s="385" t="str">
        <f>+$P$23</f>
        <v>FACTURACION MENSUAL TOTAL</v>
      </c>
      <c r="Q482" s="386"/>
      <c r="R482" s="386"/>
      <c r="S482" s="386"/>
      <c r="T482" s="189">
        <f>ROUND(SUM(T472:T481),3)</f>
        <v>379.791</v>
      </c>
      <c r="U482" s="60"/>
      <c r="V482" s="1"/>
      <c r="W482" s="61"/>
      <c r="X482" s="61"/>
      <c r="Y482" s="61"/>
      <c r="Z482" s="61"/>
      <c r="AA482" s="61"/>
      <c r="AB482" s="61"/>
    </row>
    <row r="483" spans="1:34" ht="38.25" customHeight="1" thickBot="1" x14ac:dyDescent="0.25">
      <c r="B483" s="57" t="str">
        <f>"B"&amp;B469</f>
        <v>B28</v>
      </c>
      <c r="C483" s="387" t="str">
        <f>+C466</f>
        <v>En caso de proponente plural: ¿De la totalidad de los contratos aportados por el proponente plural, el valor ejecutado de uno de ellos deberá ser igual o superior al 30% del P.O.?  (SI; NO; NA)</v>
      </c>
      <c r="D483" s="388"/>
      <c r="E483" s="388"/>
      <c r="F483" s="388"/>
      <c r="G483" s="389"/>
      <c r="H483" s="190">
        <f>+$H$6</f>
        <v>268.14722506074827</v>
      </c>
      <c r="I483" s="191" t="str">
        <f>+IF(AG469="","",IF(AG469=1,"NA",IF(AND(AG469&gt;1,(COUNTIFS(AD472:AD481,"SI",AE472:AE481,"&gt;0"))&gt;=1),"SI","NO")))</f>
        <v>SI</v>
      </c>
      <c r="J483" s="192"/>
      <c r="K483" s="193"/>
      <c r="L483" s="194"/>
      <c r="M483" s="194"/>
      <c r="N483" s="194"/>
      <c r="O483" s="194"/>
      <c r="P483" s="387" t="str">
        <f>+$P$24</f>
        <v>PROMEDIO FACTURACIÓN MENSUAL DEL PROPONENTE (PFMP)</v>
      </c>
      <c r="Q483" s="388"/>
      <c r="R483" s="388"/>
      <c r="S483" s="388"/>
      <c r="T483" s="195">
        <f t="array" ref="T483">IF(T482=0,0,ROUND(T482/(SUM(IF(FREQUENCY(A472:A481,A472:A481)&gt;0,1))),3))</f>
        <v>126.59699999999999</v>
      </c>
      <c r="U483" s="214"/>
      <c r="V483" s="1"/>
      <c r="W483" s="61"/>
      <c r="X483" s="61"/>
      <c r="Y483" s="61"/>
      <c r="Z483" s="61"/>
      <c r="AA483" s="61"/>
      <c r="AB483" s="61"/>
    </row>
    <row r="484" spans="1:34" ht="21" customHeight="1" thickBot="1" x14ac:dyDescent="0.25">
      <c r="B484" s="197" t="str">
        <f>"C"&amp;B469</f>
        <v>C28</v>
      </c>
      <c r="C484" s="349" t="str">
        <f>+$C$25</f>
        <v>PROPONENTE CUMPLE CON LAS ACTIVIDADES a) y b)? (SI; NO)</v>
      </c>
      <c r="D484" s="350"/>
      <c r="E484" s="350"/>
      <c r="F484" s="350"/>
      <c r="G484" s="350"/>
      <c r="H484" s="351"/>
      <c r="I484" s="198" t="str">
        <f>IF(C469="","",(IF(AND(COUNTIFS(X472:X481,"SI",Z472:Z481,"SI")&gt;=$Z$8,COUNTIFS(X472:X481,"SI",AB472:AB481,"SI")&gt;=$Z$8),"SI","NO")))</f>
        <v>SI</v>
      </c>
      <c r="J484" s="199"/>
      <c r="K484" s="200"/>
      <c r="L484" s="200"/>
      <c r="M484" s="200"/>
      <c r="N484" s="200"/>
      <c r="P484" s="378" t="str">
        <f>+$P$25</f>
        <v>VALOR PUNTAJE POR EXPERIENCIA DEL PROPONENTE</v>
      </c>
      <c r="Q484" s="379"/>
      <c r="R484" s="379"/>
      <c r="S484" s="380"/>
      <c r="T484" s="201">
        <f>IF(OR(C469="",'ASIGNACION DE PUNTAJES'!$C$5=""),"",VLOOKUP(B469,'ASIGNACION DE PUNTAJES'!$A$15:$G$69,7,FALSE))</f>
        <v>651.85599999999999</v>
      </c>
      <c r="V484" s="202"/>
    </row>
    <row r="485" spans="1:34" ht="12" thickBot="1" x14ac:dyDescent="0.25"/>
    <row r="486" spans="1:34" ht="36.75" customHeight="1" thickBot="1" x14ac:dyDescent="0.25">
      <c r="B486" s="23">
        <f>1+B469</f>
        <v>29</v>
      </c>
      <c r="C486" s="336" t="s">
        <v>926</v>
      </c>
      <c r="D486" s="337"/>
      <c r="E486" s="337"/>
      <c r="F486" s="337"/>
      <c r="G486" s="337"/>
      <c r="H486" s="337"/>
      <c r="I486" s="338"/>
      <c r="J486" s="24" t="str">
        <f>+IF(C486="","","INTEGRANTES")</f>
        <v>INTEGRANTES</v>
      </c>
      <c r="K486" s="339" t="s">
        <v>927</v>
      </c>
      <c r="L486" s="339"/>
      <c r="M486" s="339"/>
      <c r="N486" s="339"/>
      <c r="O486" s="339"/>
      <c r="P486" s="339"/>
      <c r="Q486" s="339"/>
      <c r="R486" s="396" t="str">
        <f>+$R$10</f>
        <v>PROPONENTE No.</v>
      </c>
      <c r="S486" s="397"/>
      <c r="T486" s="25">
        <f>+B486</f>
        <v>29</v>
      </c>
      <c r="U486" s="161" t="str">
        <f>+$U$10</f>
        <v>PFMP</v>
      </c>
      <c r="V486" s="162">
        <f>IF(T500="",0,T500)</f>
        <v>134.48500000000001</v>
      </c>
      <c r="X486" s="325" t="s">
        <v>168</v>
      </c>
      <c r="Z486" s="163" t="str">
        <f>+$Z$10</f>
        <v>EXP. ESPECÍFICA 
A:</v>
      </c>
      <c r="AB486" s="163" t="str">
        <f>+$AB$10</f>
        <v>EXP. ESPECÍFICA 
B:</v>
      </c>
      <c r="AG486" s="1">
        <v>3</v>
      </c>
    </row>
    <row r="487" spans="1:34" ht="42" customHeight="1" x14ac:dyDescent="0.2">
      <c r="B487" s="331" t="str">
        <f>+$B$11</f>
        <v>ITEM</v>
      </c>
      <c r="C487" s="318" t="str">
        <f>+$C$11</f>
        <v>PROPONENTE 
/ 
INTEGRANTE OFERENTE PLURAL</v>
      </c>
      <c r="D487" s="333" t="str">
        <f>+$D$11</f>
        <v>INFORMACIÓN DEL CONTRATO</v>
      </c>
      <c r="E487" s="334"/>
      <c r="F487" s="334"/>
      <c r="G487" s="335"/>
      <c r="H487" s="318" t="str">
        <f>+H470</f>
        <v>CONSECUTIVO RUP</v>
      </c>
      <c r="I487" s="318" t="str">
        <f>+$I$11</f>
        <v>¿SE ENCUENTRA INSCRITO EN EL RUP Y CUMPLE CÓDIGOS UNSPSC?</v>
      </c>
      <c r="J487" s="318" t="str">
        <f>+$J$11</f>
        <v xml:space="preserve">VALOR EN RUP (SMMLV) </v>
      </c>
      <c r="K487" s="318" t="str">
        <f>+$K$11</f>
        <v>% PARTIC en el RUP</v>
      </c>
      <c r="L487" s="318" t="str">
        <f>+$L$11</f>
        <v>VALOR DEL CONTRATO TERMINADO (SMMLV) en el   RUP</v>
      </c>
      <c r="M487" s="318" t="str">
        <f>+$M$11</f>
        <v>FECHA DE INICIO</v>
      </c>
      <c r="N487" s="318" t="str">
        <f>+$N$11</f>
        <v>FECHA DE TERMINACION</v>
      </c>
      <c r="O487" s="318" t="str">
        <f>+$O$11</f>
        <v>PLAZO CONTRA-TO (Meses)</v>
      </c>
      <c r="P487" s="390" t="str">
        <f>+$P$11</f>
        <v>Tsusp i</v>
      </c>
      <c r="Q487" s="391"/>
      <c r="R487" s="392"/>
      <c r="S487" s="318" t="str">
        <f>+$S$11</f>
        <v>PLAZO i REAL</v>
      </c>
      <c r="T487" s="318" t="str">
        <f>+$T$11</f>
        <v>FACTURA-CION MENSUAL PROPO-NENTE</v>
      </c>
      <c r="U487" s="318" t="str">
        <f>+$U$11</f>
        <v>VALIDACIÓN DE LA EXPERIENCIA GENERAL
(SI/NO)</v>
      </c>
      <c r="V487" s="393" t="str">
        <f>+$V$11</f>
        <v>OBSERVACIONES</v>
      </c>
      <c r="X487" s="326"/>
      <c r="Z487" s="381" t="str">
        <f>+$Z$11</f>
        <v>Interventoria a la ejecución de obras relacionadas con Colocación de capas granulares (tales como bases y/o sub-bases granulares).</v>
      </c>
      <c r="AB487" s="381" t="str">
        <f>+$AB$11</f>
        <v>Interventoria a la Ejecución de obras de subdrenaje y/o drenaje, en carreteras.</v>
      </c>
    </row>
    <row r="488" spans="1:34" ht="38.25" customHeight="1" thickBot="1" x14ac:dyDescent="0.25">
      <c r="B488" s="395"/>
      <c r="C488" s="348"/>
      <c r="D488" s="165" t="str">
        <f>+$D$12</f>
        <v>ENTIDAD</v>
      </c>
      <c r="E488" s="165" t="str">
        <f>+$E$12</f>
        <v>No. DE CONTRATO</v>
      </c>
      <c r="F488" s="165" t="str">
        <f>+$F$12</f>
        <v>OBJETO</v>
      </c>
      <c r="G488" s="165" t="str">
        <f>+$G$12</f>
        <v>CONTRATISTA</v>
      </c>
      <c r="H488" s="348"/>
      <c r="I488" s="348"/>
      <c r="J488" s="348"/>
      <c r="K488" s="348"/>
      <c r="L488" s="348"/>
      <c r="M488" s="348"/>
      <c r="N488" s="348"/>
      <c r="O488" s="348"/>
      <c r="P488" s="166" t="str">
        <f>+P471</f>
        <v>Finicsuspi</v>
      </c>
      <c r="Q488" s="166" t="str">
        <f>+Q471</f>
        <v xml:space="preserve"> Ftermsuspi </v>
      </c>
      <c r="R488" s="166" t="str">
        <f>+R471</f>
        <v>Tsusp i (meses)</v>
      </c>
      <c r="S488" s="348"/>
      <c r="T488" s="348"/>
      <c r="U488" s="348"/>
      <c r="V488" s="394"/>
      <c r="X488" s="327"/>
      <c r="Z488" s="381"/>
      <c r="AB488" s="381"/>
    </row>
    <row r="489" spans="1:34" s="27" customFormat="1" ht="183" customHeight="1" x14ac:dyDescent="0.2">
      <c r="A489" s="27" t="str">
        <f>+IF(T489="","",B489)</f>
        <v/>
      </c>
      <c r="B489" s="28">
        <v>1</v>
      </c>
      <c r="C489" s="86" t="s">
        <v>141</v>
      </c>
      <c r="D489" s="86" t="s">
        <v>43</v>
      </c>
      <c r="E489" s="87" t="s">
        <v>460</v>
      </c>
      <c r="F489" s="87" t="s">
        <v>461</v>
      </c>
      <c r="G489" s="86" t="s">
        <v>462</v>
      </c>
      <c r="H489" s="30">
        <v>42</v>
      </c>
      <c r="I489" s="31" t="s">
        <v>16</v>
      </c>
      <c r="J489" s="32">
        <v>129.44999999999999</v>
      </c>
      <c r="K489" s="33">
        <v>1</v>
      </c>
      <c r="L489" s="34">
        <f>IF(OR(H489="",I489&lt;&gt;"SI",I489="NO",J489="",J489=0,K489="",K489=0,X489&lt;&gt;"SI"),0,J489*K489)</f>
        <v>0</v>
      </c>
      <c r="M489" s="204">
        <v>37271</v>
      </c>
      <c r="N489" s="204">
        <v>37305</v>
      </c>
      <c r="O489" s="169">
        <f>IF(OR(H489="",I489&lt;&gt;"SI",I489="NO",J489="",J489=0,K489="",K489=0,,M489="",N489=""),"",ROUND((((N489-M489)+1)/30),3))</f>
        <v>1.167</v>
      </c>
      <c r="P489" s="204"/>
      <c r="Q489" s="204"/>
      <c r="R489" s="170">
        <f>IF(OR((Q489-P489)=0,P489="",Q489=""),0,(ROUND((((Q489-P489)+1)/30),3)))</f>
        <v>0</v>
      </c>
      <c r="S489" s="171">
        <f>IF(O489="","",ROUND(SUM(O489)-SUM(R489),3))</f>
        <v>1.167</v>
      </c>
      <c r="T489" s="172" t="str">
        <f>+IF(C489="","",IF(OR(S489="",S489&lt;=0,I489="",I489="NO",U489="",U489="NO",X489="NO"),"",ROUND(SUM(L489)/S489,3)))</f>
        <v/>
      </c>
      <c r="U489" s="35" t="s">
        <v>211</v>
      </c>
      <c r="V489" s="36" t="s">
        <v>463</v>
      </c>
      <c r="W489" s="205"/>
      <c r="X489" s="37" t="str">
        <f t="shared" ref="X489:X498" si="224">+IF(C489="","",IF(AND(H489&lt;&gt;"",I489="SI",J489&lt;&gt;"",J489&gt;0,K489&lt;&gt;"",K489&gt;0,S489&lt;&gt;"",S489&gt;0,U489="SI"),"SI","NO"))</f>
        <v>NO</v>
      </c>
      <c r="Z489" s="173" t="s">
        <v>16</v>
      </c>
      <c r="AB489" s="173" t="s">
        <v>16</v>
      </c>
      <c r="AD489" s="10" t="str">
        <f t="shared" ref="AD489:AD498" si="225">+IF($C$486="","",IF(C489="","",IF(L489&gt;=$H$6,"SI","NO")))</f>
        <v>NO</v>
      </c>
      <c r="AE489" s="92" t="str">
        <f>+IF(OR($T$489="",X489="",X489="NO"),"",L489)</f>
        <v/>
      </c>
      <c r="AF489" s="92" t="str">
        <f>+IF(AE489="","",L489/$S$489)</f>
        <v/>
      </c>
      <c r="AG489" s="174">
        <f>0.1+B486</f>
        <v>29.1</v>
      </c>
      <c r="AH489" s="27" t="s">
        <v>141</v>
      </c>
    </row>
    <row r="490" spans="1:34" s="27" customFormat="1" ht="91.5" customHeight="1" x14ac:dyDescent="0.2">
      <c r="A490" s="27">
        <f t="shared" ref="A490:A498" si="226">+IF(T490="","",B490)</f>
        <v>2</v>
      </c>
      <c r="B490" s="38">
        <v>2</v>
      </c>
      <c r="C490" s="39" t="s">
        <v>464</v>
      </c>
      <c r="D490" s="39" t="s">
        <v>465</v>
      </c>
      <c r="E490" s="46" t="s">
        <v>466</v>
      </c>
      <c r="F490" s="46" t="s">
        <v>467</v>
      </c>
      <c r="G490" s="39" t="s">
        <v>464</v>
      </c>
      <c r="H490" s="40">
        <v>72</v>
      </c>
      <c r="I490" s="41" t="s">
        <v>16</v>
      </c>
      <c r="J490" s="42">
        <v>5035.42</v>
      </c>
      <c r="K490" s="43">
        <v>1</v>
      </c>
      <c r="L490" s="44">
        <f t="shared" ref="L490:L498" si="227">IF(OR(H490="",I490&lt;&gt;"SI",I490="NO",J490="",J490=0,K490="",K490=0,X490&lt;&gt;"SI"),0,J490*K490)</f>
        <v>5035.42</v>
      </c>
      <c r="M490" s="206">
        <v>29818</v>
      </c>
      <c r="N490" s="206">
        <v>30656</v>
      </c>
      <c r="O490" s="207">
        <f t="shared" ref="O490:O498" si="228">IF(OR(H490="",I490&lt;&gt;"SI",I490="NO",J490="",J490=0,K490="",K490=0,,M490="",N490=""),"",ROUND((((N490-M490)+1)/30),3))</f>
        <v>27.966999999999999</v>
      </c>
      <c r="P490" s="206"/>
      <c r="Q490" s="206"/>
      <c r="R490" s="177">
        <f t="shared" ref="R490:R498" si="229">IF(OR((Q490-P490)=0,P490="",Q490=""),0,(ROUND((((Q490-P490)+1)/30),3)))</f>
        <v>0</v>
      </c>
      <c r="S490" s="178">
        <f t="shared" ref="S490:S498" si="230">IF(O490="","",ROUND(SUM(O490)-SUM(R490),3))</f>
        <v>27.966999999999999</v>
      </c>
      <c r="T490" s="208">
        <f t="shared" ref="T490:T498" si="231">+IF(C490="","",IF(OR(S490="",S490&lt;=0,I490="",I490="NO",U490="",U490="NO",X490="NO"),"",ROUND(SUM(L490)/S490,3)))</f>
        <v>180.04900000000001</v>
      </c>
      <c r="U490" s="41" t="s">
        <v>16</v>
      </c>
      <c r="V490" s="209"/>
      <c r="W490" s="205"/>
      <c r="X490" s="37" t="str">
        <f t="shared" si="224"/>
        <v>SI</v>
      </c>
      <c r="Z490" s="173" t="s">
        <v>16</v>
      </c>
      <c r="AB490" s="173" t="s">
        <v>16</v>
      </c>
      <c r="AD490" s="10" t="str">
        <f t="shared" si="225"/>
        <v>SI</v>
      </c>
      <c r="AE490" s="92">
        <f>+IF(OR($T$490="",X490="",X490="NO"),"",L490)</f>
        <v>5035.42</v>
      </c>
      <c r="AF490" s="92">
        <f>+IF(AE490="","",L490/$S$490)</f>
        <v>180.04862874101622</v>
      </c>
      <c r="AG490" s="174">
        <f>0.2+B486</f>
        <v>29.2</v>
      </c>
      <c r="AH490" s="27" t="s">
        <v>464</v>
      </c>
    </row>
    <row r="491" spans="1:34" s="27" customFormat="1" ht="57" customHeight="1" x14ac:dyDescent="0.2">
      <c r="A491" s="27">
        <f t="shared" si="226"/>
        <v>3</v>
      </c>
      <c r="B491" s="38">
        <v>3</v>
      </c>
      <c r="C491" s="39" t="s">
        <v>141</v>
      </c>
      <c r="D491" s="398" t="s">
        <v>80</v>
      </c>
      <c r="E491" s="399" t="s">
        <v>468</v>
      </c>
      <c r="F491" s="399" t="s">
        <v>469</v>
      </c>
      <c r="G491" s="398" t="s">
        <v>470</v>
      </c>
      <c r="H491" s="40">
        <v>46</v>
      </c>
      <c r="I491" s="41" t="s">
        <v>16</v>
      </c>
      <c r="J491" s="42">
        <v>459.46</v>
      </c>
      <c r="K491" s="43">
        <v>0.5</v>
      </c>
      <c r="L491" s="44">
        <f t="shared" si="227"/>
        <v>229.73</v>
      </c>
      <c r="M491" s="206">
        <v>42992</v>
      </c>
      <c r="N491" s="206">
        <v>43146</v>
      </c>
      <c r="O491" s="207">
        <f t="shared" si="228"/>
        <v>5.1669999999999998</v>
      </c>
      <c r="P491" s="206"/>
      <c r="Q491" s="206"/>
      <c r="R491" s="177">
        <f t="shared" si="229"/>
        <v>0</v>
      </c>
      <c r="S491" s="178">
        <f t="shared" si="230"/>
        <v>5.1669999999999998</v>
      </c>
      <c r="T491" s="208">
        <f t="shared" si="231"/>
        <v>44.460999999999999</v>
      </c>
      <c r="U491" s="41" t="s">
        <v>16</v>
      </c>
      <c r="V491" s="45"/>
      <c r="W491" s="205"/>
      <c r="X491" s="37" t="str">
        <f t="shared" si="224"/>
        <v>SI</v>
      </c>
      <c r="Z491" s="173" t="s">
        <v>16</v>
      </c>
      <c r="AB491" s="173" t="s">
        <v>211</v>
      </c>
      <c r="AD491" s="10" t="str">
        <f t="shared" si="225"/>
        <v>NO</v>
      </c>
      <c r="AE491" s="92">
        <f>+IF(OR($T$491="",X491="",X491="NO"),"",L491)</f>
        <v>229.73</v>
      </c>
      <c r="AF491" s="92">
        <f>+IF(AE491="","",L491/$S$491)</f>
        <v>44.461002515966712</v>
      </c>
      <c r="AG491" s="174">
        <f>0.3+B486</f>
        <v>29.3</v>
      </c>
      <c r="AH491" s="27" t="s">
        <v>471</v>
      </c>
    </row>
    <row r="492" spans="1:34" s="27" customFormat="1" ht="57" customHeight="1" x14ac:dyDescent="0.2">
      <c r="A492" s="27">
        <f t="shared" si="226"/>
        <v>3</v>
      </c>
      <c r="B492" s="38">
        <v>3</v>
      </c>
      <c r="C492" s="39" t="s">
        <v>471</v>
      </c>
      <c r="D492" s="344"/>
      <c r="E492" s="346"/>
      <c r="F492" s="346"/>
      <c r="G492" s="344"/>
      <c r="H492" s="40">
        <v>86</v>
      </c>
      <c r="I492" s="41" t="s">
        <v>16</v>
      </c>
      <c r="J492" s="42">
        <v>459.44</v>
      </c>
      <c r="K492" s="43">
        <v>0.5</v>
      </c>
      <c r="L492" s="44">
        <f t="shared" si="227"/>
        <v>229.72</v>
      </c>
      <c r="M492" s="206">
        <v>42992</v>
      </c>
      <c r="N492" s="206">
        <v>43146</v>
      </c>
      <c r="O492" s="207">
        <f t="shared" si="228"/>
        <v>5.1669999999999998</v>
      </c>
      <c r="P492" s="206"/>
      <c r="Q492" s="206"/>
      <c r="R492" s="177">
        <f t="shared" si="229"/>
        <v>0</v>
      </c>
      <c r="S492" s="178">
        <f t="shared" si="230"/>
        <v>5.1669999999999998</v>
      </c>
      <c r="T492" s="208">
        <f t="shared" si="231"/>
        <v>44.459000000000003</v>
      </c>
      <c r="U492" s="41" t="s">
        <v>16</v>
      </c>
      <c r="V492" s="45"/>
      <c r="W492" s="210"/>
      <c r="X492" s="37" t="str">
        <f t="shared" si="224"/>
        <v>SI</v>
      </c>
      <c r="Z492" s="180" t="s">
        <v>16</v>
      </c>
      <c r="AB492" s="173" t="s">
        <v>211</v>
      </c>
      <c r="AD492" s="10" t="str">
        <f t="shared" si="225"/>
        <v>NO</v>
      </c>
      <c r="AE492" s="92">
        <f>+IF(OR($T$492="",X492="",X492="NO"),"",L492)</f>
        <v>229.72</v>
      </c>
      <c r="AF492" s="92">
        <f>+IF(AE492="","",L492/$S$492)</f>
        <v>44.459067156957616</v>
      </c>
      <c r="AG492" s="174"/>
    </row>
    <row r="493" spans="1:34" s="27" customFormat="1" ht="12.75" x14ac:dyDescent="0.2">
      <c r="A493" s="27" t="str">
        <f t="shared" si="226"/>
        <v/>
      </c>
      <c r="B493" s="38"/>
      <c r="C493" s="39"/>
      <c r="D493" s="39"/>
      <c r="E493" s="46"/>
      <c r="F493" s="46"/>
      <c r="G493" s="39"/>
      <c r="H493" s="40"/>
      <c r="I493" s="41"/>
      <c r="J493" s="42"/>
      <c r="K493" s="43"/>
      <c r="L493" s="44">
        <f t="shared" si="227"/>
        <v>0</v>
      </c>
      <c r="M493" s="206"/>
      <c r="N493" s="206"/>
      <c r="O493" s="207" t="str">
        <f t="shared" si="228"/>
        <v/>
      </c>
      <c r="P493" s="206"/>
      <c r="Q493" s="206"/>
      <c r="R493" s="177">
        <f t="shared" si="229"/>
        <v>0</v>
      </c>
      <c r="S493" s="178" t="str">
        <f t="shared" si="230"/>
        <v/>
      </c>
      <c r="T493" s="208" t="str">
        <f t="shared" si="231"/>
        <v/>
      </c>
      <c r="U493" s="41"/>
      <c r="V493" s="45"/>
      <c r="X493" s="37" t="str">
        <f t="shared" si="224"/>
        <v/>
      </c>
      <c r="Z493" s="181"/>
      <c r="AB493" s="173"/>
      <c r="AD493" s="10" t="str">
        <f t="shared" si="225"/>
        <v/>
      </c>
      <c r="AE493" s="92" t="str">
        <f>+IF(OR($T$493="",X493="",X493="NO"),"",L493)</f>
        <v/>
      </c>
      <c r="AF493" s="92" t="str">
        <f>+IF(AE493="","",L493/$S$493)</f>
        <v/>
      </c>
      <c r="AG493" s="174"/>
    </row>
    <row r="494" spans="1:34" s="27" customFormat="1" ht="12.75" x14ac:dyDescent="0.2">
      <c r="A494" s="27" t="str">
        <f t="shared" si="226"/>
        <v/>
      </c>
      <c r="B494" s="38"/>
      <c r="C494" s="39"/>
      <c r="D494" s="39"/>
      <c r="E494" s="46"/>
      <c r="F494" s="46"/>
      <c r="G494" s="39"/>
      <c r="H494" s="40"/>
      <c r="I494" s="41"/>
      <c r="J494" s="42"/>
      <c r="K494" s="43"/>
      <c r="L494" s="44">
        <f t="shared" si="227"/>
        <v>0</v>
      </c>
      <c r="M494" s="206"/>
      <c r="N494" s="206"/>
      <c r="O494" s="207" t="str">
        <f t="shared" si="228"/>
        <v/>
      </c>
      <c r="P494" s="206"/>
      <c r="Q494" s="206"/>
      <c r="R494" s="177">
        <f t="shared" si="229"/>
        <v>0</v>
      </c>
      <c r="S494" s="178" t="str">
        <f t="shared" si="230"/>
        <v/>
      </c>
      <c r="T494" s="208" t="str">
        <f t="shared" si="231"/>
        <v/>
      </c>
      <c r="U494" s="41"/>
      <c r="V494" s="45"/>
      <c r="X494" s="37" t="str">
        <f t="shared" si="224"/>
        <v/>
      </c>
      <c r="Z494" s="181"/>
      <c r="AB494" s="173"/>
      <c r="AD494" s="10" t="str">
        <f t="shared" si="225"/>
        <v/>
      </c>
      <c r="AE494" s="92" t="str">
        <f>+IF(OR($T$494="",X494="",X494="NO"),"",L494)</f>
        <v/>
      </c>
      <c r="AF494" s="92" t="str">
        <f>+IF(AE494="","",L494/$S$494)</f>
        <v/>
      </c>
      <c r="AG494" s="174"/>
    </row>
    <row r="495" spans="1:34" s="27" customFormat="1" ht="12.75" x14ac:dyDescent="0.2">
      <c r="A495" s="27" t="str">
        <f t="shared" si="226"/>
        <v/>
      </c>
      <c r="B495" s="38"/>
      <c r="C495" s="39"/>
      <c r="D495" s="39"/>
      <c r="E495" s="46"/>
      <c r="F495" s="46"/>
      <c r="G495" s="39"/>
      <c r="H495" s="40"/>
      <c r="I495" s="41"/>
      <c r="J495" s="42"/>
      <c r="K495" s="43"/>
      <c r="L495" s="44">
        <f t="shared" si="227"/>
        <v>0</v>
      </c>
      <c r="M495" s="206"/>
      <c r="N495" s="206"/>
      <c r="O495" s="207" t="str">
        <f t="shared" si="228"/>
        <v/>
      </c>
      <c r="P495" s="206"/>
      <c r="Q495" s="206"/>
      <c r="R495" s="177">
        <f t="shared" si="229"/>
        <v>0</v>
      </c>
      <c r="S495" s="178" t="str">
        <f t="shared" si="230"/>
        <v/>
      </c>
      <c r="T495" s="208" t="str">
        <f t="shared" si="231"/>
        <v/>
      </c>
      <c r="U495" s="41"/>
      <c r="V495" s="45"/>
      <c r="X495" s="37" t="str">
        <f t="shared" si="224"/>
        <v/>
      </c>
      <c r="Z495" s="181"/>
      <c r="AB495" s="173"/>
      <c r="AD495" s="10" t="str">
        <f t="shared" si="225"/>
        <v/>
      </c>
      <c r="AE495" s="92" t="str">
        <f>+IF(OR($T$495="",X495="",X495="NO"),"",L495)</f>
        <v/>
      </c>
      <c r="AF495" s="92" t="str">
        <f>+IF(AE495="","",L495/$S$495)</f>
        <v/>
      </c>
      <c r="AG495" s="174"/>
    </row>
    <row r="496" spans="1:34" s="27" customFormat="1" ht="12.75" x14ac:dyDescent="0.2">
      <c r="A496" s="27" t="str">
        <f t="shared" si="226"/>
        <v/>
      </c>
      <c r="B496" s="38"/>
      <c r="C496" s="39"/>
      <c r="D496" s="39"/>
      <c r="E496" s="46"/>
      <c r="F496" s="46"/>
      <c r="G496" s="39"/>
      <c r="H496" s="40"/>
      <c r="I496" s="41"/>
      <c r="J496" s="42"/>
      <c r="K496" s="43"/>
      <c r="L496" s="44">
        <f t="shared" si="227"/>
        <v>0</v>
      </c>
      <c r="M496" s="206"/>
      <c r="N496" s="206"/>
      <c r="O496" s="207" t="str">
        <f t="shared" si="228"/>
        <v/>
      </c>
      <c r="P496" s="206"/>
      <c r="Q496" s="206"/>
      <c r="R496" s="177">
        <f t="shared" si="229"/>
        <v>0</v>
      </c>
      <c r="S496" s="178" t="str">
        <f t="shared" si="230"/>
        <v/>
      </c>
      <c r="T496" s="208" t="str">
        <f t="shared" si="231"/>
        <v/>
      </c>
      <c r="U496" s="41"/>
      <c r="V496" s="45"/>
      <c r="X496" s="37" t="str">
        <f t="shared" si="224"/>
        <v/>
      </c>
      <c r="Z496" s="181"/>
      <c r="AB496" s="173"/>
      <c r="AD496" s="10" t="str">
        <f t="shared" si="225"/>
        <v/>
      </c>
      <c r="AE496" s="92" t="str">
        <f>+IF(OR($T$496="",X496="",X496="NO"),"",L496)</f>
        <v/>
      </c>
      <c r="AF496" s="92" t="str">
        <f>+IF(AE496="","",L496/$S$496)</f>
        <v/>
      </c>
      <c r="AG496" s="174"/>
    </row>
    <row r="497" spans="1:34" s="27" customFormat="1" ht="12.75" x14ac:dyDescent="0.2">
      <c r="A497" s="27" t="str">
        <f t="shared" si="226"/>
        <v/>
      </c>
      <c r="B497" s="38"/>
      <c r="C497" s="39"/>
      <c r="D497" s="39"/>
      <c r="E497" s="46"/>
      <c r="F497" s="46"/>
      <c r="G497" s="39"/>
      <c r="H497" s="40"/>
      <c r="I497" s="41"/>
      <c r="J497" s="42"/>
      <c r="K497" s="43"/>
      <c r="L497" s="44">
        <f t="shared" si="227"/>
        <v>0</v>
      </c>
      <c r="M497" s="206"/>
      <c r="N497" s="206"/>
      <c r="O497" s="207" t="str">
        <f t="shared" si="228"/>
        <v/>
      </c>
      <c r="P497" s="206"/>
      <c r="Q497" s="206"/>
      <c r="R497" s="177">
        <f t="shared" si="229"/>
        <v>0</v>
      </c>
      <c r="S497" s="178" t="str">
        <f t="shared" si="230"/>
        <v/>
      </c>
      <c r="T497" s="208" t="str">
        <f t="shared" si="231"/>
        <v/>
      </c>
      <c r="U497" s="41"/>
      <c r="V497" s="45"/>
      <c r="X497" s="37" t="str">
        <f t="shared" si="224"/>
        <v/>
      </c>
      <c r="Z497" s="181"/>
      <c r="AB497" s="173"/>
      <c r="AD497" s="10" t="str">
        <f t="shared" si="225"/>
        <v/>
      </c>
      <c r="AE497" s="92" t="str">
        <f>+IF(OR($T$497="",X497="",X497="NO"),"",L497)</f>
        <v/>
      </c>
      <c r="AF497" s="92" t="str">
        <f>+IF(AE497="","",L497/$S$497)</f>
        <v/>
      </c>
      <c r="AG497" s="174"/>
    </row>
    <row r="498" spans="1:34" s="27" customFormat="1" ht="13.5" thickBot="1" x14ac:dyDescent="0.25">
      <c r="A498" s="27" t="str">
        <f t="shared" si="226"/>
        <v/>
      </c>
      <c r="B498" s="47"/>
      <c r="C498" s="48"/>
      <c r="D498" s="48"/>
      <c r="E498" s="49"/>
      <c r="F498" s="49"/>
      <c r="G498" s="48"/>
      <c r="H498" s="50"/>
      <c r="I498" s="51"/>
      <c r="J498" s="14"/>
      <c r="K498" s="52"/>
      <c r="L498" s="53">
        <f t="shared" si="227"/>
        <v>0</v>
      </c>
      <c r="M498" s="211"/>
      <c r="N498" s="211"/>
      <c r="O498" s="212" t="str">
        <f t="shared" si="228"/>
        <v/>
      </c>
      <c r="P498" s="211"/>
      <c r="Q498" s="211"/>
      <c r="R498" s="184">
        <f t="shared" si="229"/>
        <v>0</v>
      </c>
      <c r="S498" s="185" t="str">
        <f t="shared" si="230"/>
        <v/>
      </c>
      <c r="T498" s="213" t="str">
        <f t="shared" si="231"/>
        <v/>
      </c>
      <c r="U498" s="51"/>
      <c r="V498" s="54"/>
      <c r="X498" s="55" t="str">
        <f t="shared" si="224"/>
        <v/>
      </c>
      <c r="Z498" s="187"/>
      <c r="AB498" s="188"/>
      <c r="AD498" s="10" t="str">
        <f t="shared" si="225"/>
        <v/>
      </c>
      <c r="AE498" s="92" t="str">
        <f>+IF(OR($T$498="",X498="",X498="NO"),"",L498)</f>
        <v/>
      </c>
      <c r="AF498" s="92" t="str">
        <f>+IF(AE498="","",L498/$S$498)</f>
        <v/>
      </c>
    </row>
    <row r="499" spans="1:34" ht="36" customHeight="1" x14ac:dyDescent="0.2">
      <c r="B499" s="57" t="str">
        <f>"A"&amp;B486</f>
        <v>A29</v>
      </c>
      <c r="C499" s="382" t="str">
        <f>+$C$23</f>
        <v>¿CADA INTEGRANTE DE PROPONENTE PLURAL APORTAN CONTRATO?  (SI; NO; NA)</v>
      </c>
      <c r="D499" s="383"/>
      <c r="E499" s="383"/>
      <c r="F499" s="383"/>
      <c r="G499" s="383"/>
      <c r="H499" s="384"/>
      <c r="I499" s="217" t="str">
        <f>+IF(AG486="","",IF(AG486=1,"NA",IF(AND(AG486=3,(IF(COUNTIFS(C489:C498,AH489,AE489:AE498,"&gt;0")&gt;=1,1,0)+IF(COUNTIFS(C489:C498,AH490,AE489:AE498,"&gt;0")&gt;=1,1,0)+IF(COUNTIFS(C489:C498,AH491,AE489:AE498,"&gt;0")&gt;=1,1,0))&gt;=AG486),"SI",IF(AND(AG486=2,(IF(COUNTIFS(C489:C498,AH489,AE489:AE498,"&gt;0")&gt;=1,1,0)+IF(COUNTIFS(C489:C498,AH490,AE489:AE498,"&gt;0")&gt;=1,1,0))&gt;=AG486),"SI","NO"))))</f>
        <v>SI</v>
      </c>
      <c r="J499" s="59"/>
      <c r="K499" s="27"/>
      <c r="L499" s="27"/>
      <c r="M499" s="27"/>
      <c r="N499" s="27"/>
      <c r="O499" s="27"/>
      <c r="P499" s="385" t="str">
        <f>+$P$23</f>
        <v>FACTURACION MENSUAL TOTAL</v>
      </c>
      <c r="Q499" s="386"/>
      <c r="R499" s="386"/>
      <c r="S499" s="386"/>
      <c r="T499" s="189">
        <f>ROUND(SUM(T489:T498),3)</f>
        <v>268.96899999999999</v>
      </c>
      <c r="U499" s="60"/>
      <c r="V499" s="1"/>
      <c r="W499" s="61"/>
      <c r="X499" s="61"/>
      <c r="Y499" s="61"/>
      <c r="Z499" s="61"/>
      <c r="AA499" s="61"/>
      <c r="AB499" s="61"/>
    </row>
    <row r="500" spans="1:34" ht="38.25" customHeight="1" thickBot="1" x14ac:dyDescent="0.25">
      <c r="B500" s="57" t="str">
        <f>"B"&amp;B486</f>
        <v>B29</v>
      </c>
      <c r="C500" s="387" t="str">
        <f>+C483</f>
        <v>En caso de proponente plural: ¿De la totalidad de los contratos aportados por el proponente plural, el valor ejecutado de uno de ellos deberá ser igual o superior al 30% del P.O.?  (SI; NO; NA)</v>
      </c>
      <c r="D500" s="388"/>
      <c r="E500" s="388"/>
      <c r="F500" s="388"/>
      <c r="G500" s="389"/>
      <c r="H500" s="190">
        <f>+$H$6</f>
        <v>268.14722506074827</v>
      </c>
      <c r="I500" s="191" t="str">
        <f>+IF(AG486="","",IF(AG486=1,"NA",IF(AND(AG486&gt;1,(COUNTIFS(AD489:AD498,"SI",AE489:AE498,"&gt;0"))&gt;=1),"SI","NO")))</f>
        <v>SI</v>
      </c>
      <c r="J500" s="192"/>
      <c r="K500" s="193"/>
      <c r="L500" s="194"/>
      <c r="M500" s="194"/>
      <c r="N500" s="194"/>
      <c r="O500" s="194"/>
      <c r="P500" s="387" t="str">
        <f>+$P$24</f>
        <v>PROMEDIO FACTURACIÓN MENSUAL DEL PROPONENTE (PFMP)</v>
      </c>
      <c r="Q500" s="388"/>
      <c r="R500" s="388"/>
      <c r="S500" s="388"/>
      <c r="T500" s="195">
        <f t="array" ref="T500">IF(T499=0,0,ROUND(T499/(SUM(IF(FREQUENCY(A489:A498,A489:A498)&gt;0,1))),3))</f>
        <v>134.48500000000001</v>
      </c>
      <c r="U500" s="214"/>
      <c r="V500" s="1"/>
      <c r="W500" s="61"/>
      <c r="X500" s="61"/>
      <c r="Y500" s="61"/>
      <c r="Z500" s="61"/>
      <c r="AA500" s="61"/>
      <c r="AB500" s="61"/>
    </row>
    <row r="501" spans="1:34" ht="21" customHeight="1" thickBot="1" x14ac:dyDescent="0.25">
      <c r="B501" s="197" t="str">
        <f>"C"&amp;B486</f>
        <v>C29</v>
      </c>
      <c r="C501" s="349" t="str">
        <f>+$C$25</f>
        <v>PROPONENTE CUMPLE CON LAS ACTIVIDADES a) y b)? (SI; NO)</v>
      </c>
      <c r="D501" s="350"/>
      <c r="E501" s="350"/>
      <c r="F501" s="350"/>
      <c r="G501" s="350"/>
      <c r="H501" s="351"/>
      <c r="I501" s="198" t="str">
        <f>IF(C486="","",(IF(AND(COUNTIFS(X489:X498,"SI",Z489:Z498,"SI")&gt;=$Z$8,COUNTIFS(X489:X498,"SI",AB489:AB498,"SI")&gt;=$Z$8),"SI","NO")))</f>
        <v>SI</v>
      </c>
      <c r="J501" s="199"/>
      <c r="K501" s="200"/>
      <c r="L501" s="200"/>
      <c r="M501" s="200"/>
      <c r="N501" s="200"/>
      <c r="P501" s="378" t="str">
        <f>+$P$25</f>
        <v>VALOR PUNTAJE POR EXPERIENCIA DEL PROPONENTE</v>
      </c>
      <c r="Q501" s="379"/>
      <c r="R501" s="379"/>
      <c r="S501" s="380"/>
      <c r="T501" s="201">
        <f>IF(OR(C486="",'ASIGNACION DE PUNTAJES'!$C$5=""),"",VLOOKUP(B486,'ASIGNACION DE PUNTAJES'!$A$15:$G$69,7,FALSE))</f>
        <v>687.52800000000002</v>
      </c>
      <c r="V501" s="202"/>
    </row>
    <row r="502" spans="1:34" ht="12" thickBot="1" x14ac:dyDescent="0.25"/>
    <row r="503" spans="1:34" ht="36.75" customHeight="1" thickBot="1" x14ac:dyDescent="0.25">
      <c r="B503" s="23">
        <f>1+B486</f>
        <v>30</v>
      </c>
      <c r="C503" s="336" t="s">
        <v>928</v>
      </c>
      <c r="D503" s="337"/>
      <c r="E503" s="337"/>
      <c r="F503" s="337"/>
      <c r="G503" s="337"/>
      <c r="H503" s="337"/>
      <c r="I503" s="338"/>
      <c r="J503" s="24" t="str">
        <f>+IF(C503="","","INTEGRANTES")</f>
        <v>INTEGRANTES</v>
      </c>
      <c r="K503" s="339" t="s">
        <v>929</v>
      </c>
      <c r="L503" s="339"/>
      <c r="M503" s="339"/>
      <c r="N503" s="339"/>
      <c r="O503" s="339"/>
      <c r="P503" s="339"/>
      <c r="Q503" s="339"/>
      <c r="R503" s="396" t="str">
        <f>+$R$10</f>
        <v>PROPONENTE No.</v>
      </c>
      <c r="S503" s="397"/>
      <c r="T503" s="25">
        <f>+B503</f>
        <v>30</v>
      </c>
      <c r="U503" s="161" t="str">
        <f>+$U$10</f>
        <v>PFMP</v>
      </c>
      <c r="V503" s="162">
        <f>IF(T517="",0,T517)</f>
        <v>60.225999999999999</v>
      </c>
      <c r="X503" s="325" t="s">
        <v>168</v>
      </c>
      <c r="Z503" s="163" t="str">
        <f>+$Z$10</f>
        <v>EXP. ESPECÍFICA 
A:</v>
      </c>
      <c r="AB503" s="163" t="str">
        <f>+$AB$10</f>
        <v>EXP. ESPECÍFICA 
B:</v>
      </c>
      <c r="AG503" s="1">
        <v>3</v>
      </c>
    </row>
    <row r="504" spans="1:34" ht="42" customHeight="1" x14ac:dyDescent="0.2">
      <c r="B504" s="331" t="str">
        <f>+$B$11</f>
        <v>ITEM</v>
      </c>
      <c r="C504" s="318" t="str">
        <f>+$C$11</f>
        <v>PROPONENTE 
/ 
INTEGRANTE OFERENTE PLURAL</v>
      </c>
      <c r="D504" s="333" t="str">
        <f>+$D$11</f>
        <v>INFORMACIÓN DEL CONTRATO</v>
      </c>
      <c r="E504" s="334"/>
      <c r="F504" s="334"/>
      <c r="G504" s="335"/>
      <c r="H504" s="318" t="str">
        <f>+H487</f>
        <v>CONSECUTIVO RUP</v>
      </c>
      <c r="I504" s="318" t="str">
        <f>+$I$11</f>
        <v>¿SE ENCUENTRA INSCRITO EN EL RUP Y CUMPLE CÓDIGOS UNSPSC?</v>
      </c>
      <c r="J504" s="318" t="str">
        <f>+$J$11</f>
        <v xml:space="preserve">VALOR EN RUP (SMMLV) </v>
      </c>
      <c r="K504" s="318" t="str">
        <f>+$K$11</f>
        <v>% PARTIC en el RUP</v>
      </c>
      <c r="L504" s="318" t="str">
        <f>+$L$11</f>
        <v>VALOR DEL CONTRATO TERMINADO (SMMLV) en el   RUP</v>
      </c>
      <c r="M504" s="318" t="str">
        <f>+$M$11</f>
        <v>FECHA DE INICIO</v>
      </c>
      <c r="N504" s="318" t="str">
        <f>+$N$11</f>
        <v>FECHA DE TERMINACION</v>
      </c>
      <c r="O504" s="318" t="str">
        <f>+$O$11</f>
        <v>PLAZO CONTRA-TO (Meses)</v>
      </c>
      <c r="P504" s="390" t="str">
        <f>+$P$11</f>
        <v>Tsusp i</v>
      </c>
      <c r="Q504" s="391"/>
      <c r="R504" s="392"/>
      <c r="S504" s="318" t="str">
        <f>+$S$11</f>
        <v>PLAZO i REAL</v>
      </c>
      <c r="T504" s="318" t="str">
        <f>+$T$11</f>
        <v>FACTURA-CION MENSUAL PROPO-NENTE</v>
      </c>
      <c r="U504" s="318" t="str">
        <f>+$U$11</f>
        <v>VALIDACIÓN DE LA EXPERIENCIA GENERAL
(SI/NO)</v>
      </c>
      <c r="V504" s="393" t="str">
        <f>+$V$11</f>
        <v>OBSERVACIONES</v>
      </c>
      <c r="X504" s="326"/>
      <c r="Z504" s="381" t="str">
        <f>+$Z$11</f>
        <v>Interventoria a la ejecución de obras relacionadas con Colocación de capas granulares (tales como bases y/o sub-bases granulares).</v>
      </c>
      <c r="AB504" s="381" t="str">
        <f>+$AB$11</f>
        <v>Interventoria a la Ejecución de obras de subdrenaje y/o drenaje, en carreteras.</v>
      </c>
    </row>
    <row r="505" spans="1:34" ht="38.25" customHeight="1" thickBot="1" x14ac:dyDescent="0.25">
      <c r="B505" s="395"/>
      <c r="C505" s="348"/>
      <c r="D505" s="165" t="str">
        <f>+$D$12</f>
        <v>ENTIDAD</v>
      </c>
      <c r="E505" s="165" t="str">
        <f>+$E$12</f>
        <v>No. DE CONTRATO</v>
      </c>
      <c r="F505" s="165" t="str">
        <f>+$F$12</f>
        <v>OBJETO</v>
      </c>
      <c r="G505" s="165" t="str">
        <f>+$G$12</f>
        <v>CONTRATISTA</v>
      </c>
      <c r="H505" s="348"/>
      <c r="I505" s="348"/>
      <c r="J505" s="348"/>
      <c r="K505" s="348"/>
      <c r="L505" s="348"/>
      <c r="M505" s="348"/>
      <c r="N505" s="348"/>
      <c r="O505" s="348"/>
      <c r="P505" s="166" t="str">
        <f>+P488</f>
        <v>Finicsuspi</v>
      </c>
      <c r="Q505" s="166" t="str">
        <f>+Q488</f>
        <v xml:space="preserve"> Ftermsuspi </v>
      </c>
      <c r="R505" s="166" t="str">
        <f>+R488</f>
        <v>Tsusp i (meses)</v>
      </c>
      <c r="S505" s="348"/>
      <c r="T505" s="348"/>
      <c r="U505" s="348"/>
      <c r="V505" s="394"/>
      <c r="X505" s="327"/>
      <c r="Z505" s="381"/>
      <c r="AB505" s="381"/>
    </row>
    <row r="506" spans="1:34" s="27" customFormat="1" ht="85.5" customHeight="1" x14ac:dyDescent="0.2">
      <c r="A506" s="27">
        <f>+IF(T506="","",B506)</f>
        <v>1</v>
      </c>
      <c r="B506" s="28">
        <v>1</v>
      </c>
      <c r="C506" s="86" t="s">
        <v>472</v>
      </c>
      <c r="D506" s="86" t="s">
        <v>43</v>
      </c>
      <c r="E506" s="87" t="s">
        <v>473</v>
      </c>
      <c r="F506" s="87" t="s">
        <v>474</v>
      </c>
      <c r="G506" s="86" t="s">
        <v>472</v>
      </c>
      <c r="H506" s="30">
        <v>16</v>
      </c>
      <c r="I506" s="31" t="s">
        <v>16</v>
      </c>
      <c r="J506" s="32">
        <v>837.68</v>
      </c>
      <c r="K506" s="33">
        <v>1</v>
      </c>
      <c r="L506" s="34">
        <f>IF(OR(H506="",I506&lt;&gt;"SI",I506="NO",J506="",J506=0,K506="",K506=0,X506&lt;&gt;"SI"),0,J506*K506)</f>
        <v>837.68</v>
      </c>
      <c r="M506" s="204">
        <v>39289</v>
      </c>
      <c r="N506" s="204">
        <v>39736</v>
      </c>
      <c r="O506" s="169">
        <f>IF(OR(H506="",I506&lt;&gt;"SI",I506="NO",J506="",J506=0,K506="",K506=0,,M506="",N506=""),"",ROUND((((N506-M506)+1)/30),3))</f>
        <v>14.933</v>
      </c>
      <c r="P506" s="204">
        <v>39484</v>
      </c>
      <c r="Q506" s="204">
        <v>39490</v>
      </c>
      <c r="R506" s="170">
        <f>IF(OR((Q506-P506)=0,P506="",Q506=""),0,(ROUND((((Q506-P506)+1)/30),3)))</f>
        <v>0.23300000000000001</v>
      </c>
      <c r="S506" s="171">
        <f>IF(O506="","",ROUND(SUM(O506)-SUM(R506:R508),3))</f>
        <v>9.2330000000000005</v>
      </c>
      <c r="T506" s="172">
        <f>+IF(C506="","",IF(OR(S506="",S506&lt;=0,I506="",I506="NO",U506="",U506="NO",X506="NO"),"",ROUND(SUM(L506)/S506,3)))</f>
        <v>90.727000000000004</v>
      </c>
      <c r="U506" s="35" t="s">
        <v>16</v>
      </c>
      <c r="V506" s="36"/>
      <c r="W506" s="205"/>
      <c r="X506" s="37" t="str">
        <f t="shared" ref="X506:X515" si="232">+IF(C506="","",IF(AND(H506&lt;&gt;"",I506="SI",J506&lt;&gt;"",J506&gt;0,K506&lt;&gt;"",K506&gt;0,S506&lt;&gt;"",S506&gt;0,U506="SI"),"SI","NO"))</f>
        <v>SI</v>
      </c>
      <c r="Z506" s="173" t="s">
        <v>211</v>
      </c>
      <c r="AB506" s="173" t="s">
        <v>16</v>
      </c>
      <c r="AD506" s="10" t="str">
        <f t="shared" ref="AD506:AD515" si="233">+IF($C$503="","",IF(C506="","",IF(L506&gt;=$H$6,"SI","NO")))</f>
        <v>SI</v>
      </c>
      <c r="AE506" s="92">
        <f>+IF(OR($T$506="",X506="",X506="NO"),"",L506)</f>
        <v>837.68</v>
      </c>
      <c r="AF506" s="92">
        <f>+IF(AE506="","",L506/$S$506)</f>
        <v>90.72674103758257</v>
      </c>
      <c r="AG506" s="174">
        <f>0.1+B503</f>
        <v>30.1</v>
      </c>
      <c r="AH506" s="27" t="s">
        <v>472</v>
      </c>
    </row>
    <row r="507" spans="1:34" s="27" customFormat="1" ht="12.75" x14ac:dyDescent="0.2">
      <c r="A507" s="27" t="str">
        <f t="shared" ref="A507:A515" si="234">+IF(T507="","",B507)</f>
        <v/>
      </c>
      <c r="B507" s="38"/>
      <c r="C507" s="39"/>
      <c r="D507" s="39"/>
      <c r="E507" s="46"/>
      <c r="F507" s="46"/>
      <c r="G507" s="39"/>
      <c r="H507" s="40"/>
      <c r="I507" s="41"/>
      <c r="J507" s="42"/>
      <c r="K507" s="43"/>
      <c r="L507" s="44">
        <f t="shared" ref="L507:L515" si="235">IF(OR(H507="",I507&lt;&gt;"SI",I507="NO",J507="",J507=0,K507="",K507=0,X507&lt;&gt;"SI"),0,J507*K507)</f>
        <v>0</v>
      </c>
      <c r="M507" s="206"/>
      <c r="N507" s="206"/>
      <c r="O507" s="207" t="str">
        <f t="shared" ref="O507:O515" si="236">IF(OR(H507="",I507&lt;&gt;"SI",I507="NO",J507="",J507=0,K507="",K507=0,,M507="",N507=""),"",ROUND((((N507-M507)+1)/30),3))</f>
        <v/>
      </c>
      <c r="P507" s="206">
        <v>39506</v>
      </c>
      <c r="Q507" s="206">
        <v>39609</v>
      </c>
      <c r="R507" s="177">
        <f t="shared" ref="R507:R515" si="237">IF(OR((Q507-P507)=0,P507="",Q507=""),0,(ROUND((((Q507-P507)+1)/30),3)))</f>
        <v>3.4670000000000001</v>
      </c>
      <c r="S507" s="178" t="str">
        <f t="shared" ref="S507:S515" si="238">IF(O507="","",ROUND(SUM(O507)-SUM(R507),3))</f>
        <v/>
      </c>
      <c r="T507" s="208" t="str">
        <f t="shared" ref="T507:T515" si="239">+IF(C507="","",IF(OR(S507="",S507&lt;=0,I507="",I507="NO",U507="",U507="NO",X507="NO"),"",ROUND(SUM(L507)/S507,3)))</f>
        <v/>
      </c>
      <c r="U507" s="41"/>
      <c r="V507" s="209"/>
      <c r="W507" s="205"/>
      <c r="X507" s="37" t="str">
        <f t="shared" si="232"/>
        <v/>
      </c>
      <c r="Z507" s="173"/>
      <c r="AB507" s="173"/>
      <c r="AD507" s="10" t="str">
        <f t="shared" si="233"/>
        <v/>
      </c>
      <c r="AE507" s="92" t="str">
        <f>+IF(OR($T$507="",X507="",X507="NO"),"",L507)</f>
        <v/>
      </c>
      <c r="AF507" s="92" t="str">
        <f>+IF(AE507="","",L507/$S$507)</f>
        <v/>
      </c>
      <c r="AG507" s="174">
        <f>0.2+B503</f>
        <v>30.2</v>
      </c>
      <c r="AH507" s="27" t="s">
        <v>145</v>
      </c>
    </row>
    <row r="508" spans="1:34" s="27" customFormat="1" ht="12.75" x14ac:dyDescent="0.2">
      <c r="A508" s="27" t="str">
        <f t="shared" si="234"/>
        <v/>
      </c>
      <c r="B508" s="38"/>
      <c r="C508" s="39"/>
      <c r="D508" s="39"/>
      <c r="E508" s="46"/>
      <c r="F508" s="46"/>
      <c r="G508" s="39"/>
      <c r="H508" s="40"/>
      <c r="I508" s="41"/>
      <c r="J508" s="42"/>
      <c r="K508" s="43"/>
      <c r="L508" s="44">
        <f t="shared" si="235"/>
        <v>0</v>
      </c>
      <c r="M508" s="206"/>
      <c r="N508" s="206"/>
      <c r="O508" s="207" t="str">
        <f t="shared" si="236"/>
        <v/>
      </c>
      <c r="P508" s="206">
        <v>39647</v>
      </c>
      <c r="Q508" s="206">
        <v>39706</v>
      </c>
      <c r="R508" s="177">
        <f t="shared" si="237"/>
        <v>2</v>
      </c>
      <c r="S508" s="178" t="str">
        <f t="shared" si="238"/>
        <v/>
      </c>
      <c r="T508" s="208" t="str">
        <f t="shared" si="239"/>
        <v/>
      </c>
      <c r="U508" s="41"/>
      <c r="V508" s="45"/>
      <c r="W508" s="205"/>
      <c r="X508" s="37" t="str">
        <f t="shared" si="232"/>
        <v/>
      </c>
      <c r="Z508" s="173"/>
      <c r="AB508" s="173"/>
      <c r="AD508" s="10" t="str">
        <f t="shared" si="233"/>
        <v/>
      </c>
      <c r="AE508" s="92" t="str">
        <f>+IF(OR($T$508="",X508="",X508="NO"),"",L508)</f>
        <v/>
      </c>
      <c r="AF508" s="92" t="str">
        <f>+IF(AE508="","",L508/$S$508)</f>
        <v/>
      </c>
      <c r="AG508" s="174">
        <f>0.3+B503</f>
        <v>30.3</v>
      </c>
      <c r="AH508" s="27" t="s">
        <v>475</v>
      </c>
    </row>
    <row r="509" spans="1:34" s="27" customFormat="1" ht="69" customHeight="1" x14ac:dyDescent="0.2">
      <c r="A509" s="27">
        <f t="shared" si="234"/>
        <v>2</v>
      </c>
      <c r="B509" s="38">
        <v>2</v>
      </c>
      <c r="C509" s="39" t="s">
        <v>475</v>
      </c>
      <c r="D509" s="39" t="s">
        <v>476</v>
      </c>
      <c r="E509" s="46" t="s">
        <v>477</v>
      </c>
      <c r="F509" s="46" t="s">
        <v>478</v>
      </c>
      <c r="G509" s="39" t="s">
        <v>479</v>
      </c>
      <c r="H509" s="40">
        <v>1</v>
      </c>
      <c r="I509" s="41" t="s">
        <v>16</v>
      </c>
      <c r="J509" s="42">
        <v>1131.1400000000001</v>
      </c>
      <c r="K509" s="43">
        <v>0.24</v>
      </c>
      <c r="L509" s="44">
        <f t="shared" si="235"/>
        <v>271.47360000000003</v>
      </c>
      <c r="M509" s="206">
        <v>39987</v>
      </c>
      <c r="N509" s="206">
        <v>40394</v>
      </c>
      <c r="O509" s="207">
        <f t="shared" si="236"/>
        <v>13.6</v>
      </c>
      <c r="P509" s="206">
        <v>40140</v>
      </c>
      <c r="Q509" s="206">
        <v>40273</v>
      </c>
      <c r="R509" s="177">
        <f t="shared" si="237"/>
        <v>4.4669999999999996</v>
      </c>
      <c r="S509" s="178">
        <f t="shared" si="238"/>
        <v>9.1329999999999991</v>
      </c>
      <c r="T509" s="208">
        <f t="shared" si="239"/>
        <v>29.724</v>
      </c>
      <c r="U509" s="41" t="s">
        <v>16</v>
      </c>
      <c r="V509" s="45"/>
      <c r="W509" s="205"/>
      <c r="X509" s="37" t="str">
        <f t="shared" si="232"/>
        <v>SI</v>
      </c>
      <c r="Z509" s="180" t="s">
        <v>16</v>
      </c>
      <c r="AB509" s="173" t="s">
        <v>211</v>
      </c>
      <c r="AD509" s="10" t="str">
        <f t="shared" si="233"/>
        <v>SI</v>
      </c>
      <c r="AE509" s="92">
        <f>+IF(OR($T$509="",X509="",X509="NO"),"",L509)</f>
        <v>271.47360000000003</v>
      </c>
      <c r="AF509" s="92">
        <f>+IF(AE509="","",L509/$S$509)</f>
        <v>29.724471696047306</v>
      </c>
      <c r="AG509" s="174"/>
    </row>
    <row r="510" spans="1:34" s="27" customFormat="1" ht="209.25" customHeight="1" x14ac:dyDescent="0.2">
      <c r="A510" s="27" t="str">
        <f t="shared" si="234"/>
        <v/>
      </c>
      <c r="B510" s="38">
        <v>3</v>
      </c>
      <c r="C510" s="39" t="s">
        <v>145</v>
      </c>
      <c r="D510" s="39" t="s">
        <v>480</v>
      </c>
      <c r="E510" s="46" t="s">
        <v>481</v>
      </c>
      <c r="F510" s="46" t="s">
        <v>482</v>
      </c>
      <c r="G510" s="39" t="s">
        <v>483</v>
      </c>
      <c r="H510" s="40"/>
      <c r="I510" s="41"/>
      <c r="J510" s="42"/>
      <c r="K510" s="43"/>
      <c r="L510" s="44">
        <f t="shared" si="235"/>
        <v>0</v>
      </c>
      <c r="M510" s="206"/>
      <c r="N510" s="206"/>
      <c r="O510" s="207" t="str">
        <f t="shared" si="236"/>
        <v/>
      </c>
      <c r="P510" s="206"/>
      <c r="Q510" s="206"/>
      <c r="R510" s="177">
        <f t="shared" si="237"/>
        <v>0</v>
      </c>
      <c r="S510" s="178" t="str">
        <f t="shared" si="238"/>
        <v/>
      </c>
      <c r="T510" s="208" t="str">
        <f t="shared" si="239"/>
        <v/>
      </c>
      <c r="U510" s="41" t="s">
        <v>211</v>
      </c>
      <c r="V510" s="45" t="s">
        <v>484</v>
      </c>
      <c r="W510" s="205"/>
      <c r="X510" s="37" t="str">
        <f t="shared" si="232"/>
        <v>NO</v>
      </c>
      <c r="Z510" s="181" t="s">
        <v>211</v>
      </c>
      <c r="AB510" s="173" t="s">
        <v>211</v>
      </c>
      <c r="AD510" s="10" t="str">
        <f t="shared" si="233"/>
        <v>NO</v>
      </c>
      <c r="AE510" s="92" t="str">
        <f>+IF(OR($T$510="",X510="",X510="NO"),"",L510)</f>
        <v/>
      </c>
      <c r="AF510" s="92" t="str">
        <f>+IF(AE510="","",L510/$S$510)</f>
        <v/>
      </c>
      <c r="AG510" s="174"/>
    </row>
    <row r="511" spans="1:34" s="27" customFormat="1" ht="12.75" x14ac:dyDescent="0.2">
      <c r="A511" s="27" t="str">
        <f t="shared" si="234"/>
        <v/>
      </c>
      <c r="B511" s="38"/>
      <c r="C511" s="39"/>
      <c r="D511" s="39"/>
      <c r="E511" s="46"/>
      <c r="F511" s="46"/>
      <c r="G511" s="39"/>
      <c r="H511" s="40"/>
      <c r="I511" s="41"/>
      <c r="J511" s="42"/>
      <c r="K511" s="43"/>
      <c r="L511" s="44">
        <f t="shared" si="235"/>
        <v>0</v>
      </c>
      <c r="M511" s="206"/>
      <c r="N511" s="206"/>
      <c r="O511" s="207" t="str">
        <f t="shared" si="236"/>
        <v/>
      </c>
      <c r="P511" s="206"/>
      <c r="Q511" s="206"/>
      <c r="R511" s="177">
        <f t="shared" si="237"/>
        <v>0</v>
      </c>
      <c r="S511" s="178" t="str">
        <f t="shared" si="238"/>
        <v/>
      </c>
      <c r="T511" s="208" t="str">
        <f t="shared" si="239"/>
        <v/>
      </c>
      <c r="U511" s="41"/>
      <c r="V511" s="45"/>
      <c r="X511" s="37" t="str">
        <f t="shared" si="232"/>
        <v/>
      </c>
      <c r="Z511" s="181"/>
      <c r="AB511" s="173"/>
      <c r="AD511" s="10" t="str">
        <f t="shared" si="233"/>
        <v/>
      </c>
      <c r="AE511" s="92" t="str">
        <f>+IF(OR($T$511="",X511="",X511="NO"),"",L511)</f>
        <v/>
      </c>
      <c r="AF511" s="92" t="str">
        <f>+IF(AE511="","",L511/$S$511)</f>
        <v/>
      </c>
      <c r="AG511" s="174"/>
    </row>
    <row r="512" spans="1:34" s="27" customFormat="1" ht="12.75" x14ac:dyDescent="0.2">
      <c r="A512" s="27" t="str">
        <f t="shared" si="234"/>
        <v/>
      </c>
      <c r="B512" s="38"/>
      <c r="C512" s="39"/>
      <c r="D512" s="39"/>
      <c r="E512" s="46"/>
      <c r="F512" s="46"/>
      <c r="G512" s="39"/>
      <c r="H512" s="40"/>
      <c r="I512" s="41"/>
      <c r="J512" s="42"/>
      <c r="K512" s="43"/>
      <c r="L512" s="44">
        <f t="shared" si="235"/>
        <v>0</v>
      </c>
      <c r="M512" s="206"/>
      <c r="N512" s="206"/>
      <c r="O512" s="207" t="str">
        <f t="shared" si="236"/>
        <v/>
      </c>
      <c r="P512" s="206"/>
      <c r="Q512" s="206"/>
      <c r="R512" s="177">
        <f t="shared" si="237"/>
        <v>0</v>
      </c>
      <c r="S512" s="178" t="str">
        <f t="shared" si="238"/>
        <v/>
      </c>
      <c r="T512" s="208" t="str">
        <f t="shared" si="239"/>
        <v/>
      </c>
      <c r="U512" s="41"/>
      <c r="V512" s="45"/>
      <c r="X512" s="37" t="str">
        <f t="shared" si="232"/>
        <v/>
      </c>
      <c r="Z512" s="181"/>
      <c r="AB512" s="173"/>
      <c r="AD512" s="10" t="str">
        <f t="shared" si="233"/>
        <v/>
      </c>
      <c r="AE512" s="92" t="str">
        <f>+IF(OR($T$512="",X512="",X512="NO"),"",L512)</f>
        <v/>
      </c>
      <c r="AF512" s="92" t="str">
        <f>+IF(AE512="","",L512/$S$512)</f>
        <v/>
      </c>
      <c r="AG512" s="174"/>
    </row>
    <row r="513" spans="1:34" s="27" customFormat="1" ht="12.75" x14ac:dyDescent="0.2">
      <c r="A513" s="27" t="str">
        <f t="shared" si="234"/>
        <v/>
      </c>
      <c r="B513" s="38"/>
      <c r="C513" s="39"/>
      <c r="D513" s="39"/>
      <c r="E513" s="46"/>
      <c r="F513" s="46"/>
      <c r="G513" s="39"/>
      <c r="H513" s="40"/>
      <c r="I513" s="41"/>
      <c r="J513" s="42"/>
      <c r="K513" s="43"/>
      <c r="L513" s="44">
        <f t="shared" si="235"/>
        <v>0</v>
      </c>
      <c r="M513" s="206"/>
      <c r="N513" s="206"/>
      <c r="O513" s="207" t="str">
        <f t="shared" si="236"/>
        <v/>
      </c>
      <c r="P513" s="206"/>
      <c r="Q513" s="206"/>
      <c r="R513" s="177">
        <f t="shared" si="237"/>
        <v>0</v>
      </c>
      <c r="S513" s="178" t="str">
        <f t="shared" si="238"/>
        <v/>
      </c>
      <c r="T513" s="208" t="str">
        <f t="shared" si="239"/>
        <v/>
      </c>
      <c r="U513" s="41"/>
      <c r="V513" s="45"/>
      <c r="X513" s="37" t="str">
        <f t="shared" si="232"/>
        <v/>
      </c>
      <c r="Z513" s="181"/>
      <c r="AB513" s="173"/>
      <c r="AD513" s="10" t="str">
        <f t="shared" si="233"/>
        <v/>
      </c>
      <c r="AE513" s="92" t="str">
        <f>+IF(OR($T$513="",X513="",X513="NO"),"",L513)</f>
        <v/>
      </c>
      <c r="AF513" s="92" t="str">
        <f>+IF(AE513="","",L513/$S$513)</f>
        <v/>
      </c>
      <c r="AG513" s="174"/>
    </row>
    <row r="514" spans="1:34" s="27" customFormat="1" ht="12.75" x14ac:dyDescent="0.2">
      <c r="A514" s="27" t="str">
        <f t="shared" si="234"/>
        <v/>
      </c>
      <c r="B514" s="38"/>
      <c r="C514" s="39"/>
      <c r="D514" s="39"/>
      <c r="E514" s="46"/>
      <c r="F514" s="46"/>
      <c r="G514" s="39"/>
      <c r="H514" s="40"/>
      <c r="I514" s="41"/>
      <c r="J514" s="42"/>
      <c r="K514" s="43"/>
      <c r="L514" s="44">
        <f t="shared" si="235"/>
        <v>0</v>
      </c>
      <c r="M514" s="206"/>
      <c r="N514" s="206"/>
      <c r="O514" s="207" t="str">
        <f t="shared" si="236"/>
        <v/>
      </c>
      <c r="P514" s="206"/>
      <c r="Q514" s="206"/>
      <c r="R514" s="177">
        <f t="shared" si="237"/>
        <v>0</v>
      </c>
      <c r="S514" s="178" t="str">
        <f t="shared" si="238"/>
        <v/>
      </c>
      <c r="T514" s="208" t="str">
        <f t="shared" si="239"/>
        <v/>
      </c>
      <c r="U514" s="41"/>
      <c r="V514" s="45"/>
      <c r="X514" s="37" t="str">
        <f t="shared" si="232"/>
        <v/>
      </c>
      <c r="Z514" s="181"/>
      <c r="AB514" s="173"/>
      <c r="AD514" s="10" t="str">
        <f t="shared" si="233"/>
        <v/>
      </c>
      <c r="AE514" s="92" t="str">
        <f>+IF(OR($T$514="",X514="",X514="NO"),"",L514)</f>
        <v/>
      </c>
      <c r="AF514" s="92" t="str">
        <f>+IF(AE514="","",L514/$S$514)</f>
        <v/>
      </c>
      <c r="AG514" s="174"/>
    </row>
    <row r="515" spans="1:34" s="27" customFormat="1" ht="13.5" thickBot="1" x14ac:dyDescent="0.25">
      <c r="A515" s="27" t="str">
        <f t="shared" si="234"/>
        <v/>
      </c>
      <c r="B515" s="47"/>
      <c r="C515" s="48"/>
      <c r="D515" s="48"/>
      <c r="E515" s="49"/>
      <c r="F515" s="49"/>
      <c r="G515" s="48"/>
      <c r="H515" s="50"/>
      <c r="I515" s="51"/>
      <c r="J515" s="14"/>
      <c r="K515" s="52"/>
      <c r="L515" s="53">
        <f t="shared" si="235"/>
        <v>0</v>
      </c>
      <c r="M515" s="211"/>
      <c r="N515" s="211"/>
      <c r="O515" s="212" t="str">
        <f t="shared" si="236"/>
        <v/>
      </c>
      <c r="P515" s="211"/>
      <c r="Q515" s="211"/>
      <c r="R515" s="184">
        <f t="shared" si="237"/>
        <v>0</v>
      </c>
      <c r="S515" s="185" t="str">
        <f t="shared" si="238"/>
        <v/>
      </c>
      <c r="T515" s="213" t="str">
        <f t="shared" si="239"/>
        <v/>
      </c>
      <c r="U515" s="51"/>
      <c r="V515" s="54"/>
      <c r="X515" s="55" t="str">
        <f t="shared" si="232"/>
        <v/>
      </c>
      <c r="Z515" s="187"/>
      <c r="AB515" s="188"/>
      <c r="AD515" s="10" t="str">
        <f t="shared" si="233"/>
        <v/>
      </c>
      <c r="AE515" s="92" t="str">
        <f>+IF(OR($T$515="",X515="",X515="NO"),"",L515)</f>
        <v/>
      </c>
      <c r="AF515" s="92" t="str">
        <f>+IF(AE515="","",L515/$S$515)</f>
        <v/>
      </c>
    </row>
    <row r="516" spans="1:34" ht="36" customHeight="1" x14ac:dyDescent="0.2">
      <c r="B516" s="57" t="str">
        <f>"A"&amp;B503</f>
        <v>A30</v>
      </c>
      <c r="C516" s="382" t="str">
        <f>+$C$23</f>
        <v>¿CADA INTEGRANTE DE PROPONENTE PLURAL APORTAN CONTRATO?  (SI; NO; NA)</v>
      </c>
      <c r="D516" s="383"/>
      <c r="E516" s="383"/>
      <c r="F516" s="383"/>
      <c r="G516" s="383"/>
      <c r="H516" s="384"/>
      <c r="I516" s="217" t="str">
        <f>+IF(AG503="","",IF(AG503=1,"NA",IF(AND(AG503=3,(IF(COUNTIFS(C506:C515,AH506,AE506:AE515,"&gt;0")&gt;=1,1,0)+IF(COUNTIFS(C506:C515,AH507,AE506:AE515,"&gt;0")&gt;=1,1,0)+IF(COUNTIFS(C506:C515,AH508,AE506:AE515,"&gt;0")&gt;=1,1,0))&gt;=AG503),"SI",IF(AND(AG503=2,(IF(COUNTIFS(C506:C515,AH506,AE506:AE515,"&gt;0")&gt;=1,1,0)+IF(COUNTIFS(C506:C515,AH507,AE506:AE515,"&gt;0")&gt;=1,1,0))&gt;=AG503),"SI","NO"))))</f>
        <v>NO</v>
      </c>
      <c r="J516" s="59"/>
      <c r="K516" s="27"/>
      <c r="L516" s="27"/>
      <c r="M516" s="27"/>
      <c r="N516" s="27"/>
      <c r="O516" s="27"/>
      <c r="P516" s="385" t="str">
        <f>+$P$23</f>
        <v>FACTURACION MENSUAL TOTAL</v>
      </c>
      <c r="Q516" s="386"/>
      <c r="R516" s="386"/>
      <c r="S516" s="386"/>
      <c r="T516" s="189">
        <f>ROUND(SUM(T506:T515),3)</f>
        <v>120.45099999999999</v>
      </c>
      <c r="U516" s="60"/>
      <c r="V516" s="1"/>
      <c r="W516" s="61"/>
      <c r="X516" s="61"/>
      <c r="Y516" s="61"/>
      <c r="Z516" s="61"/>
      <c r="AA516" s="61"/>
      <c r="AB516" s="61"/>
    </row>
    <row r="517" spans="1:34" ht="38.25" customHeight="1" thickBot="1" x14ac:dyDescent="0.25">
      <c r="B517" s="57" t="str">
        <f>"B"&amp;B503</f>
        <v>B30</v>
      </c>
      <c r="C517" s="387" t="str">
        <f>+C500</f>
        <v>En caso de proponente plural: ¿De la totalidad de los contratos aportados por el proponente plural, el valor ejecutado de uno de ellos deberá ser igual o superior al 30% del P.O.?  (SI; NO; NA)</v>
      </c>
      <c r="D517" s="388"/>
      <c r="E517" s="388"/>
      <c r="F517" s="388"/>
      <c r="G517" s="389"/>
      <c r="H517" s="190">
        <f>+$H$6</f>
        <v>268.14722506074827</v>
      </c>
      <c r="I517" s="191" t="str">
        <f>+IF(AG503="","",IF(AG503=1,"NA",IF(AND(AG503&gt;1,(COUNTIFS(AD506:AD515,"SI",AE506:AE515,"&gt;0"))&gt;=1),"SI","NO")))</f>
        <v>SI</v>
      </c>
      <c r="J517" s="192"/>
      <c r="K517" s="193"/>
      <c r="L517" s="194"/>
      <c r="M517" s="194"/>
      <c r="N517" s="194"/>
      <c r="O517" s="194"/>
      <c r="P517" s="387" t="str">
        <f>+$P$24</f>
        <v>PROMEDIO FACTURACIÓN MENSUAL DEL PROPONENTE (PFMP)</v>
      </c>
      <c r="Q517" s="388"/>
      <c r="R517" s="388"/>
      <c r="S517" s="388"/>
      <c r="T517" s="195">
        <f t="array" ref="T517">IF(T516=0,0,ROUND(T516/(SUM(IF(FREQUENCY(A506:A515,A506:A515)&gt;0,1))),3))</f>
        <v>60.225999999999999</v>
      </c>
      <c r="U517" s="214"/>
      <c r="V517" s="1"/>
      <c r="W517" s="61"/>
      <c r="X517" s="61"/>
      <c r="Y517" s="61"/>
      <c r="Z517" s="61"/>
      <c r="AA517" s="61"/>
      <c r="AB517" s="61"/>
    </row>
    <row r="518" spans="1:34" ht="21" customHeight="1" thickBot="1" x14ac:dyDescent="0.25">
      <c r="B518" s="197" t="str">
        <f>"C"&amp;B503</f>
        <v>C30</v>
      </c>
      <c r="C518" s="349" t="str">
        <f>+$C$25</f>
        <v>PROPONENTE CUMPLE CON LAS ACTIVIDADES a) y b)? (SI; NO)</v>
      </c>
      <c r="D518" s="350"/>
      <c r="E518" s="350"/>
      <c r="F518" s="350"/>
      <c r="G518" s="350"/>
      <c r="H518" s="351"/>
      <c r="I518" s="198" t="str">
        <f>IF(C503="","",(IF(AND(COUNTIFS(X506:X515,"SI",Z506:Z515,"SI")&gt;=$Z$8,COUNTIFS(X506:X515,"SI",AB506:AB515,"SI")&gt;=$Z$8),"SI","NO")))</f>
        <v>SI</v>
      </c>
      <c r="J518" s="199"/>
      <c r="K518" s="200"/>
      <c r="L518" s="200"/>
      <c r="M518" s="200"/>
      <c r="N518" s="200"/>
      <c r="P518" s="378" t="str">
        <f>+$P$25</f>
        <v>VALOR PUNTAJE POR EXPERIENCIA DEL PROPONENTE</v>
      </c>
      <c r="Q518" s="379"/>
      <c r="R518" s="379"/>
      <c r="S518" s="380"/>
      <c r="T518" s="201" t="str">
        <f>IF(OR(C503="",'ASIGNACION DE PUNTAJES'!$C$5=""),"",VLOOKUP(B503,'ASIGNACION DE PUNTAJES'!$A$15:$G$69,7,FALSE))</f>
        <v/>
      </c>
      <c r="V518" s="202"/>
    </row>
    <row r="519" spans="1:34" ht="12" thickBot="1" x14ac:dyDescent="0.25"/>
    <row r="520" spans="1:34" ht="36.75" customHeight="1" thickBot="1" x14ac:dyDescent="0.25">
      <c r="B520" s="23">
        <f>1+B503</f>
        <v>31</v>
      </c>
      <c r="C520" s="336" t="s">
        <v>150</v>
      </c>
      <c r="D520" s="337"/>
      <c r="E520" s="337"/>
      <c r="F520" s="337"/>
      <c r="G520" s="337"/>
      <c r="H520" s="337"/>
      <c r="I520" s="338"/>
      <c r="J520" s="24" t="str">
        <f>+IF(C520="","","INTEGRANTES")</f>
        <v>INTEGRANTES</v>
      </c>
      <c r="K520" s="339" t="s">
        <v>890</v>
      </c>
      <c r="L520" s="339"/>
      <c r="M520" s="339"/>
      <c r="N520" s="339"/>
      <c r="O520" s="339"/>
      <c r="P520" s="339"/>
      <c r="Q520" s="339"/>
      <c r="R520" s="396" t="str">
        <f>+$R$10</f>
        <v>PROPONENTE No.</v>
      </c>
      <c r="S520" s="397"/>
      <c r="T520" s="25">
        <f>+B520</f>
        <v>31</v>
      </c>
      <c r="U520" s="161" t="str">
        <f>+$U$10</f>
        <v>PFMP</v>
      </c>
      <c r="V520" s="162">
        <f>IF(T534="",0,T534)</f>
        <v>188.78200000000001</v>
      </c>
      <c r="X520" s="325" t="s">
        <v>168</v>
      </c>
      <c r="Z520" s="163" t="str">
        <f>+$Z$10</f>
        <v>EXP. ESPECÍFICA 
A:</v>
      </c>
      <c r="AB520" s="163" t="str">
        <f>+$AB$10</f>
        <v>EXP. ESPECÍFICA 
B:</v>
      </c>
      <c r="AG520" s="1">
        <v>1</v>
      </c>
    </row>
    <row r="521" spans="1:34" ht="42" customHeight="1" x14ac:dyDescent="0.2">
      <c r="B521" s="331" t="str">
        <f>+$B$11</f>
        <v>ITEM</v>
      </c>
      <c r="C521" s="318" t="str">
        <f>+$C$11</f>
        <v>PROPONENTE 
/ 
INTEGRANTE OFERENTE PLURAL</v>
      </c>
      <c r="D521" s="333" t="str">
        <f>+$D$11</f>
        <v>INFORMACIÓN DEL CONTRATO</v>
      </c>
      <c r="E521" s="334"/>
      <c r="F521" s="334"/>
      <c r="G521" s="335"/>
      <c r="H521" s="318" t="str">
        <f>+H504</f>
        <v>CONSECUTIVO RUP</v>
      </c>
      <c r="I521" s="318" t="str">
        <f>+$I$11</f>
        <v>¿SE ENCUENTRA INSCRITO EN EL RUP Y CUMPLE CÓDIGOS UNSPSC?</v>
      </c>
      <c r="J521" s="318" t="str">
        <f>+$J$11</f>
        <v xml:space="preserve">VALOR EN RUP (SMMLV) </v>
      </c>
      <c r="K521" s="318" t="str">
        <f>+$K$11</f>
        <v>% PARTIC en el RUP</v>
      </c>
      <c r="L521" s="318" t="str">
        <f>+$L$11</f>
        <v>VALOR DEL CONTRATO TERMINADO (SMMLV) en el   RUP</v>
      </c>
      <c r="M521" s="318" t="str">
        <f>+$M$11</f>
        <v>FECHA DE INICIO</v>
      </c>
      <c r="N521" s="318" t="str">
        <f>+$N$11</f>
        <v>FECHA DE TERMINACION</v>
      </c>
      <c r="O521" s="318" t="str">
        <f>+$O$11</f>
        <v>PLAZO CONTRA-TO (Meses)</v>
      </c>
      <c r="P521" s="390" t="str">
        <f>+$P$11</f>
        <v>Tsusp i</v>
      </c>
      <c r="Q521" s="391"/>
      <c r="R521" s="392"/>
      <c r="S521" s="318" t="str">
        <f>+$S$11</f>
        <v>PLAZO i REAL</v>
      </c>
      <c r="T521" s="318" t="str">
        <f>+$T$11</f>
        <v>FACTURA-CION MENSUAL PROPO-NENTE</v>
      </c>
      <c r="U521" s="318" t="str">
        <f>+$U$11</f>
        <v>VALIDACIÓN DE LA EXPERIENCIA GENERAL
(SI/NO)</v>
      </c>
      <c r="V521" s="393" t="str">
        <f>+$V$11</f>
        <v>OBSERVACIONES</v>
      </c>
      <c r="X521" s="326"/>
      <c r="Z521" s="381" t="str">
        <f>+$Z$11</f>
        <v>Interventoria a la ejecución de obras relacionadas con Colocación de capas granulares (tales como bases y/o sub-bases granulares).</v>
      </c>
      <c r="AB521" s="381" t="str">
        <f>+$AB$11</f>
        <v>Interventoria a la Ejecución de obras de subdrenaje y/o drenaje, en carreteras.</v>
      </c>
    </row>
    <row r="522" spans="1:34" ht="38.25" customHeight="1" thickBot="1" x14ac:dyDescent="0.25">
      <c r="B522" s="395"/>
      <c r="C522" s="348"/>
      <c r="D522" s="165" t="str">
        <f>+$D$12</f>
        <v>ENTIDAD</v>
      </c>
      <c r="E522" s="165" t="str">
        <f>+$E$12</f>
        <v>No. DE CONTRATO</v>
      </c>
      <c r="F522" s="165" t="str">
        <f>+$F$12</f>
        <v>OBJETO</v>
      </c>
      <c r="G522" s="165" t="str">
        <f>+$G$12</f>
        <v>CONTRATISTA</v>
      </c>
      <c r="H522" s="348"/>
      <c r="I522" s="348"/>
      <c r="J522" s="348"/>
      <c r="K522" s="348"/>
      <c r="L522" s="348"/>
      <c r="M522" s="348"/>
      <c r="N522" s="348"/>
      <c r="O522" s="348"/>
      <c r="P522" s="166" t="str">
        <f>+P505</f>
        <v>Finicsuspi</v>
      </c>
      <c r="Q522" s="166" t="str">
        <f>+Q505</f>
        <v xml:space="preserve"> Ftermsuspi </v>
      </c>
      <c r="R522" s="166" t="str">
        <f>+R505</f>
        <v>Tsusp i (meses)</v>
      </c>
      <c r="S522" s="348"/>
      <c r="T522" s="348"/>
      <c r="U522" s="348"/>
      <c r="V522" s="394"/>
      <c r="X522" s="327"/>
      <c r="Z522" s="381"/>
      <c r="AB522" s="381"/>
    </row>
    <row r="523" spans="1:34" s="27" customFormat="1" ht="276" customHeight="1" x14ac:dyDescent="0.2">
      <c r="A523" s="27" t="str">
        <f>+IF(T523="","",B523)</f>
        <v/>
      </c>
      <c r="B523" s="28">
        <v>1</v>
      </c>
      <c r="C523" s="86" t="s">
        <v>150</v>
      </c>
      <c r="D523" s="86" t="s">
        <v>485</v>
      </c>
      <c r="E523" s="87" t="s">
        <v>486</v>
      </c>
      <c r="F523" s="87" t="s">
        <v>487</v>
      </c>
      <c r="G523" s="86" t="s">
        <v>152</v>
      </c>
      <c r="H523" s="30">
        <v>28</v>
      </c>
      <c r="I523" s="31" t="s">
        <v>16</v>
      </c>
      <c r="J523" s="32">
        <v>321.25</v>
      </c>
      <c r="K523" s="33">
        <v>1</v>
      </c>
      <c r="L523" s="34">
        <f>IF(OR(H523="",I523&lt;&gt;"SI",I523="NO",J523="",J523=0,K523="",K523=0,X523&lt;&gt;"SI"),0,J523*K523)</f>
        <v>0</v>
      </c>
      <c r="M523" s="204">
        <v>36486</v>
      </c>
      <c r="N523" s="204">
        <v>36637</v>
      </c>
      <c r="O523" s="169">
        <f>IF(OR(H523="",I523&lt;&gt;"SI",I523="NO",J523="",J523=0,K523="",K523=0,,M523="",N523=""),"",ROUND((((N523-M523)+1)/30),3))</f>
        <v>5.0670000000000002</v>
      </c>
      <c r="P523" s="204"/>
      <c r="Q523" s="204"/>
      <c r="R523" s="170">
        <f>IF(OR((Q523-P523)=0,P523="",Q523=""),0,(ROUND((((Q523-P523)+1)/30),3)))</f>
        <v>0</v>
      </c>
      <c r="S523" s="171">
        <f>IF(O523="","",ROUND(SUM(O523)-SUM(R523),3))</f>
        <v>5.0670000000000002</v>
      </c>
      <c r="T523" s="172" t="str">
        <f>+IF(C523="","",IF(OR(S523="",S523&lt;=0,I523="",I523="NO",U523="",U523="NO",X523="NO"),"",ROUND(SUM(L523)/S523,3)))</f>
        <v/>
      </c>
      <c r="U523" s="35" t="s">
        <v>211</v>
      </c>
      <c r="V523" s="222" t="s">
        <v>488</v>
      </c>
      <c r="W523" s="205"/>
      <c r="X523" s="37" t="str">
        <f t="shared" ref="X523:X532" si="240">+IF(C523="","",IF(AND(H523&lt;&gt;"",I523="SI",J523&lt;&gt;"",J523&gt;0,K523&lt;&gt;"",K523&gt;0,S523&lt;&gt;"",S523&gt;0,U523="SI"),"SI","NO"))</f>
        <v>NO</v>
      </c>
      <c r="Z523" s="173" t="s">
        <v>211</v>
      </c>
      <c r="AB523" s="173" t="s">
        <v>211</v>
      </c>
      <c r="AD523" s="10" t="str">
        <f t="shared" ref="AD523:AD532" si="241">+IF($C$520="","",IF(C523="","",IF(L523&gt;=$H$6,"SI","NO")))</f>
        <v>NO</v>
      </c>
      <c r="AE523" s="92" t="str">
        <f>+IF(OR($T$523="",X523="",X523="NO"),"",L523)</f>
        <v/>
      </c>
      <c r="AF523" s="92" t="str">
        <f>+IF(AE523="","",L523/$S$523)</f>
        <v/>
      </c>
      <c r="AG523" s="174">
        <f>0.1+B520</f>
        <v>31.1</v>
      </c>
      <c r="AH523" s="27" t="s">
        <v>932</v>
      </c>
    </row>
    <row r="524" spans="1:34" s="27" customFormat="1" ht="75.75" customHeight="1" x14ac:dyDescent="0.2">
      <c r="A524" s="27">
        <f t="shared" ref="A524:A532" si="242">+IF(T524="","",B524)</f>
        <v>2</v>
      </c>
      <c r="B524" s="38">
        <v>2</v>
      </c>
      <c r="C524" s="39" t="s">
        <v>150</v>
      </c>
      <c r="D524" s="39" t="s">
        <v>489</v>
      </c>
      <c r="E524" s="46" t="s">
        <v>490</v>
      </c>
      <c r="F524" s="46" t="s">
        <v>491</v>
      </c>
      <c r="G524" s="39" t="s">
        <v>152</v>
      </c>
      <c r="H524" s="40">
        <v>22</v>
      </c>
      <c r="I524" s="41" t="s">
        <v>16</v>
      </c>
      <c r="J524" s="42">
        <v>1963.33</v>
      </c>
      <c r="K524" s="43">
        <v>1</v>
      </c>
      <c r="L524" s="44">
        <f t="shared" ref="L524:L532" si="243">IF(OR(H524="",I524&lt;&gt;"SI",I524="NO",J524="",J524=0,K524="",K524=0,X524&lt;&gt;"SI"),0,J524*K524)</f>
        <v>1963.33</v>
      </c>
      <c r="M524" s="206">
        <v>34862</v>
      </c>
      <c r="N524" s="206">
        <v>35801</v>
      </c>
      <c r="O524" s="207">
        <f t="shared" ref="O524:O532" si="244">IF(OR(H524="",I524&lt;&gt;"SI",I524="NO",J524="",J524=0,K524="",K524=0,,M524="",N524=""),"",ROUND((((N524-M524)+1)/30),3))</f>
        <v>31.332999999999998</v>
      </c>
      <c r="P524" s="206">
        <v>35100</v>
      </c>
      <c r="Q524" s="206">
        <v>35402</v>
      </c>
      <c r="R524" s="177">
        <f t="shared" ref="R524:R532" si="245">IF(OR((Q524-P524)=0,P524="",Q524=""),0,(ROUND((((Q524-P524)+1)/30),3)))</f>
        <v>10.1</v>
      </c>
      <c r="S524" s="178">
        <f>IF(O524="","",ROUND(SUM(O524)-SUM(R524:R525),3))</f>
        <v>10.4</v>
      </c>
      <c r="T524" s="208">
        <f t="shared" ref="T524:T532" si="246">+IF(C524="","",IF(OR(S524="",S524&lt;=0,I524="",I524="NO",U524="",U524="NO",X524="NO"),"",ROUND(SUM(L524)/S524,3)))</f>
        <v>188.78200000000001</v>
      </c>
      <c r="U524" s="41" t="s">
        <v>16</v>
      </c>
      <c r="V524" s="209"/>
      <c r="W524" s="205"/>
      <c r="X524" s="37" t="str">
        <f t="shared" si="240"/>
        <v>SI</v>
      </c>
      <c r="Z524" s="173" t="s">
        <v>16</v>
      </c>
      <c r="AB524" s="173" t="s">
        <v>16</v>
      </c>
      <c r="AD524" s="10" t="str">
        <f t="shared" si="241"/>
        <v>SI</v>
      </c>
      <c r="AE524" s="92">
        <f>+IF(OR($T$524="",X524="",X524="NO"),"",L524)</f>
        <v>1963.33</v>
      </c>
      <c r="AF524" s="92">
        <f>+IF(AE524="","",L524/$S$524)</f>
        <v>188.78173076923076</v>
      </c>
      <c r="AG524" s="174">
        <f>0.2+B520</f>
        <v>31.2</v>
      </c>
      <c r="AH524" s="27" t="s">
        <v>932</v>
      </c>
    </row>
    <row r="525" spans="1:34" s="27" customFormat="1" ht="12.75" x14ac:dyDescent="0.2">
      <c r="A525" s="27" t="str">
        <f t="shared" si="242"/>
        <v/>
      </c>
      <c r="B525" s="38"/>
      <c r="C525" s="39"/>
      <c r="D525" s="39"/>
      <c r="E525" s="46"/>
      <c r="F525" s="46"/>
      <c r="G525" s="39"/>
      <c r="H525" s="40"/>
      <c r="I525" s="41"/>
      <c r="J525" s="42"/>
      <c r="K525" s="43"/>
      <c r="L525" s="44">
        <f t="shared" si="243"/>
        <v>0</v>
      </c>
      <c r="M525" s="206"/>
      <c r="N525" s="206"/>
      <c r="O525" s="207" t="str">
        <f t="shared" si="244"/>
        <v/>
      </c>
      <c r="P525" s="206">
        <v>35433</v>
      </c>
      <c r="Q525" s="206">
        <v>35757</v>
      </c>
      <c r="R525" s="177">
        <f t="shared" si="245"/>
        <v>10.833</v>
      </c>
      <c r="S525" s="178" t="str">
        <f t="shared" ref="S525:S532" si="247">IF(O525="","",ROUND(SUM(O525)-SUM(R525),3))</f>
        <v/>
      </c>
      <c r="T525" s="208" t="str">
        <f t="shared" si="246"/>
        <v/>
      </c>
      <c r="U525" s="41"/>
      <c r="V525" s="45"/>
      <c r="W525" s="205"/>
      <c r="X525" s="37" t="str">
        <f t="shared" si="240"/>
        <v/>
      </c>
      <c r="Z525" s="173"/>
      <c r="AB525" s="173"/>
      <c r="AD525" s="10" t="str">
        <f t="shared" si="241"/>
        <v/>
      </c>
      <c r="AE525" s="92" t="str">
        <f>+IF(OR($T$525="",X525="",X525="NO"),"",L525)</f>
        <v/>
      </c>
      <c r="AF525" s="92" t="str">
        <f>+IF(AE525="","",L525/$S$525)</f>
        <v/>
      </c>
      <c r="AG525" s="174">
        <f>0.3+B520</f>
        <v>31.3</v>
      </c>
      <c r="AH525" s="27" t="s">
        <v>932</v>
      </c>
    </row>
    <row r="526" spans="1:34" s="27" customFormat="1" ht="12.75" x14ac:dyDescent="0.2">
      <c r="A526" s="27" t="str">
        <f t="shared" si="242"/>
        <v/>
      </c>
      <c r="B526" s="38"/>
      <c r="C526" s="39"/>
      <c r="D526" s="39"/>
      <c r="E526" s="46"/>
      <c r="F526" s="46"/>
      <c r="G526" s="39"/>
      <c r="H526" s="40"/>
      <c r="I526" s="41"/>
      <c r="J526" s="42"/>
      <c r="K526" s="43"/>
      <c r="L526" s="44">
        <f t="shared" si="243"/>
        <v>0</v>
      </c>
      <c r="M526" s="206"/>
      <c r="N526" s="206"/>
      <c r="O526" s="207" t="str">
        <f t="shared" si="244"/>
        <v/>
      </c>
      <c r="P526" s="206"/>
      <c r="Q526" s="206"/>
      <c r="R526" s="177">
        <f t="shared" si="245"/>
        <v>0</v>
      </c>
      <c r="S526" s="178" t="str">
        <f t="shared" si="247"/>
        <v/>
      </c>
      <c r="T526" s="208" t="str">
        <f t="shared" si="246"/>
        <v/>
      </c>
      <c r="U526" s="41"/>
      <c r="V526" s="45"/>
      <c r="W526" s="210"/>
      <c r="X526" s="37" t="str">
        <f t="shared" si="240"/>
        <v/>
      </c>
      <c r="Z526" s="180"/>
      <c r="AB526" s="173"/>
      <c r="AD526" s="10" t="str">
        <f t="shared" si="241"/>
        <v/>
      </c>
      <c r="AE526" s="92" t="str">
        <f>+IF(OR($T$526="",X526="",X526="NO"),"",L526)</f>
        <v/>
      </c>
      <c r="AF526" s="92" t="str">
        <f>+IF(AE526="","",L526/$S$526)</f>
        <v/>
      </c>
      <c r="AG526" s="174"/>
    </row>
    <row r="527" spans="1:34" s="27" customFormat="1" ht="12.75" x14ac:dyDescent="0.2">
      <c r="A527" s="27" t="str">
        <f t="shared" si="242"/>
        <v/>
      </c>
      <c r="B527" s="38"/>
      <c r="C527" s="39"/>
      <c r="D527" s="39"/>
      <c r="E527" s="46"/>
      <c r="F527" s="46"/>
      <c r="G527" s="39"/>
      <c r="H527" s="40"/>
      <c r="I527" s="41"/>
      <c r="J527" s="42"/>
      <c r="K527" s="43"/>
      <c r="L527" s="44">
        <f t="shared" si="243"/>
        <v>0</v>
      </c>
      <c r="M527" s="206"/>
      <c r="N527" s="206"/>
      <c r="O527" s="207" t="str">
        <f t="shared" si="244"/>
        <v/>
      </c>
      <c r="P527" s="206"/>
      <c r="Q527" s="206"/>
      <c r="R527" s="177">
        <f t="shared" si="245"/>
        <v>0</v>
      </c>
      <c r="S527" s="178" t="str">
        <f t="shared" si="247"/>
        <v/>
      </c>
      <c r="T527" s="208" t="str">
        <f t="shared" si="246"/>
        <v/>
      </c>
      <c r="U527" s="41"/>
      <c r="V527" s="45"/>
      <c r="X527" s="37" t="str">
        <f t="shared" si="240"/>
        <v/>
      </c>
      <c r="Z527" s="181"/>
      <c r="AB527" s="173"/>
      <c r="AD527" s="10" t="str">
        <f t="shared" si="241"/>
        <v/>
      </c>
      <c r="AE527" s="92" t="str">
        <f>+IF(OR($T$527="",X527="",X527="NO"),"",L527)</f>
        <v/>
      </c>
      <c r="AF527" s="92" t="str">
        <f>+IF(AE527="","",L527/$S$527)</f>
        <v/>
      </c>
      <c r="AG527" s="174"/>
    </row>
    <row r="528" spans="1:34" s="27" customFormat="1" ht="12.75" x14ac:dyDescent="0.2">
      <c r="A528" s="27" t="str">
        <f t="shared" si="242"/>
        <v/>
      </c>
      <c r="B528" s="38"/>
      <c r="C528" s="39"/>
      <c r="D528" s="39"/>
      <c r="E528" s="46"/>
      <c r="F528" s="46"/>
      <c r="G528" s="39"/>
      <c r="H528" s="40"/>
      <c r="I528" s="41"/>
      <c r="J528" s="42"/>
      <c r="K528" s="43"/>
      <c r="L528" s="44">
        <f t="shared" si="243"/>
        <v>0</v>
      </c>
      <c r="M528" s="206"/>
      <c r="N528" s="206"/>
      <c r="O528" s="207" t="str">
        <f t="shared" si="244"/>
        <v/>
      </c>
      <c r="P528" s="206"/>
      <c r="Q528" s="206"/>
      <c r="R528" s="177">
        <f t="shared" si="245"/>
        <v>0</v>
      </c>
      <c r="S528" s="178" t="str">
        <f t="shared" si="247"/>
        <v/>
      </c>
      <c r="T528" s="208" t="str">
        <f t="shared" si="246"/>
        <v/>
      </c>
      <c r="U528" s="41"/>
      <c r="V528" s="45"/>
      <c r="X528" s="37" t="str">
        <f t="shared" si="240"/>
        <v/>
      </c>
      <c r="Z528" s="181"/>
      <c r="AB528" s="173"/>
      <c r="AD528" s="10" t="str">
        <f t="shared" si="241"/>
        <v/>
      </c>
      <c r="AE528" s="92" t="str">
        <f>+IF(OR($T$528="",X528="",X528="NO"),"",L528)</f>
        <v/>
      </c>
      <c r="AF528" s="92" t="str">
        <f>+IF(AE528="","",L528/$S$528)</f>
        <v/>
      </c>
      <c r="AG528" s="174"/>
    </row>
    <row r="529" spans="1:34" s="27" customFormat="1" ht="12.75" x14ac:dyDescent="0.2">
      <c r="A529" s="27" t="str">
        <f t="shared" si="242"/>
        <v/>
      </c>
      <c r="B529" s="38"/>
      <c r="C529" s="39"/>
      <c r="D529" s="39"/>
      <c r="E529" s="46"/>
      <c r="F529" s="46"/>
      <c r="G529" s="39"/>
      <c r="H529" s="40"/>
      <c r="I529" s="41"/>
      <c r="J529" s="42"/>
      <c r="K529" s="43"/>
      <c r="L529" s="44">
        <f t="shared" si="243"/>
        <v>0</v>
      </c>
      <c r="M529" s="206"/>
      <c r="N529" s="206"/>
      <c r="O529" s="207" t="str">
        <f t="shared" si="244"/>
        <v/>
      </c>
      <c r="P529" s="206"/>
      <c r="Q529" s="206"/>
      <c r="R529" s="177">
        <f t="shared" si="245"/>
        <v>0</v>
      </c>
      <c r="S529" s="178" t="str">
        <f t="shared" si="247"/>
        <v/>
      </c>
      <c r="T529" s="208" t="str">
        <f t="shared" si="246"/>
        <v/>
      </c>
      <c r="U529" s="41"/>
      <c r="V529" s="45"/>
      <c r="X529" s="37" t="str">
        <f t="shared" si="240"/>
        <v/>
      </c>
      <c r="Z529" s="181"/>
      <c r="AB529" s="173"/>
      <c r="AD529" s="10" t="str">
        <f t="shared" si="241"/>
        <v/>
      </c>
      <c r="AE529" s="92" t="str">
        <f>+IF(OR($T$529="",X529="",X529="NO"),"",L529)</f>
        <v/>
      </c>
      <c r="AF529" s="92" t="str">
        <f>+IF(AE529="","",L529/$S$529)</f>
        <v/>
      </c>
      <c r="AG529" s="174"/>
    </row>
    <row r="530" spans="1:34" s="27" customFormat="1" ht="12.75" x14ac:dyDescent="0.2">
      <c r="A530" s="27" t="str">
        <f t="shared" si="242"/>
        <v/>
      </c>
      <c r="B530" s="38"/>
      <c r="C530" s="39"/>
      <c r="D530" s="39"/>
      <c r="E530" s="46"/>
      <c r="F530" s="46"/>
      <c r="G530" s="39"/>
      <c r="H530" s="40"/>
      <c r="I530" s="41"/>
      <c r="J530" s="42"/>
      <c r="K530" s="43"/>
      <c r="L530" s="44">
        <f t="shared" si="243"/>
        <v>0</v>
      </c>
      <c r="M530" s="206"/>
      <c r="N530" s="206"/>
      <c r="O530" s="207" t="str">
        <f t="shared" si="244"/>
        <v/>
      </c>
      <c r="P530" s="206"/>
      <c r="Q530" s="206"/>
      <c r="R530" s="177">
        <f t="shared" si="245"/>
        <v>0</v>
      </c>
      <c r="S530" s="178" t="str">
        <f t="shared" si="247"/>
        <v/>
      </c>
      <c r="T530" s="208" t="str">
        <f t="shared" si="246"/>
        <v/>
      </c>
      <c r="U530" s="41"/>
      <c r="V530" s="45"/>
      <c r="X530" s="37" t="str">
        <f t="shared" si="240"/>
        <v/>
      </c>
      <c r="Z530" s="181"/>
      <c r="AB530" s="173"/>
      <c r="AD530" s="10" t="str">
        <f t="shared" si="241"/>
        <v/>
      </c>
      <c r="AE530" s="92" t="str">
        <f>+IF(OR($T$530="",X530="",X530="NO"),"",L530)</f>
        <v/>
      </c>
      <c r="AF530" s="92" t="str">
        <f>+IF(AE530="","",L530/$S$530)</f>
        <v/>
      </c>
      <c r="AG530" s="174"/>
    </row>
    <row r="531" spans="1:34" s="27" customFormat="1" ht="12.75" x14ac:dyDescent="0.2">
      <c r="A531" s="27" t="str">
        <f t="shared" si="242"/>
        <v/>
      </c>
      <c r="B531" s="38"/>
      <c r="C531" s="39"/>
      <c r="D531" s="39"/>
      <c r="E531" s="46"/>
      <c r="F531" s="46"/>
      <c r="G531" s="39"/>
      <c r="H531" s="40"/>
      <c r="I531" s="41"/>
      <c r="J531" s="42"/>
      <c r="K531" s="43"/>
      <c r="L531" s="44">
        <f t="shared" si="243"/>
        <v>0</v>
      </c>
      <c r="M531" s="206"/>
      <c r="N531" s="206"/>
      <c r="O531" s="207" t="str">
        <f t="shared" si="244"/>
        <v/>
      </c>
      <c r="P531" s="206"/>
      <c r="Q531" s="206"/>
      <c r="R531" s="177">
        <f t="shared" si="245"/>
        <v>0</v>
      </c>
      <c r="S531" s="178" t="str">
        <f t="shared" si="247"/>
        <v/>
      </c>
      <c r="T531" s="208" t="str">
        <f t="shared" si="246"/>
        <v/>
      </c>
      <c r="U531" s="41"/>
      <c r="V531" s="45"/>
      <c r="X531" s="37" t="str">
        <f t="shared" si="240"/>
        <v/>
      </c>
      <c r="Z531" s="181"/>
      <c r="AB531" s="173"/>
      <c r="AD531" s="10" t="str">
        <f t="shared" si="241"/>
        <v/>
      </c>
      <c r="AE531" s="92" t="str">
        <f>+IF(OR($T$531="",X531="",X531="NO"),"",L531)</f>
        <v/>
      </c>
      <c r="AF531" s="92" t="str">
        <f>+IF(AE531="","",L531/$S$531)</f>
        <v/>
      </c>
      <c r="AG531" s="174"/>
    </row>
    <row r="532" spans="1:34" s="27" customFormat="1" ht="13.5" thickBot="1" x14ac:dyDescent="0.25">
      <c r="A532" s="27" t="str">
        <f t="shared" si="242"/>
        <v/>
      </c>
      <c r="B532" s="47"/>
      <c r="C532" s="48"/>
      <c r="D532" s="48"/>
      <c r="E532" s="49"/>
      <c r="F532" s="49"/>
      <c r="G532" s="48"/>
      <c r="H532" s="50"/>
      <c r="I532" s="51"/>
      <c r="J532" s="14"/>
      <c r="K532" s="52"/>
      <c r="L532" s="53">
        <f t="shared" si="243"/>
        <v>0</v>
      </c>
      <c r="M532" s="211"/>
      <c r="N532" s="211"/>
      <c r="O532" s="212" t="str">
        <f t="shared" si="244"/>
        <v/>
      </c>
      <c r="P532" s="211"/>
      <c r="Q532" s="211"/>
      <c r="R532" s="184">
        <f t="shared" si="245"/>
        <v>0</v>
      </c>
      <c r="S532" s="185" t="str">
        <f t="shared" si="247"/>
        <v/>
      </c>
      <c r="T532" s="213" t="str">
        <f t="shared" si="246"/>
        <v/>
      </c>
      <c r="U532" s="51"/>
      <c r="V532" s="54"/>
      <c r="X532" s="55" t="str">
        <f t="shared" si="240"/>
        <v/>
      </c>
      <c r="Z532" s="187"/>
      <c r="AB532" s="188"/>
      <c r="AD532" s="10" t="str">
        <f t="shared" si="241"/>
        <v/>
      </c>
      <c r="AE532" s="92" t="str">
        <f>+IF(OR($T$532="",X532="",X532="NO"),"",L532)</f>
        <v/>
      </c>
      <c r="AF532" s="92" t="str">
        <f>+IF(AE532="","",L532/$S$532)</f>
        <v/>
      </c>
    </row>
    <row r="533" spans="1:34" ht="36" customHeight="1" x14ac:dyDescent="0.2">
      <c r="B533" s="57" t="str">
        <f>"A"&amp;B520</f>
        <v>A31</v>
      </c>
      <c r="C533" s="382" t="str">
        <f>+$C$23</f>
        <v>¿CADA INTEGRANTE DE PROPONENTE PLURAL APORTAN CONTRATO?  (SI; NO; NA)</v>
      </c>
      <c r="D533" s="383"/>
      <c r="E533" s="383"/>
      <c r="F533" s="383"/>
      <c r="G533" s="383"/>
      <c r="H533" s="384"/>
      <c r="I533" s="217" t="str">
        <f>+IF(AG520="","",IF(AG520=1,"NA",IF(AND(AG520=3,(IF(COUNTIFS(C523:C532,AH523,AE523:AE532,"&gt;0")&gt;=1,1,0)+IF(COUNTIFS(C523:C532,AH524,AE523:AE532,"&gt;0")&gt;=1,1,0)+IF(COUNTIFS(C523:C532,AH525,AE523:AE532,"&gt;0")&gt;=1,1,0))&gt;=AG520),"SI",IF(AND(AG520=2,(IF(COUNTIFS(C523:C532,AH523,AE523:AE532,"&gt;0")&gt;=1,1,0)+IF(COUNTIFS(C523:C532,AH524,AE523:AE532,"&gt;0")&gt;=1,1,0))&gt;=AG520),"SI","NO"))))</f>
        <v>NA</v>
      </c>
      <c r="J533" s="59"/>
      <c r="K533" s="27"/>
      <c r="L533" s="27"/>
      <c r="M533" s="27"/>
      <c r="N533" s="27"/>
      <c r="O533" s="27"/>
      <c r="P533" s="385" t="str">
        <f>+$P$23</f>
        <v>FACTURACION MENSUAL TOTAL</v>
      </c>
      <c r="Q533" s="386"/>
      <c r="R533" s="386"/>
      <c r="S533" s="386"/>
      <c r="T533" s="189">
        <f>ROUND(SUM(T523:T532),3)</f>
        <v>188.78200000000001</v>
      </c>
      <c r="U533" s="60"/>
      <c r="V533" s="1"/>
      <c r="W533" s="61"/>
      <c r="X533" s="61"/>
      <c r="Y533" s="61"/>
      <c r="Z533" s="61"/>
      <c r="AA533" s="61"/>
      <c r="AB533" s="61"/>
    </row>
    <row r="534" spans="1:34" ht="38.25" customHeight="1" thickBot="1" x14ac:dyDescent="0.25">
      <c r="B534" s="57" t="str">
        <f>"B"&amp;B520</f>
        <v>B31</v>
      </c>
      <c r="C534" s="387" t="str">
        <f>+C517</f>
        <v>En caso de proponente plural: ¿De la totalidad de los contratos aportados por el proponente plural, el valor ejecutado de uno de ellos deberá ser igual o superior al 30% del P.O.?  (SI; NO; NA)</v>
      </c>
      <c r="D534" s="388"/>
      <c r="E534" s="388"/>
      <c r="F534" s="388"/>
      <c r="G534" s="389"/>
      <c r="H534" s="190">
        <f>+$H$6</f>
        <v>268.14722506074827</v>
      </c>
      <c r="I534" s="191" t="str">
        <f>+IF(AG520="","",IF(AG520=1,"NA",IF(AND(AG520&gt;1,(COUNTIFS(AD523:AD532,"SI",AE523:AE532,"&gt;0"))&gt;=1),"SI","NO")))</f>
        <v>NA</v>
      </c>
      <c r="J534" s="192"/>
      <c r="K534" s="193"/>
      <c r="L534" s="194"/>
      <c r="M534" s="194"/>
      <c r="N534" s="194"/>
      <c r="O534" s="194"/>
      <c r="P534" s="387" t="str">
        <f>+$P$24</f>
        <v>PROMEDIO FACTURACIÓN MENSUAL DEL PROPONENTE (PFMP)</v>
      </c>
      <c r="Q534" s="388"/>
      <c r="R534" s="388"/>
      <c r="S534" s="388"/>
      <c r="T534" s="195">
        <f t="array" ref="T534">IF(T533=0,0,ROUND(T533/(SUM(IF(FREQUENCY(A523:A532,A523:A532)&gt;0,1))),3))</f>
        <v>188.78200000000001</v>
      </c>
      <c r="U534" s="214"/>
      <c r="V534" s="1"/>
      <c r="W534" s="61"/>
      <c r="X534" s="61"/>
      <c r="Y534" s="61"/>
      <c r="Z534" s="61"/>
      <c r="AA534" s="61"/>
      <c r="AB534" s="61"/>
    </row>
    <row r="535" spans="1:34" ht="21" customHeight="1" thickBot="1" x14ac:dyDescent="0.25">
      <c r="B535" s="197" t="str">
        <f>"C"&amp;B520</f>
        <v>C31</v>
      </c>
      <c r="C535" s="349" t="str">
        <f>+$C$25</f>
        <v>PROPONENTE CUMPLE CON LAS ACTIVIDADES a) y b)? (SI; NO)</v>
      </c>
      <c r="D535" s="350"/>
      <c r="E535" s="350"/>
      <c r="F535" s="350"/>
      <c r="G535" s="350"/>
      <c r="H535" s="351"/>
      <c r="I535" s="198" t="str">
        <f>IF(C520="","",(IF(AND(COUNTIFS(X523:X532,"SI",Z523:Z532,"SI")&gt;=$Z$8,COUNTIFS(X523:X532,"SI",AB523:AB532,"SI")&gt;=$Z$8),"SI","NO")))</f>
        <v>SI</v>
      </c>
      <c r="J535" s="199"/>
      <c r="K535" s="200"/>
      <c r="L535" s="200"/>
      <c r="M535" s="200"/>
      <c r="N535" s="200"/>
      <c r="P535" s="378" t="str">
        <f>+$P$25</f>
        <v>VALOR PUNTAJE POR EXPERIENCIA DEL PROPONENTE</v>
      </c>
      <c r="Q535" s="379"/>
      <c r="R535" s="379"/>
      <c r="S535" s="380"/>
      <c r="T535" s="201">
        <f>IF(OR(C520="",'ASIGNACION DE PUNTAJES'!$C$5=""),"",VLOOKUP(B520,'ASIGNACION DE PUNTAJES'!$A$15:$G$69,7,FALSE))</f>
        <v>407.95</v>
      </c>
      <c r="V535" s="202"/>
    </row>
    <row r="536" spans="1:34" ht="12" thickBot="1" x14ac:dyDescent="0.25"/>
    <row r="537" spans="1:34" ht="36.75" customHeight="1" thickBot="1" x14ac:dyDescent="0.25">
      <c r="B537" s="23">
        <f>1+B520</f>
        <v>32</v>
      </c>
      <c r="C537" s="336" t="s">
        <v>930</v>
      </c>
      <c r="D537" s="337"/>
      <c r="E537" s="337"/>
      <c r="F537" s="337"/>
      <c r="G537" s="337"/>
      <c r="H537" s="337"/>
      <c r="I537" s="338"/>
      <c r="J537" s="24" t="str">
        <f>+IF(C537="","","INTEGRANTES")</f>
        <v>INTEGRANTES</v>
      </c>
      <c r="K537" s="339" t="s">
        <v>931</v>
      </c>
      <c r="L537" s="339"/>
      <c r="M537" s="339"/>
      <c r="N537" s="339"/>
      <c r="O537" s="339"/>
      <c r="P537" s="339"/>
      <c r="Q537" s="339"/>
      <c r="R537" s="396" t="str">
        <f>+$R$10</f>
        <v>PROPONENTE No.</v>
      </c>
      <c r="S537" s="397"/>
      <c r="T537" s="25">
        <f>+B537</f>
        <v>32</v>
      </c>
      <c r="U537" s="161" t="str">
        <f>+$U$10</f>
        <v>PFMP</v>
      </c>
      <c r="V537" s="162">
        <f>IF(T551="",0,T551)</f>
        <v>118.48099999999999</v>
      </c>
      <c r="X537" s="325" t="s">
        <v>168</v>
      </c>
      <c r="Z537" s="163" t="str">
        <f>+$Z$10</f>
        <v>EXP. ESPECÍFICA 
A:</v>
      </c>
      <c r="AB537" s="163" t="str">
        <f>+$AB$10</f>
        <v>EXP. ESPECÍFICA 
B:</v>
      </c>
      <c r="AG537" s="1">
        <v>2</v>
      </c>
    </row>
    <row r="538" spans="1:34" ht="42" customHeight="1" x14ac:dyDescent="0.2">
      <c r="B538" s="331" t="str">
        <f>+$B$11</f>
        <v>ITEM</v>
      </c>
      <c r="C538" s="318" t="str">
        <f>+$C$11</f>
        <v>PROPONENTE 
/ 
INTEGRANTE OFERENTE PLURAL</v>
      </c>
      <c r="D538" s="333" t="str">
        <f>+$D$11</f>
        <v>INFORMACIÓN DEL CONTRATO</v>
      </c>
      <c r="E538" s="334"/>
      <c r="F538" s="334"/>
      <c r="G538" s="335"/>
      <c r="H538" s="318" t="str">
        <f>+H521</f>
        <v>CONSECUTIVO RUP</v>
      </c>
      <c r="I538" s="318" t="str">
        <f>+$I$11</f>
        <v>¿SE ENCUENTRA INSCRITO EN EL RUP Y CUMPLE CÓDIGOS UNSPSC?</v>
      </c>
      <c r="J538" s="318" t="str">
        <f>+$J$11</f>
        <v xml:space="preserve">VALOR EN RUP (SMMLV) </v>
      </c>
      <c r="K538" s="318" t="str">
        <f>+$K$11</f>
        <v>% PARTIC en el RUP</v>
      </c>
      <c r="L538" s="318" t="str">
        <f>+$L$11</f>
        <v>VALOR DEL CONTRATO TERMINADO (SMMLV) en el   RUP</v>
      </c>
      <c r="M538" s="318" t="str">
        <f>+$M$11</f>
        <v>FECHA DE INICIO</v>
      </c>
      <c r="N538" s="318" t="str">
        <f>+$N$11</f>
        <v>FECHA DE TERMINACION</v>
      </c>
      <c r="O538" s="318" t="str">
        <f>+$O$11</f>
        <v>PLAZO CONTRA-TO (Meses)</v>
      </c>
      <c r="P538" s="390" t="str">
        <f>+$P$11</f>
        <v>Tsusp i</v>
      </c>
      <c r="Q538" s="391"/>
      <c r="R538" s="392"/>
      <c r="S538" s="318" t="str">
        <f>+$S$11</f>
        <v>PLAZO i REAL</v>
      </c>
      <c r="T538" s="318" t="str">
        <f>+$T$11</f>
        <v>FACTURA-CION MENSUAL PROPO-NENTE</v>
      </c>
      <c r="U538" s="318" t="str">
        <f>+$U$11</f>
        <v>VALIDACIÓN DE LA EXPERIENCIA GENERAL
(SI/NO)</v>
      </c>
      <c r="V538" s="393" t="str">
        <f>+$V$11</f>
        <v>OBSERVACIONES</v>
      </c>
      <c r="X538" s="326"/>
      <c r="Z538" s="381" t="str">
        <f>+$Z$11</f>
        <v>Interventoria a la ejecución de obras relacionadas con Colocación de capas granulares (tales como bases y/o sub-bases granulares).</v>
      </c>
      <c r="AB538" s="381" t="str">
        <f>+$AB$11</f>
        <v>Interventoria a la Ejecución de obras de subdrenaje y/o drenaje, en carreteras.</v>
      </c>
    </row>
    <row r="539" spans="1:34" ht="38.25" customHeight="1" thickBot="1" x14ac:dyDescent="0.25">
      <c r="B539" s="395"/>
      <c r="C539" s="348"/>
      <c r="D539" s="165" t="str">
        <f>+$D$12</f>
        <v>ENTIDAD</v>
      </c>
      <c r="E539" s="165" t="str">
        <f>+$E$12</f>
        <v>No. DE CONTRATO</v>
      </c>
      <c r="F539" s="165" t="str">
        <f>+$F$12</f>
        <v>OBJETO</v>
      </c>
      <c r="G539" s="165" t="str">
        <f>+$G$12</f>
        <v>CONTRATISTA</v>
      </c>
      <c r="H539" s="348"/>
      <c r="I539" s="348"/>
      <c r="J539" s="348"/>
      <c r="K539" s="348"/>
      <c r="L539" s="348"/>
      <c r="M539" s="348"/>
      <c r="N539" s="348"/>
      <c r="O539" s="348"/>
      <c r="P539" s="166" t="str">
        <f>+P522</f>
        <v>Finicsuspi</v>
      </c>
      <c r="Q539" s="166" t="str">
        <f>+Q522</f>
        <v xml:space="preserve"> Ftermsuspi </v>
      </c>
      <c r="R539" s="166" t="str">
        <f>+R522</f>
        <v>Tsusp i (meses)</v>
      </c>
      <c r="S539" s="348"/>
      <c r="T539" s="348"/>
      <c r="U539" s="348"/>
      <c r="V539" s="394"/>
      <c r="X539" s="327"/>
      <c r="Z539" s="381"/>
      <c r="AB539" s="381"/>
    </row>
    <row r="540" spans="1:34" s="27" customFormat="1" ht="84" customHeight="1" x14ac:dyDescent="0.2">
      <c r="A540" s="27">
        <f>+IF(T540="","",B540)</f>
        <v>1</v>
      </c>
      <c r="B540" s="28">
        <v>1</v>
      </c>
      <c r="C540" s="86" t="s">
        <v>492</v>
      </c>
      <c r="D540" s="86" t="s">
        <v>493</v>
      </c>
      <c r="E540" s="87" t="s">
        <v>494</v>
      </c>
      <c r="F540" s="87" t="s">
        <v>495</v>
      </c>
      <c r="G540" s="86" t="s">
        <v>492</v>
      </c>
      <c r="H540" s="30">
        <v>50</v>
      </c>
      <c r="I540" s="31" t="s">
        <v>16</v>
      </c>
      <c r="J540" s="32">
        <v>1907.15</v>
      </c>
      <c r="K540" s="33">
        <v>1</v>
      </c>
      <c r="L540" s="34">
        <f>IF(OR(H540="",I540&lt;&gt;"SI",I540="NO",J540="",J540=0,K540="",K540=0,X540&lt;&gt;"SI"),0,J540*K540)</f>
        <v>1907.15</v>
      </c>
      <c r="M540" s="204">
        <v>42759</v>
      </c>
      <c r="N540" s="204">
        <v>43044</v>
      </c>
      <c r="O540" s="169">
        <f>IF(OR(H540="",I540&lt;&gt;"SI",I540="NO",J540="",J540=0,K540="",K540=0,,M540="",N540=""),"",ROUND((((N540-M540)+1)/30),3))</f>
        <v>9.5329999999999995</v>
      </c>
      <c r="P540" s="204"/>
      <c r="Q540" s="204"/>
      <c r="R540" s="170">
        <f>IF(OR((Q540-P540)=0,P540="",Q540=""),0,(ROUND((((Q540-P540)+1)/30),3)))</f>
        <v>0</v>
      </c>
      <c r="S540" s="171">
        <f>IF(O540="","",ROUND(SUM(O540)-SUM(R540),3))</f>
        <v>9.5329999999999995</v>
      </c>
      <c r="T540" s="172">
        <f>+IF(C540="","",IF(OR(S540="",S540&lt;=0,I540="",I540="NO",U540="",U540="NO",X540="NO"),"",ROUND(SUM(L540)/S540,3)))</f>
        <v>200.05799999999999</v>
      </c>
      <c r="U540" s="35" t="s">
        <v>16</v>
      </c>
      <c r="V540" s="36"/>
      <c r="W540" s="205"/>
      <c r="X540" s="37" t="str">
        <f t="shared" ref="X540:X549" si="248">+IF(C540="","",IF(AND(H540&lt;&gt;"",I540="SI",J540&lt;&gt;"",J540&gt;0,K540&lt;&gt;"",K540&gt;0,S540&lt;&gt;"",S540&gt;0,U540="SI"),"SI","NO"))</f>
        <v>SI</v>
      </c>
      <c r="Z540" s="173" t="s">
        <v>211</v>
      </c>
      <c r="AB540" s="173" t="s">
        <v>16</v>
      </c>
      <c r="AD540" s="10" t="str">
        <f t="shared" ref="AD540:AD549" si="249">+IF($C$537="","",IF(C540="","",IF(L540&gt;=$H$6,"SI","NO")))</f>
        <v>SI</v>
      </c>
      <c r="AE540" s="92">
        <f>+IF(OR($T$540="",X540="",X540="NO"),"",L540)</f>
        <v>1907.15</v>
      </c>
      <c r="AF540" s="92">
        <f>+IF(AE540="","",L540/$S$540)</f>
        <v>200.05769432497641</v>
      </c>
      <c r="AG540" s="174">
        <f>0.1+B537</f>
        <v>32.1</v>
      </c>
      <c r="AH540" s="27" t="s">
        <v>492</v>
      </c>
    </row>
    <row r="541" spans="1:34" s="27" customFormat="1" ht="81.75" customHeight="1" x14ac:dyDescent="0.2">
      <c r="A541" s="27">
        <f t="shared" ref="A541:A549" si="250">+IF(T541="","",B541)</f>
        <v>2</v>
      </c>
      <c r="B541" s="38">
        <v>2</v>
      </c>
      <c r="C541" s="39" t="s">
        <v>153</v>
      </c>
      <c r="D541" s="39" t="s">
        <v>43</v>
      </c>
      <c r="E541" s="46" t="s">
        <v>496</v>
      </c>
      <c r="F541" s="46" t="s">
        <v>497</v>
      </c>
      <c r="G541" s="39" t="s">
        <v>498</v>
      </c>
      <c r="H541" s="40">
        <v>48</v>
      </c>
      <c r="I541" s="41" t="s">
        <v>16</v>
      </c>
      <c r="J541" s="42">
        <v>1102.5</v>
      </c>
      <c r="K541" s="43">
        <v>0.6</v>
      </c>
      <c r="L541" s="44">
        <f t="shared" ref="L541:L549" si="251">IF(OR(H541="",I541&lt;&gt;"SI",I541="NO",J541="",J541=0,K541="",K541=0,X541&lt;&gt;"SI"),0,J541*K541)</f>
        <v>661.5</v>
      </c>
      <c r="M541" s="206">
        <v>36542</v>
      </c>
      <c r="N541" s="206">
        <v>36847</v>
      </c>
      <c r="O541" s="207">
        <f t="shared" ref="O541:O549" si="252">IF(OR(H541="",I541&lt;&gt;"SI",I541="NO",J541="",J541=0,K541="",K541=0,,M541="",N541=""),"",ROUND((((N541-M541)+1)/30),3))</f>
        <v>10.199999999999999</v>
      </c>
      <c r="P541" s="206"/>
      <c r="Q541" s="206"/>
      <c r="R541" s="177">
        <f t="shared" ref="R541:R549" si="253">IF(OR((Q541-P541)=0,P541="",Q541=""),0,(ROUND((((Q541-P541)+1)/30),3)))</f>
        <v>0</v>
      </c>
      <c r="S541" s="178">
        <f t="shared" ref="S541:S549" si="254">IF(O541="","",ROUND(SUM(O541)-SUM(R541),3))</f>
        <v>10.199999999999999</v>
      </c>
      <c r="T541" s="208">
        <f t="shared" ref="T541:T549" si="255">+IF(C541="","",IF(OR(S541="",S541&lt;=0,I541="",I541="NO",U541="",U541="NO",X541="NO"),"",ROUND(SUM(L541)/S541,3)))</f>
        <v>64.852999999999994</v>
      </c>
      <c r="U541" s="41" t="s">
        <v>16</v>
      </c>
      <c r="V541" s="209"/>
      <c r="W541" s="205"/>
      <c r="X541" s="37" t="str">
        <f t="shared" si="248"/>
        <v>SI</v>
      </c>
      <c r="Z541" s="173" t="s">
        <v>16</v>
      </c>
      <c r="AB541" s="173" t="s">
        <v>16</v>
      </c>
      <c r="AD541" s="10" t="str">
        <f t="shared" si="249"/>
        <v>SI</v>
      </c>
      <c r="AE541" s="92">
        <f>+IF(OR($T$541="",X541="",X541="NO"),"",L541)</f>
        <v>661.5</v>
      </c>
      <c r="AF541" s="92">
        <f>+IF(AE541="","",L541/$S$541)</f>
        <v>64.852941176470594</v>
      </c>
      <c r="AG541" s="174">
        <f>0.2+B537</f>
        <v>32.200000000000003</v>
      </c>
      <c r="AH541" s="27" t="s">
        <v>153</v>
      </c>
    </row>
    <row r="542" spans="1:34" s="27" customFormat="1" ht="71.25" customHeight="1" x14ac:dyDescent="0.2">
      <c r="A542" s="27">
        <f t="shared" si="250"/>
        <v>3</v>
      </c>
      <c r="B542" s="38">
        <v>3</v>
      </c>
      <c r="C542" s="39" t="s">
        <v>153</v>
      </c>
      <c r="D542" s="39" t="s">
        <v>121</v>
      </c>
      <c r="E542" s="46" t="s">
        <v>499</v>
      </c>
      <c r="F542" s="46" t="s">
        <v>500</v>
      </c>
      <c r="G542" s="39" t="s">
        <v>501</v>
      </c>
      <c r="H542" s="40">
        <v>56</v>
      </c>
      <c r="I542" s="41" t="s">
        <v>16</v>
      </c>
      <c r="J542" s="42">
        <v>802.75</v>
      </c>
      <c r="K542" s="43">
        <v>1</v>
      </c>
      <c r="L542" s="44">
        <f t="shared" si="251"/>
        <v>802.75</v>
      </c>
      <c r="M542" s="206">
        <v>37356</v>
      </c>
      <c r="N542" s="206">
        <v>37621</v>
      </c>
      <c r="O542" s="207">
        <f t="shared" si="252"/>
        <v>8.8670000000000009</v>
      </c>
      <c r="P542" s="206"/>
      <c r="Q542" s="206"/>
      <c r="R542" s="177">
        <f t="shared" si="253"/>
        <v>0</v>
      </c>
      <c r="S542" s="178">
        <f t="shared" si="254"/>
        <v>8.8670000000000009</v>
      </c>
      <c r="T542" s="208">
        <f t="shared" si="255"/>
        <v>90.531999999999996</v>
      </c>
      <c r="U542" s="41" t="s">
        <v>16</v>
      </c>
      <c r="V542" s="45"/>
      <c r="W542" s="205"/>
      <c r="X542" s="37" t="str">
        <f t="shared" si="248"/>
        <v>SI</v>
      </c>
      <c r="Z542" s="173" t="s">
        <v>16</v>
      </c>
      <c r="AB542" s="173" t="s">
        <v>16</v>
      </c>
      <c r="AD542" s="10" t="str">
        <f t="shared" si="249"/>
        <v>SI</v>
      </c>
      <c r="AE542" s="92">
        <f>+IF(OR($T$542="",X542="",X542="NO"),"",L542)</f>
        <v>802.75</v>
      </c>
      <c r="AF542" s="92">
        <f>+IF(AE542="","",L542/$S$542)</f>
        <v>90.532310815382871</v>
      </c>
      <c r="AG542" s="174">
        <f>0.3+B537</f>
        <v>32.299999999999997</v>
      </c>
      <c r="AH542" s="27" t="s">
        <v>932</v>
      </c>
    </row>
    <row r="543" spans="1:34" s="27" customFormat="1" ht="12.75" x14ac:dyDescent="0.2">
      <c r="A543" s="27" t="str">
        <f t="shared" si="250"/>
        <v/>
      </c>
      <c r="B543" s="38"/>
      <c r="C543" s="39"/>
      <c r="D543" s="39"/>
      <c r="E543" s="46"/>
      <c r="F543" s="46"/>
      <c r="G543" s="39"/>
      <c r="H543" s="40"/>
      <c r="I543" s="41"/>
      <c r="J543" s="42"/>
      <c r="K543" s="43"/>
      <c r="L543" s="44">
        <f t="shared" si="251"/>
        <v>0</v>
      </c>
      <c r="M543" s="206"/>
      <c r="N543" s="206"/>
      <c r="O543" s="207" t="str">
        <f t="shared" si="252"/>
        <v/>
      </c>
      <c r="P543" s="206"/>
      <c r="Q543" s="206"/>
      <c r="R543" s="177">
        <f t="shared" si="253"/>
        <v>0</v>
      </c>
      <c r="S543" s="178" t="str">
        <f t="shared" si="254"/>
        <v/>
      </c>
      <c r="T543" s="208" t="str">
        <f t="shared" si="255"/>
        <v/>
      </c>
      <c r="U543" s="41"/>
      <c r="V543" s="45"/>
      <c r="W543" s="210"/>
      <c r="X543" s="37" t="str">
        <f t="shared" si="248"/>
        <v/>
      </c>
      <c r="Z543" s="180"/>
      <c r="AB543" s="173"/>
      <c r="AD543" s="10" t="str">
        <f t="shared" si="249"/>
        <v/>
      </c>
      <c r="AE543" s="92" t="str">
        <f>+IF(OR($T$543="",X543="",X543="NO"),"",L543)</f>
        <v/>
      </c>
      <c r="AF543" s="92" t="str">
        <f>+IF(AE543="","",L543/$S$543)</f>
        <v/>
      </c>
      <c r="AG543" s="174"/>
    </row>
    <row r="544" spans="1:34" s="27" customFormat="1" ht="12.75" x14ac:dyDescent="0.2">
      <c r="A544" s="27" t="str">
        <f t="shared" si="250"/>
        <v/>
      </c>
      <c r="B544" s="38"/>
      <c r="C544" s="39"/>
      <c r="D544" s="39"/>
      <c r="E544" s="46"/>
      <c r="F544" s="46"/>
      <c r="G544" s="39"/>
      <c r="H544" s="40"/>
      <c r="I544" s="41"/>
      <c r="J544" s="42"/>
      <c r="K544" s="43"/>
      <c r="L544" s="44">
        <f t="shared" si="251"/>
        <v>0</v>
      </c>
      <c r="M544" s="206"/>
      <c r="N544" s="206"/>
      <c r="O544" s="207" t="str">
        <f t="shared" si="252"/>
        <v/>
      </c>
      <c r="P544" s="206"/>
      <c r="Q544" s="206"/>
      <c r="R544" s="177">
        <f t="shared" si="253"/>
        <v>0</v>
      </c>
      <c r="S544" s="178" t="str">
        <f t="shared" si="254"/>
        <v/>
      </c>
      <c r="T544" s="208" t="str">
        <f t="shared" si="255"/>
        <v/>
      </c>
      <c r="U544" s="41"/>
      <c r="V544" s="45"/>
      <c r="X544" s="37" t="str">
        <f t="shared" si="248"/>
        <v/>
      </c>
      <c r="Z544" s="181"/>
      <c r="AB544" s="173"/>
      <c r="AD544" s="10" t="str">
        <f t="shared" si="249"/>
        <v/>
      </c>
      <c r="AE544" s="92" t="str">
        <f>+IF(OR($T$544="",X544="",X544="NO"),"",L544)</f>
        <v/>
      </c>
      <c r="AF544" s="92" t="str">
        <f>+IF(AE544="","",L544/$S$544)</f>
        <v/>
      </c>
      <c r="AG544" s="174"/>
    </row>
    <row r="545" spans="1:34" s="27" customFormat="1" ht="12.75" x14ac:dyDescent="0.2">
      <c r="A545" s="27" t="str">
        <f t="shared" si="250"/>
        <v/>
      </c>
      <c r="B545" s="38"/>
      <c r="C545" s="39"/>
      <c r="D545" s="39"/>
      <c r="E545" s="46"/>
      <c r="F545" s="46"/>
      <c r="G545" s="39"/>
      <c r="H545" s="40"/>
      <c r="I545" s="41"/>
      <c r="J545" s="42"/>
      <c r="K545" s="43"/>
      <c r="L545" s="44">
        <f t="shared" si="251"/>
        <v>0</v>
      </c>
      <c r="M545" s="206"/>
      <c r="N545" s="206"/>
      <c r="O545" s="207" t="str">
        <f t="shared" si="252"/>
        <v/>
      </c>
      <c r="P545" s="206"/>
      <c r="Q545" s="206"/>
      <c r="R545" s="177">
        <f t="shared" si="253"/>
        <v>0</v>
      </c>
      <c r="S545" s="178" t="str">
        <f t="shared" si="254"/>
        <v/>
      </c>
      <c r="T545" s="208" t="str">
        <f t="shared" si="255"/>
        <v/>
      </c>
      <c r="U545" s="41"/>
      <c r="V545" s="45"/>
      <c r="X545" s="37" t="str">
        <f t="shared" si="248"/>
        <v/>
      </c>
      <c r="Z545" s="181"/>
      <c r="AB545" s="173"/>
      <c r="AD545" s="10" t="str">
        <f t="shared" si="249"/>
        <v/>
      </c>
      <c r="AE545" s="92" t="str">
        <f>+IF(OR($T$545="",X545="",X545="NO"),"",L545)</f>
        <v/>
      </c>
      <c r="AF545" s="92" t="str">
        <f>+IF(AE545="","",L545/$S$545)</f>
        <v/>
      </c>
      <c r="AG545" s="174"/>
    </row>
    <row r="546" spans="1:34" s="27" customFormat="1" ht="12.75" x14ac:dyDescent="0.2">
      <c r="A546" s="27" t="str">
        <f t="shared" si="250"/>
        <v/>
      </c>
      <c r="B546" s="38"/>
      <c r="C546" s="39"/>
      <c r="D546" s="39"/>
      <c r="E546" s="46"/>
      <c r="F546" s="46"/>
      <c r="G546" s="39"/>
      <c r="H546" s="40"/>
      <c r="I546" s="41"/>
      <c r="J546" s="42"/>
      <c r="K546" s="43"/>
      <c r="L546" s="44">
        <f t="shared" si="251"/>
        <v>0</v>
      </c>
      <c r="M546" s="206"/>
      <c r="N546" s="206"/>
      <c r="O546" s="207" t="str">
        <f t="shared" si="252"/>
        <v/>
      </c>
      <c r="P546" s="206"/>
      <c r="Q546" s="206"/>
      <c r="R546" s="177">
        <f t="shared" si="253"/>
        <v>0</v>
      </c>
      <c r="S546" s="178" t="str">
        <f t="shared" si="254"/>
        <v/>
      </c>
      <c r="T546" s="208" t="str">
        <f t="shared" si="255"/>
        <v/>
      </c>
      <c r="U546" s="41"/>
      <c r="V546" s="45"/>
      <c r="X546" s="37" t="str">
        <f t="shared" si="248"/>
        <v/>
      </c>
      <c r="Z546" s="181"/>
      <c r="AB546" s="173"/>
      <c r="AD546" s="10" t="str">
        <f t="shared" si="249"/>
        <v/>
      </c>
      <c r="AE546" s="92" t="str">
        <f>+IF(OR($T$546="",X546="",X546="NO"),"",L546)</f>
        <v/>
      </c>
      <c r="AF546" s="92" t="str">
        <f>+IF(AE546="","",L546/$S$546)</f>
        <v/>
      </c>
      <c r="AG546" s="174"/>
    </row>
    <row r="547" spans="1:34" s="27" customFormat="1" ht="12.75" x14ac:dyDescent="0.2">
      <c r="A547" s="27" t="str">
        <f t="shared" si="250"/>
        <v/>
      </c>
      <c r="B547" s="38"/>
      <c r="C547" s="39"/>
      <c r="D547" s="39"/>
      <c r="E547" s="46"/>
      <c r="F547" s="46"/>
      <c r="G547" s="39"/>
      <c r="H547" s="40"/>
      <c r="I547" s="41"/>
      <c r="J547" s="42"/>
      <c r="K547" s="43"/>
      <c r="L547" s="44">
        <f t="shared" si="251"/>
        <v>0</v>
      </c>
      <c r="M547" s="206"/>
      <c r="N547" s="206"/>
      <c r="O547" s="207" t="str">
        <f t="shared" si="252"/>
        <v/>
      </c>
      <c r="P547" s="206"/>
      <c r="Q547" s="206"/>
      <c r="R547" s="177">
        <f t="shared" si="253"/>
        <v>0</v>
      </c>
      <c r="S547" s="178" t="str">
        <f t="shared" si="254"/>
        <v/>
      </c>
      <c r="T547" s="208" t="str">
        <f t="shared" si="255"/>
        <v/>
      </c>
      <c r="U547" s="41"/>
      <c r="V547" s="45"/>
      <c r="X547" s="37" t="str">
        <f t="shared" si="248"/>
        <v/>
      </c>
      <c r="Z547" s="181"/>
      <c r="AB547" s="173"/>
      <c r="AD547" s="10" t="str">
        <f t="shared" si="249"/>
        <v/>
      </c>
      <c r="AE547" s="92" t="str">
        <f>+IF(OR($T$547="",X547="",X547="NO"),"",L547)</f>
        <v/>
      </c>
      <c r="AF547" s="92" t="str">
        <f>+IF(AE547="","",L547/$S$547)</f>
        <v/>
      </c>
      <c r="AG547" s="174"/>
    </row>
    <row r="548" spans="1:34" s="27" customFormat="1" ht="12.75" x14ac:dyDescent="0.2">
      <c r="A548" s="27" t="str">
        <f t="shared" si="250"/>
        <v/>
      </c>
      <c r="B548" s="38"/>
      <c r="C548" s="39"/>
      <c r="D548" s="39"/>
      <c r="E548" s="46"/>
      <c r="F548" s="46"/>
      <c r="G548" s="39"/>
      <c r="H548" s="40"/>
      <c r="I548" s="41"/>
      <c r="J548" s="42"/>
      <c r="K548" s="43"/>
      <c r="L548" s="44">
        <f t="shared" si="251"/>
        <v>0</v>
      </c>
      <c r="M548" s="206"/>
      <c r="N548" s="206"/>
      <c r="O548" s="207" t="str">
        <f t="shared" si="252"/>
        <v/>
      </c>
      <c r="P548" s="206"/>
      <c r="Q548" s="206"/>
      <c r="R548" s="177">
        <f t="shared" si="253"/>
        <v>0</v>
      </c>
      <c r="S548" s="178" t="str">
        <f t="shared" si="254"/>
        <v/>
      </c>
      <c r="T548" s="208" t="str">
        <f t="shared" si="255"/>
        <v/>
      </c>
      <c r="U548" s="41"/>
      <c r="V548" s="45"/>
      <c r="X548" s="37" t="str">
        <f t="shared" si="248"/>
        <v/>
      </c>
      <c r="Z548" s="181"/>
      <c r="AB548" s="173"/>
      <c r="AD548" s="10" t="str">
        <f t="shared" si="249"/>
        <v/>
      </c>
      <c r="AE548" s="92" t="str">
        <f>+IF(OR($T$548="",X548="",X548="NO"),"",L548)</f>
        <v/>
      </c>
      <c r="AF548" s="92" t="str">
        <f>+IF(AE548="","",L548/$S$548)</f>
        <v/>
      </c>
      <c r="AG548" s="174"/>
    </row>
    <row r="549" spans="1:34" s="27" customFormat="1" ht="13.5" thickBot="1" x14ac:dyDescent="0.25">
      <c r="A549" s="27" t="str">
        <f t="shared" si="250"/>
        <v/>
      </c>
      <c r="B549" s="47"/>
      <c r="C549" s="48"/>
      <c r="D549" s="48"/>
      <c r="E549" s="49"/>
      <c r="F549" s="49"/>
      <c r="G549" s="48"/>
      <c r="H549" s="50"/>
      <c r="I549" s="51"/>
      <c r="J549" s="14"/>
      <c r="K549" s="52"/>
      <c r="L549" s="53">
        <f t="shared" si="251"/>
        <v>0</v>
      </c>
      <c r="M549" s="211"/>
      <c r="N549" s="211"/>
      <c r="O549" s="212" t="str">
        <f t="shared" si="252"/>
        <v/>
      </c>
      <c r="P549" s="211"/>
      <c r="Q549" s="211"/>
      <c r="R549" s="184">
        <f t="shared" si="253"/>
        <v>0</v>
      </c>
      <c r="S549" s="185" t="str">
        <f t="shared" si="254"/>
        <v/>
      </c>
      <c r="T549" s="213" t="str">
        <f t="shared" si="255"/>
        <v/>
      </c>
      <c r="U549" s="51"/>
      <c r="V549" s="54"/>
      <c r="X549" s="55" t="str">
        <f t="shared" si="248"/>
        <v/>
      </c>
      <c r="Z549" s="187"/>
      <c r="AB549" s="188"/>
      <c r="AD549" s="10" t="str">
        <f t="shared" si="249"/>
        <v/>
      </c>
      <c r="AE549" s="92" t="str">
        <f>+IF(OR($T$549="",X549="",X549="NO"),"",L549)</f>
        <v/>
      </c>
      <c r="AF549" s="92" t="str">
        <f>+IF(AE549="","",L549/$S$549)</f>
        <v/>
      </c>
    </row>
    <row r="550" spans="1:34" ht="36" customHeight="1" x14ac:dyDescent="0.2">
      <c r="B550" s="57" t="str">
        <f>"A"&amp;B537</f>
        <v>A32</v>
      </c>
      <c r="C550" s="382" t="str">
        <f>+$C$23</f>
        <v>¿CADA INTEGRANTE DE PROPONENTE PLURAL APORTAN CONTRATO?  (SI; NO; NA)</v>
      </c>
      <c r="D550" s="383"/>
      <c r="E550" s="383"/>
      <c r="F550" s="383"/>
      <c r="G550" s="383"/>
      <c r="H550" s="384"/>
      <c r="I550" s="217" t="str">
        <f>+IF(AG537="","",IF(AG537=1,"NA",IF(AND(AG537=3,(IF(COUNTIFS(C540:C549,AH540,AE540:AE549,"&gt;0")&gt;=1,1,0)+IF(COUNTIFS(C540:C549,AH541,AE540:AE549,"&gt;0")&gt;=1,1,0)+IF(COUNTIFS(C540:C549,AH542,AE540:AE549,"&gt;0")&gt;=1,1,0))&gt;=AG537),"SI",IF(AND(AG537=2,(IF(COUNTIFS(C540:C549,AH540,AE540:AE549,"&gt;0")&gt;=1,1,0)+IF(COUNTIFS(C540:C549,AH541,AE540:AE549,"&gt;0")&gt;=1,1,0))&gt;=AG537),"SI","NO"))))</f>
        <v>SI</v>
      </c>
      <c r="J550" s="59"/>
      <c r="K550" s="27"/>
      <c r="L550" s="27"/>
      <c r="M550" s="27"/>
      <c r="N550" s="27"/>
      <c r="O550" s="27"/>
      <c r="P550" s="385" t="str">
        <f>+$P$23</f>
        <v>FACTURACION MENSUAL TOTAL</v>
      </c>
      <c r="Q550" s="386"/>
      <c r="R550" s="386"/>
      <c r="S550" s="386"/>
      <c r="T550" s="189">
        <f>ROUND(SUM(T540:T549),3)</f>
        <v>355.44299999999998</v>
      </c>
      <c r="U550" s="60"/>
      <c r="V550" s="1"/>
      <c r="W550" s="61"/>
      <c r="X550" s="61"/>
      <c r="Y550" s="61"/>
      <c r="Z550" s="61"/>
      <c r="AA550" s="61"/>
      <c r="AB550" s="61"/>
    </row>
    <row r="551" spans="1:34" ht="38.25" customHeight="1" thickBot="1" x14ac:dyDescent="0.25">
      <c r="B551" s="57" t="str">
        <f>"B"&amp;B537</f>
        <v>B32</v>
      </c>
      <c r="C551" s="387" t="str">
        <f>+C534</f>
        <v>En caso de proponente plural: ¿De la totalidad de los contratos aportados por el proponente plural, el valor ejecutado de uno de ellos deberá ser igual o superior al 30% del P.O.?  (SI; NO; NA)</v>
      </c>
      <c r="D551" s="388"/>
      <c r="E551" s="388"/>
      <c r="F551" s="388"/>
      <c r="G551" s="389"/>
      <c r="H551" s="190">
        <f>+$H$6</f>
        <v>268.14722506074827</v>
      </c>
      <c r="I551" s="191" t="str">
        <f>+IF(AG537="","",IF(AG537=1,"NA",IF(AND(AG537&gt;1,(COUNTIFS(AD540:AD549,"SI",AE540:AE549,"&gt;0"))&gt;=1),"SI","NO")))</f>
        <v>SI</v>
      </c>
      <c r="J551" s="192"/>
      <c r="K551" s="193"/>
      <c r="L551" s="194"/>
      <c r="M551" s="194"/>
      <c r="N551" s="194"/>
      <c r="O551" s="194"/>
      <c r="P551" s="387" t="str">
        <f>+$P$24</f>
        <v>PROMEDIO FACTURACIÓN MENSUAL DEL PROPONENTE (PFMP)</v>
      </c>
      <c r="Q551" s="388"/>
      <c r="R551" s="388"/>
      <c r="S551" s="388"/>
      <c r="T551" s="195">
        <f t="array" ref="T551">IF(T550=0,0,ROUND(T550/(SUM(IF(FREQUENCY(A540:A549,A540:A549)&gt;0,1))),3))</f>
        <v>118.48099999999999</v>
      </c>
      <c r="U551" s="214"/>
      <c r="V551" s="1"/>
      <c r="W551" s="61"/>
      <c r="X551" s="61"/>
      <c r="Y551" s="61"/>
      <c r="Z551" s="61"/>
      <c r="AA551" s="61"/>
      <c r="AB551" s="61"/>
    </row>
    <row r="552" spans="1:34" ht="21" customHeight="1" thickBot="1" x14ac:dyDescent="0.25">
      <c r="B552" s="197" t="str">
        <f>"C"&amp;B537</f>
        <v>C32</v>
      </c>
      <c r="C552" s="349" t="str">
        <f>+$C$25</f>
        <v>PROPONENTE CUMPLE CON LAS ACTIVIDADES a) y b)? (SI; NO)</v>
      </c>
      <c r="D552" s="350"/>
      <c r="E552" s="350"/>
      <c r="F552" s="350"/>
      <c r="G552" s="350"/>
      <c r="H552" s="351"/>
      <c r="I552" s="198" t="str">
        <f>IF(C537="","",(IF(AND(COUNTIFS(X540:X549,"SI",Z540:Z549,"SI")&gt;=$Z$8,COUNTIFS(X540:X549,"SI",AB540:AB549,"SI")&gt;=$Z$8),"SI","NO")))</f>
        <v>SI</v>
      </c>
      <c r="J552" s="199"/>
      <c r="K552" s="200"/>
      <c r="L552" s="200"/>
      <c r="M552" s="200"/>
      <c r="N552" s="200"/>
      <c r="P552" s="378" t="str">
        <f>+$P$25</f>
        <v>VALOR PUNTAJE POR EXPERIENCIA DEL PROPONENTE</v>
      </c>
      <c r="Q552" s="379"/>
      <c r="R552" s="379"/>
      <c r="S552" s="380"/>
      <c r="T552" s="201">
        <f>IF(OR(C537="",'ASIGNACION DE PUNTAJES'!$C$5=""),"",VLOOKUP(B537,'ASIGNACION DE PUNTAJES'!$A$15:$G$69,7,FALSE))</f>
        <v>610.06600000000003</v>
      </c>
      <c r="V552" s="202"/>
    </row>
    <row r="553" spans="1:34" ht="12" thickBot="1" x14ac:dyDescent="0.25"/>
    <row r="554" spans="1:34" ht="36.75" customHeight="1" thickBot="1" x14ac:dyDescent="0.25">
      <c r="B554" s="23">
        <f>1+B537</f>
        <v>33</v>
      </c>
      <c r="C554" s="336" t="s">
        <v>158</v>
      </c>
      <c r="D554" s="337"/>
      <c r="E554" s="337"/>
      <c r="F554" s="337"/>
      <c r="G554" s="337"/>
      <c r="H554" s="337"/>
      <c r="I554" s="338"/>
      <c r="J554" s="24" t="str">
        <f>+IF(C554="","","INTEGRANTES")</f>
        <v>INTEGRANTES</v>
      </c>
      <c r="K554" s="339" t="s">
        <v>890</v>
      </c>
      <c r="L554" s="339"/>
      <c r="M554" s="339"/>
      <c r="N554" s="339"/>
      <c r="O554" s="339"/>
      <c r="P554" s="339"/>
      <c r="Q554" s="339"/>
      <c r="R554" s="396" t="str">
        <f>+$R$10</f>
        <v>PROPONENTE No.</v>
      </c>
      <c r="S554" s="397"/>
      <c r="T554" s="25">
        <f>+B554</f>
        <v>33</v>
      </c>
      <c r="U554" s="161" t="str">
        <f>+$U$10</f>
        <v>PFMP</v>
      </c>
      <c r="V554" s="162">
        <f>IF(T568="",0,T568)</f>
        <v>171.44900000000001</v>
      </c>
      <c r="X554" s="325" t="s">
        <v>168</v>
      </c>
      <c r="Z554" s="163" t="str">
        <f>+$Z$10</f>
        <v>EXP. ESPECÍFICA 
A:</v>
      </c>
      <c r="AB554" s="163" t="str">
        <f>+$AB$10</f>
        <v>EXP. ESPECÍFICA 
B:</v>
      </c>
      <c r="AG554" s="1">
        <v>1</v>
      </c>
    </row>
    <row r="555" spans="1:34" ht="42" customHeight="1" x14ac:dyDescent="0.2">
      <c r="B555" s="331" t="str">
        <f>+$B$11</f>
        <v>ITEM</v>
      </c>
      <c r="C555" s="318" t="str">
        <f>+$C$11</f>
        <v>PROPONENTE 
/ 
INTEGRANTE OFERENTE PLURAL</v>
      </c>
      <c r="D555" s="333" t="str">
        <f>+$D$11</f>
        <v>INFORMACIÓN DEL CONTRATO</v>
      </c>
      <c r="E555" s="334"/>
      <c r="F555" s="334"/>
      <c r="G555" s="335"/>
      <c r="H555" s="318" t="str">
        <f>+H538</f>
        <v>CONSECUTIVO RUP</v>
      </c>
      <c r="I555" s="318" t="str">
        <f>+$I$11</f>
        <v>¿SE ENCUENTRA INSCRITO EN EL RUP Y CUMPLE CÓDIGOS UNSPSC?</v>
      </c>
      <c r="J555" s="318" t="str">
        <f>+$J$11</f>
        <v xml:space="preserve">VALOR EN RUP (SMMLV) </v>
      </c>
      <c r="K555" s="318" t="str">
        <f>+$K$11</f>
        <v>% PARTIC en el RUP</v>
      </c>
      <c r="L555" s="318" t="str">
        <f>+$L$11</f>
        <v>VALOR DEL CONTRATO TERMINADO (SMMLV) en el   RUP</v>
      </c>
      <c r="M555" s="318" t="str">
        <f>+$M$11</f>
        <v>FECHA DE INICIO</v>
      </c>
      <c r="N555" s="318" t="str">
        <f>+$N$11</f>
        <v>FECHA DE TERMINACION</v>
      </c>
      <c r="O555" s="318" t="str">
        <f>+$O$11</f>
        <v>PLAZO CONTRA-TO (Meses)</v>
      </c>
      <c r="P555" s="390" t="str">
        <f>+$P$11</f>
        <v>Tsusp i</v>
      </c>
      <c r="Q555" s="391"/>
      <c r="R555" s="392"/>
      <c r="S555" s="318" t="str">
        <f>+$S$11</f>
        <v>PLAZO i REAL</v>
      </c>
      <c r="T555" s="318" t="str">
        <f>+$T$11</f>
        <v>FACTURA-CION MENSUAL PROPO-NENTE</v>
      </c>
      <c r="U555" s="318" t="str">
        <f>+$U$11</f>
        <v>VALIDACIÓN DE LA EXPERIENCIA GENERAL
(SI/NO)</v>
      </c>
      <c r="V555" s="393" t="str">
        <f>+$V$11</f>
        <v>OBSERVACIONES</v>
      </c>
      <c r="X555" s="326"/>
      <c r="Z555" s="381" t="str">
        <f>+$Z$11</f>
        <v>Interventoria a la ejecución de obras relacionadas con Colocación de capas granulares (tales como bases y/o sub-bases granulares).</v>
      </c>
      <c r="AB555" s="381" t="str">
        <f>+$AB$11</f>
        <v>Interventoria a la Ejecución de obras de subdrenaje y/o drenaje, en carreteras.</v>
      </c>
    </row>
    <row r="556" spans="1:34" ht="38.25" customHeight="1" thickBot="1" x14ac:dyDescent="0.25">
      <c r="B556" s="395"/>
      <c r="C556" s="348"/>
      <c r="D556" s="165" t="str">
        <f>+$D$12</f>
        <v>ENTIDAD</v>
      </c>
      <c r="E556" s="165" t="str">
        <f>+$E$12</f>
        <v>No. DE CONTRATO</v>
      </c>
      <c r="F556" s="165" t="str">
        <f>+$F$12</f>
        <v>OBJETO</v>
      </c>
      <c r="G556" s="165" t="str">
        <f>+$G$12</f>
        <v>CONTRATISTA</v>
      </c>
      <c r="H556" s="348"/>
      <c r="I556" s="348"/>
      <c r="J556" s="348"/>
      <c r="K556" s="348"/>
      <c r="L556" s="348"/>
      <c r="M556" s="348"/>
      <c r="N556" s="348"/>
      <c r="O556" s="348"/>
      <c r="P556" s="166" t="str">
        <f>+P539</f>
        <v>Finicsuspi</v>
      </c>
      <c r="Q556" s="166" t="str">
        <f>+Q539</f>
        <v xml:space="preserve"> Ftermsuspi </v>
      </c>
      <c r="R556" s="166" t="str">
        <f>+R539</f>
        <v>Tsusp i (meses)</v>
      </c>
      <c r="S556" s="348"/>
      <c r="T556" s="348"/>
      <c r="U556" s="348"/>
      <c r="V556" s="394"/>
      <c r="X556" s="327"/>
      <c r="Z556" s="381"/>
      <c r="AB556" s="381"/>
    </row>
    <row r="557" spans="1:34" s="27" customFormat="1" ht="110.25" customHeight="1" x14ac:dyDescent="0.2">
      <c r="A557" s="27">
        <f>+IF(T557="","",B557)</f>
        <v>1</v>
      </c>
      <c r="B557" s="28">
        <v>1</v>
      </c>
      <c r="C557" s="86" t="s">
        <v>158</v>
      </c>
      <c r="D557" s="86" t="s">
        <v>43</v>
      </c>
      <c r="E557" s="87" t="s">
        <v>502</v>
      </c>
      <c r="F557" s="87" t="s">
        <v>503</v>
      </c>
      <c r="G557" s="86" t="s">
        <v>504</v>
      </c>
      <c r="H557" s="30">
        <v>96</v>
      </c>
      <c r="I557" s="31" t="s">
        <v>16</v>
      </c>
      <c r="J557" s="32">
        <v>3679.61</v>
      </c>
      <c r="K557" s="33">
        <v>1</v>
      </c>
      <c r="L557" s="34">
        <f>IF(OR(H557="",I557&lt;&gt;"SI",I557="NO",J557="",J557=0,K557="",K557=0,X557&lt;&gt;"SI"),0,J557*K557)</f>
        <v>3679.61</v>
      </c>
      <c r="M557" s="204">
        <v>35410</v>
      </c>
      <c r="N557" s="204">
        <v>35864</v>
      </c>
      <c r="O557" s="169">
        <f>IF(OR(H557="",I557&lt;&gt;"SI",I557="NO",J557="",J557=0,K557="",K557=0,,M557="",N557=""),"",ROUND((((N557-M557)+1)/30),3))</f>
        <v>15.167</v>
      </c>
      <c r="P557" s="204"/>
      <c r="Q557" s="204"/>
      <c r="R557" s="170">
        <f>IF(OR((Q557-P557)=0,P557="",Q557=""),0,(ROUND((((Q557-P557)+1)/30),3)))</f>
        <v>0</v>
      </c>
      <c r="S557" s="171">
        <f>IF(O557="","",ROUND(SUM(O557)-SUM(R557),3))</f>
        <v>15.167</v>
      </c>
      <c r="T557" s="172">
        <f>+IF(C557="","",IF(OR(S557="",S557&lt;=0,I557="",I557="NO",U557="",U557="NO",X557="NO"),"",ROUND(SUM(L557)/S557,3)))</f>
        <v>242.60599999999999</v>
      </c>
      <c r="U557" s="35" t="s">
        <v>16</v>
      </c>
      <c r="V557" s="36"/>
      <c r="W557" s="205"/>
      <c r="X557" s="37" t="str">
        <f t="shared" ref="X557:X566" si="256">+IF(C557="","",IF(AND(H557&lt;&gt;"",I557="SI",J557&lt;&gt;"",J557&gt;0,K557&lt;&gt;"",K557&gt;0,S557&lt;&gt;"",S557&gt;0,U557="SI"),"SI","NO"))</f>
        <v>SI</v>
      </c>
      <c r="Z557" s="173" t="s">
        <v>16</v>
      </c>
      <c r="AB557" s="173" t="s">
        <v>16</v>
      </c>
      <c r="AD557" s="10" t="str">
        <f t="shared" ref="AD557:AD566" si="257">+IF($C$554="","",IF(C557="","",IF(L557&gt;=$H$6,"SI","NO")))</f>
        <v>SI</v>
      </c>
      <c r="AE557" s="92">
        <f>+IF(OR($T$557="",X557="",X557="NO"),"",L557)</f>
        <v>3679.61</v>
      </c>
      <c r="AF557" s="92">
        <f>+IF(AE557="","",L557/$S$557)</f>
        <v>242.60631634469573</v>
      </c>
      <c r="AG557" s="174">
        <f>0.1+B554</f>
        <v>33.1</v>
      </c>
      <c r="AH557" s="27" t="s">
        <v>932</v>
      </c>
    </row>
    <row r="558" spans="1:34" s="27" customFormat="1" ht="315" customHeight="1" x14ac:dyDescent="0.2">
      <c r="A558" s="27" t="str">
        <f t="shared" ref="A558:A566" si="258">+IF(T558="","",B558)</f>
        <v/>
      </c>
      <c r="B558" s="38">
        <v>2</v>
      </c>
      <c r="C558" s="39" t="s">
        <v>158</v>
      </c>
      <c r="D558" s="39" t="s">
        <v>43</v>
      </c>
      <c r="E558" s="46" t="s">
        <v>505</v>
      </c>
      <c r="F558" s="46" t="s">
        <v>506</v>
      </c>
      <c r="G558" s="39" t="s">
        <v>504</v>
      </c>
      <c r="H558" s="40">
        <v>34</v>
      </c>
      <c r="I558" s="41" t="s">
        <v>16</v>
      </c>
      <c r="J558" s="42">
        <v>1057.21</v>
      </c>
      <c r="K558" s="43">
        <v>1</v>
      </c>
      <c r="L558" s="44">
        <f t="shared" ref="L558:L566" si="259">IF(OR(H558="",I558&lt;&gt;"SI",I558="NO",J558="",J558=0,K558="",K558=0,X558&lt;&gt;"SI"),0,J558*K558)</f>
        <v>0</v>
      </c>
      <c r="M558" s="206">
        <v>31369</v>
      </c>
      <c r="N558" s="206">
        <v>32232</v>
      </c>
      <c r="O558" s="207">
        <f t="shared" ref="O558:O566" si="260">IF(OR(H558="",I558&lt;&gt;"SI",I558="NO",J558="",J558=0,K558="",K558=0,,M558="",N558=""),"",ROUND((((N558-M558)+1)/30),3))</f>
        <v>28.8</v>
      </c>
      <c r="P558" s="206"/>
      <c r="Q558" s="206"/>
      <c r="R558" s="177">
        <f t="shared" ref="R558:R566" si="261">IF(OR((Q558-P558)=0,P558="",Q558=""),0,(ROUND((((Q558-P558)+1)/30),3)))</f>
        <v>0</v>
      </c>
      <c r="S558" s="178">
        <f t="shared" ref="S558:S566" si="262">IF(O558="","",ROUND(SUM(O558)-SUM(R558),3))</f>
        <v>28.8</v>
      </c>
      <c r="T558" s="208" t="str">
        <f t="shared" ref="T558:T566" si="263">+IF(C558="","",IF(OR(S558="",S558&lt;=0,I558="",I558="NO",U558="",U558="NO",X558="NO"),"",ROUND(SUM(L558)/S558,3)))</f>
        <v/>
      </c>
      <c r="U558" s="41" t="s">
        <v>211</v>
      </c>
      <c r="V558" s="209" t="s">
        <v>507</v>
      </c>
      <c r="W558" s="205"/>
      <c r="X558" s="37" t="str">
        <f t="shared" si="256"/>
        <v>NO</v>
      </c>
      <c r="Z558" s="173" t="s">
        <v>211</v>
      </c>
      <c r="AB558" s="173" t="s">
        <v>211</v>
      </c>
      <c r="AD558" s="10" t="str">
        <f t="shared" si="257"/>
        <v>NO</v>
      </c>
      <c r="AE558" s="92" t="str">
        <f>+IF(OR($T$558="",X558="",X558="NO"),"",L558)</f>
        <v/>
      </c>
      <c r="AF558" s="92" t="str">
        <f>+IF(AE558="","",L558/$S$558)</f>
        <v/>
      </c>
      <c r="AG558" s="174">
        <f>0.2+B554</f>
        <v>33.200000000000003</v>
      </c>
      <c r="AH558" s="27" t="s">
        <v>932</v>
      </c>
    </row>
    <row r="559" spans="1:34" s="27" customFormat="1" ht="123" customHeight="1" x14ac:dyDescent="0.2">
      <c r="A559" s="27">
        <f t="shared" si="258"/>
        <v>3</v>
      </c>
      <c r="B559" s="38">
        <v>3</v>
      </c>
      <c r="C559" s="39" t="s">
        <v>158</v>
      </c>
      <c r="D559" s="39" t="s">
        <v>121</v>
      </c>
      <c r="E559" s="46" t="s">
        <v>508</v>
      </c>
      <c r="F559" s="46" t="s">
        <v>509</v>
      </c>
      <c r="G559" s="39" t="s">
        <v>510</v>
      </c>
      <c r="H559" s="40">
        <v>212</v>
      </c>
      <c r="I559" s="41" t="s">
        <v>16</v>
      </c>
      <c r="J559" s="42">
        <v>13425.78</v>
      </c>
      <c r="K559" s="43">
        <v>0.5</v>
      </c>
      <c r="L559" s="44">
        <f t="shared" si="259"/>
        <v>6712.89</v>
      </c>
      <c r="M559" s="206">
        <v>40143</v>
      </c>
      <c r="N559" s="206">
        <v>42847</v>
      </c>
      <c r="O559" s="207">
        <f t="shared" si="260"/>
        <v>90.167000000000002</v>
      </c>
      <c r="P559" s="206"/>
      <c r="Q559" s="206"/>
      <c r="R559" s="218">
        <f>23+(0.233333333333333)</f>
        <v>23.233333333333334</v>
      </c>
      <c r="S559" s="178">
        <f t="shared" si="262"/>
        <v>66.933999999999997</v>
      </c>
      <c r="T559" s="208">
        <f t="shared" si="263"/>
        <v>100.291</v>
      </c>
      <c r="U559" s="41" t="s">
        <v>16</v>
      </c>
      <c r="V559" s="45"/>
      <c r="W559" s="205"/>
      <c r="X559" s="37" t="str">
        <f t="shared" si="256"/>
        <v>SI</v>
      </c>
      <c r="Z559" s="173" t="s">
        <v>16</v>
      </c>
      <c r="AB559" s="173" t="s">
        <v>16</v>
      </c>
      <c r="AD559" s="10" t="str">
        <f t="shared" si="257"/>
        <v>SI</v>
      </c>
      <c r="AE559" s="92">
        <f>+IF(OR($T$559="",X559="",X559="NO"),"",L559)</f>
        <v>6712.89</v>
      </c>
      <c r="AF559" s="92">
        <f>+IF(AE559="","",L559/$S$559)</f>
        <v>100.29118235874145</v>
      </c>
      <c r="AG559" s="174">
        <f>0.3+B554</f>
        <v>33.299999999999997</v>
      </c>
      <c r="AH559" s="27" t="s">
        <v>932</v>
      </c>
    </row>
    <row r="560" spans="1:34" s="27" customFormat="1" ht="12.75" x14ac:dyDescent="0.2">
      <c r="A560" s="27" t="str">
        <f t="shared" si="258"/>
        <v/>
      </c>
      <c r="B560" s="38"/>
      <c r="C560" s="39"/>
      <c r="D560" s="39"/>
      <c r="E560" s="46"/>
      <c r="F560" s="46"/>
      <c r="G560" s="39"/>
      <c r="H560" s="40"/>
      <c r="I560" s="41"/>
      <c r="J560" s="42"/>
      <c r="K560" s="43"/>
      <c r="L560" s="44">
        <f t="shared" si="259"/>
        <v>0</v>
      </c>
      <c r="M560" s="206"/>
      <c r="N560" s="206"/>
      <c r="O560" s="207" t="str">
        <f t="shared" si="260"/>
        <v/>
      </c>
      <c r="P560" s="206"/>
      <c r="Q560" s="206"/>
      <c r="R560" s="177">
        <f t="shared" si="261"/>
        <v>0</v>
      </c>
      <c r="S560" s="178" t="str">
        <f t="shared" si="262"/>
        <v/>
      </c>
      <c r="T560" s="208" t="str">
        <f t="shared" si="263"/>
        <v/>
      </c>
      <c r="U560" s="41"/>
      <c r="V560" s="45"/>
      <c r="W560" s="210"/>
      <c r="X560" s="37" t="str">
        <f t="shared" si="256"/>
        <v/>
      </c>
      <c r="Z560" s="180"/>
      <c r="AB560" s="173"/>
      <c r="AD560" s="10" t="str">
        <f t="shared" si="257"/>
        <v/>
      </c>
      <c r="AE560" s="92" t="str">
        <f>+IF(OR($T$560="",X560="",X560="NO"),"",L560)</f>
        <v/>
      </c>
      <c r="AF560" s="92" t="str">
        <f>+IF(AE560="","",L560/$S$560)</f>
        <v/>
      </c>
      <c r="AG560" s="174"/>
    </row>
    <row r="561" spans="1:34" s="27" customFormat="1" ht="12.75" x14ac:dyDescent="0.2">
      <c r="A561" s="27" t="str">
        <f t="shared" si="258"/>
        <v/>
      </c>
      <c r="B561" s="38"/>
      <c r="C561" s="39"/>
      <c r="D561" s="39"/>
      <c r="E561" s="46"/>
      <c r="F561" s="46"/>
      <c r="G561" s="39"/>
      <c r="H561" s="40"/>
      <c r="I561" s="41"/>
      <c r="J561" s="42"/>
      <c r="K561" s="43"/>
      <c r="L561" s="44">
        <f t="shared" si="259"/>
        <v>0</v>
      </c>
      <c r="M561" s="206"/>
      <c r="N561" s="206"/>
      <c r="O561" s="207" t="str">
        <f t="shared" si="260"/>
        <v/>
      </c>
      <c r="P561" s="206"/>
      <c r="Q561" s="206"/>
      <c r="R561" s="177">
        <f t="shared" si="261"/>
        <v>0</v>
      </c>
      <c r="S561" s="178" t="str">
        <f t="shared" si="262"/>
        <v/>
      </c>
      <c r="T561" s="208" t="str">
        <f t="shared" si="263"/>
        <v/>
      </c>
      <c r="U561" s="41"/>
      <c r="V561" s="45"/>
      <c r="X561" s="37" t="str">
        <f t="shared" si="256"/>
        <v/>
      </c>
      <c r="Z561" s="181"/>
      <c r="AB561" s="173"/>
      <c r="AD561" s="10" t="str">
        <f t="shared" si="257"/>
        <v/>
      </c>
      <c r="AE561" s="92" t="str">
        <f>+IF(OR($T$561="",X561="",X561="NO"),"",L561)</f>
        <v/>
      </c>
      <c r="AF561" s="92" t="str">
        <f>+IF(AE561="","",L561/$S$561)</f>
        <v/>
      </c>
      <c r="AG561" s="174"/>
    </row>
    <row r="562" spans="1:34" s="27" customFormat="1" ht="12.75" x14ac:dyDescent="0.2">
      <c r="A562" s="27" t="str">
        <f t="shared" si="258"/>
        <v/>
      </c>
      <c r="B562" s="38"/>
      <c r="C562" s="39"/>
      <c r="D562" s="39"/>
      <c r="E562" s="46"/>
      <c r="F562" s="46"/>
      <c r="G562" s="39"/>
      <c r="H562" s="40"/>
      <c r="I562" s="41"/>
      <c r="J562" s="42"/>
      <c r="K562" s="43"/>
      <c r="L562" s="44">
        <f t="shared" si="259"/>
        <v>0</v>
      </c>
      <c r="M562" s="206"/>
      <c r="N562" s="206"/>
      <c r="O562" s="207" t="str">
        <f t="shared" si="260"/>
        <v/>
      </c>
      <c r="P562" s="206"/>
      <c r="Q562" s="206"/>
      <c r="R562" s="177">
        <f t="shared" si="261"/>
        <v>0</v>
      </c>
      <c r="S562" s="178" t="str">
        <f t="shared" si="262"/>
        <v/>
      </c>
      <c r="T562" s="208" t="str">
        <f t="shared" si="263"/>
        <v/>
      </c>
      <c r="U562" s="41"/>
      <c r="V562" s="45"/>
      <c r="X562" s="37" t="str">
        <f t="shared" si="256"/>
        <v/>
      </c>
      <c r="Z562" s="181"/>
      <c r="AB562" s="173"/>
      <c r="AD562" s="10" t="str">
        <f t="shared" si="257"/>
        <v/>
      </c>
      <c r="AE562" s="92" t="str">
        <f>+IF(OR($T$562="",X562="",X562="NO"),"",L562)</f>
        <v/>
      </c>
      <c r="AF562" s="92" t="str">
        <f>+IF(AE562="","",L562/$S$562)</f>
        <v/>
      </c>
      <c r="AG562" s="174"/>
    </row>
    <row r="563" spans="1:34" s="27" customFormat="1" ht="12.75" x14ac:dyDescent="0.2">
      <c r="A563" s="27" t="str">
        <f t="shared" si="258"/>
        <v/>
      </c>
      <c r="B563" s="38"/>
      <c r="C563" s="39"/>
      <c r="D563" s="39"/>
      <c r="E563" s="46"/>
      <c r="F563" s="46"/>
      <c r="G563" s="39"/>
      <c r="H563" s="40"/>
      <c r="I563" s="41"/>
      <c r="J563" s="42"/>
      <c r="K563" s="43"/>
      <c r="L563" s="44">
        <f t="shared" si="259"/>
        <v>0</v>
      </c>
      <c r="M563" s="206"/>
      <c r="N563" s="206"/>
      <c r="O563" s="207" t="str">
        <f t="shared" si="260"/>
        <v/>
      </c>
      <c r="P563" s="206"/>
      <c r="Q563" s="206"/>
      <c r="R563" s="177">
        <f t="shared" si="261"/>
        <v>0</v>
      </c>
      <c r="S563" s="178" t="str">
        <f t="shared" si="262"/>
        <v/>
      </c>
      <c r="T563" s="208" t="str">
        <f t="shared" si="263"/>
        <v/>
      </c>
      <c r="U563" s="41"/>
      <c r="V563" s="45"/>
      <c r="X563" s="37" t="str">
        <f t="shared" si="256"/>
        <v/>
      </c>
      <c r="Z563" s="181"/>
      <c r="AB563" s="173"/>
      <c r="AD563" s="10" t="str">
        <f t="shared" si="257"/>
        <v/>
      </c>
      <c r="AE563" s="92" t="str">
        <f>+IF(OR($T$563="",X563="",X563="NO"),"",L563)</f>
        <v/>
      </c>
      <c r="AF563" s="92" t="str">
        <f>+IF(AE563="","",L563/$S$563)</f>
        <v/>
      </c>
      <c r="AG563" s="174"/>
    </row>
    <row r="564" spans="1:34" s="27" customFormat="1" ht="12.75" x14ac:dyDescent="0.2">
      <c r="A564" s="27" t="str">
        <f t="shared" si="258"/>
        <v/>
      </c>
      <c r="B564" s="38"/>
      <c r="C564" s="39"/>
      <c r="D564" s="39"/>
      <c r="E564" s="46"/>
      <c r="F564" s="46"/>
      <c r="G564" s="39"/>
      <c r="H564" s="40"/>
      <c r="I564" s="41"/>
      <c r="J564" s="42"/>
      <c r="K564" s="43"/>
      <c r="L564" s="44">
        <f t="shared" si="259"/>
        <v>0</v>
      </c>
      <c r="M564" s="206"/>
      <c r="N564" s="206"/>
      <c r="O564" s="207" t="str">
        <f t="shared" si="260"/>
        <v/>
      </c>
      <c r="P564" s="206"/>
      <c r="Q564" s="206"/>
      <c r="R564" s="177">
        <f t="shared" si="261"/>
        <v>0</v>
      </c>
      <c r="S564" s="178" t="str">
        <f t="shared" si="262"/>
        <v/>
      </c>
      <c r="T564" s="208" t="str">
        <f t="shared" si="263"/>
        <v/>
      </c>
      <c r="U564" s="41"/>
      <c r="V564" s="45"/>
      <c r="X564" s="37" t="str">
        <f t="shared" si="256"/>
        <v/>
      </c>
      <c r="Z564" s="181"/>
      <c r="AB564" s="173"/>
      <c r="AD564" s="10" t="str">
        <f t="shared" si="257"/>
        <v/>
      </c>
      <c r="AE564" s="92" t="str">
        <f>+IF(OR($T$564="",X564="",X564="NO"),"",L564)</f>
        <v/>
      </c>
      <c r="AF564" s="92" t="str">
        <f>+IF(AE564="","",L564/$S$564)</f>
        <v/>
      </c>
      <c r="AG564" s="174"/>
    </row>
    <row r="565" spans="1:34" s="27" customFormat="1" ht="12.75" x14ac:dyDescent="0.2">
      <c r="A565" s="27" t="str">
        <f t="shared" si="258"/>
        <v/>
      </c>
      <c r="B565" s="38"/>
      <c r="C565" s="39"/>
      <c r="D565" s="39"/>
      <c r="E565" s="46"/>
      <c r="F565" s="46"/>
      <c r="G565" s="39"/>
      <c r="H565" s="40"/>
      <c r="I565" s="41"/>
      <c r="J565" s="42"/>
      <c r="K565" s="43"/>
      <c r="L565" s="44">
        <f t="shared" si="259"/>
        <v>0</v>
      </c>
      <c r="M565" s="206"/>
      <c r="N565" s="206"/>
      <c r="O565" s="207" t="str">
        <f t="shared" si="260"/>
        <v/>
      </c>
      <c r="P565" s="206"/>
      <c r="Q565" s="206"/>
      <c r="R565" s="177">
        <f t="shared" si="261"/>
        <v>0</v>
      </c>
      <c r="S565" s="178" t="str">
        <f t="shared" si="262"/>
        <v/>
      </c>
      <c r="T565" s="208" t="str">
        <f t="shared" si="263"/>
        <v/>
      </c>
      <c r="U565" s="41"/>
      <c r="V565" s="45"/>
      <c r="X565" s="37" t="str">
        <f t="shared" si="256"/>
        <v/>
      </c>
      <c r="Z565" s="181"/>
      <c r="AB565" s="173"/>
      <c r="AD565" s="10" t="str">
        <f t="shared" si="257"/>
        <v/>
      </c>
      <c r="AE565" s="92" t="str">
        <f>+IF(OR($T$565="",X565="",X565="NO"),"",L565)</f>
        <v/>
      </c>
      <c r="AF565" s="92" t="str">
        <f>+IF(AE565="","",L565/$S$565)</f>
        <v/>
      </c>
      <c r="AG565" s="174"/>
    </row>
    <row r="566" spans="1:34" s="27" customFormat="1" ht="13.5" thickBot="1" x14ac:dyDescent="0.25">
      <c r="A566" s="27" t="str">
        <f t="shared" si="258"/>
        <v/>
      </c>
      <c r="B566" s="47"/>
      <c r="C566" s="48"/>
      <c r="D566" s="48"/>
      <c r="E566" s="49"/>
      <c r="F566" s="49"/>
      <c r="G566" s="48"/>
      <c r="H566" s="50"/>
      <c r="I566" s="51"/>
      <c r="J566" s="14"/>
      <c r="K566" s="52"/>
      <c r="L566" s="53">
        <f t="shared" si="259"/>
        <v>0</v>
      </c>
      <c r="M566" s="211"/>
      <c r="N566" s="211"/>
      <c r="O566" s="212" t="str">
        <f t="shared" si="260"/>
        <v/>
      </c>
      <c r="P566" s="211"/>
      <c r="Q566" s="211"/>
      <c r="R566" s="184">
        <f t="shared" si="261"/>
        <v>0</v>
      </c>
      <c r="S566" s="185" t="str">
        <f t="shared" si="262"/>
        <v/>
      </c>
      <c r="T566" s="213" t="str">
        <f t="shared" si="263"/>
        <v/>
      </c>
      <c r="U566" s="51"/>
      <c r="V566" s="54"/>
      <c r="X566" s="55" t="str">
        <f t="shared" si="256"/>
        <v/>
      </c>
      <c r="Z566" s="187"/>
      <c r="AB566" s="188"/>
      <c r="AD566" s="10" t="str">
        <f t="shared" si="257"/>
        <v/>
      </c>
      <c r="AE566" s="92" t="str">
        <f>+IF(OR($T$566="",X566="",X566="NO"),"",L566)</f>
        <v/>
      </c>
      <c r="AF566" s="92" t="str">
        <f>+IF(AE566="","",L566/$S$566)</f>
        <v/>
      </c>
    </row>
    <row r="567" spans="1:34" ht="36" customHeight="1" x14ac:dyDescent="0.2">
      <c r="B567" s="57" t="str">
        <f>"A"&amp;B554</f>
        <v>A33</v>
      </c>
      <c r="C567" s="382" t="str">
        <f>+$C$23</f>
        <v>¿CADA INTEGRANTE DE PROPONENTE PLURAL APORTAN CONTRATO?  (SI; NO; NA)</v>
      </c>
      <c r="D567" s="383"/>
      <c r="E567" s="383"/>
      <c r="F567" s="383"/>
      <c r="G567" s="383"/>
      <c r="H567" s="384"/>
      <c r="I567" s="217" t="str">
        <f>+IF(AG554="","",IF(AG554=1,"NA",IF(AND(AG554=3,(IF(COUNTIFS(C557:C566,AH557,AE557:AE566,"&gt;0")&gt;=1,1,0)+IF(COUNTIFS(C557:C566,AH558,AE557:AE566,"&gt;0")&gt;=1,1,0)+IF(COUNTIFS(C557:C566,AH559,AE557:AE566,"&gt;0")&gt;=1,1,0))&gt;=AG554),"SI",IF(AND(AG554=2,(IF(COUNTIFS(C557:C566,AH557,AE557:AE566,"&gt;0")&gt;=1,1,0)+IF(COUNTIFS(C557:C566,AH558,AE557:AE566,"&gt;0")&gt;=1,1,0))&gt;=AG554),"SI","NO"))))</f>
        <v>NA</v>
      </c>
      <c r="J567" s="59"/>
      <c r="K567" s="27"/>
      <c r="L567" s="27"/>
      <c r="M567" s="27"/>
      <c r="N567" s="27"/>
      <c r="O567" s="27"/>
      <c r="P567" s="385" t="str">
        <f>+$P$23</f>
        <v>FACTURACION MENSUAL TOTAL</v>
      </c>
      <c r="Q567" s="386"/>
      <c r="R567" s="386"/>
      <c r="S567" s="386"/>
      <c r="T567" s="189">
        <f>ROUND(SUM(T557:T566),3)</f>
        <v>342.89699999999999</v>
      </c>
      <c r="U567" s="60"/>
      <c r="V567" s="1"/>
      <c r="W567" s="61"/>
      <c r="X567" s="61"/>
      <c r="Y567" s="61"/>
      <c r="Z567" s="61"/>
      <c r="AA567" s="61"/>
      <c r="AB567" s="61"/>
    </row>
    <row r="568" spans="1:34" ht="38.25" customHeight="1" thickBot="1" x14ac:dyDescent="0.25">
      <c r="B568" s="57" t="str">
        <f>"B"&amp;B554</f>
        <v>B33</v>
      </c>
      <c r="C568" s="387" t="str">
        <f>+C551</f>
        <v>En caso de proponente plural: ¿De la totalidad de los contratos aportados por el proponente plural, el valor ejecutado de uno de ellos deberá ser igual o superior al 30% del P.O.?  (SI; NO; NA)</v>
      </c>
      <c r="D568" s="388"/>
      <c r="E568" s="388"/>
      <c r="F568" s="388"/>
      <c r="G568" s="389"/>
      <c r="H568" s="190">
        <f>+$H$6</f>
        <v>268.14722506074827</v>
      </c>
      <c r="I568" s="191" t="str">
        <f>+IF(AG554="","",IF(AG554=1,"NA",IF(AND(AG554&gt;1,(COUNTIFS(AD557:AD566,"SI",AE557:AE566,"&gt;0"))&gt;=1),"SI","NO")))</f>
        <v>NA</v>
      </c>
      <c r="J568" s="192"/>
      <c r="K568" s="193"/>
      <c r="L568" s="194"/>
      <c r="M568" s="194"/>
      <c r="N568" s="194"/>
      <c r="O568" s="194"/>
      <c r="P568" s="387" t="str">
        <f>+$P$24</f>
        <v>PROMEDIO FACTURACIÓN MENSUAL DEL PROPONENTE (PFMP)</v>
      </c>
      <c r="Q568" s="388"/>
      <c r="R568" s="388"/>
      <c r="S568" s="388"/>
      <c r="T568" s="195">
        <f t="array" ref="T568">IF(T567=0,0,ROUND(T567/(SUM(IF(FREQUENCY(A557:A566,A557:A566)&gt;0,1))),3))</f>
        <v>171.44900000000001</v>
      </c>
      <c r="U568" s="214"/>
      <c r="V568" s="1"/>
      <c r="W568" s="61"/>
      <c r="X568" s="61"/>
      <c r="Y568" s="61"/>
      <c r="Z568" s="61"/>
      <c r="AA568" s="61"/>
      <c r="AB568" s="61"/>
    </row>
    <row r="569" spans="1:34" ht="21" customHeight="1" thickBot="1" x14ac:dyDescent="0.25">
      <c r="B569" s="197" t="str">
        <f>"C"&amp;B554</f>
        <v>C33</v>
      </c>
      <c r="C569" s="349" t="str">
        <f>+$C$25</f>
        <v>PROPONENTE CUMPLE CON LAS ACTIVIDADES a) y b)? (SI; NO)</v>
      </c>
      <c r="D569" s="350"/>
      <c r="E569" s="350"/>
      <c r="F569" s="350"/>
      <c r="G569" s="350"/>
      <c r="H569" s="351"/>
      <c r="I569" s="198" t="str">
        <f>IF(C554="","",(IF(AND(COUNTIFS(X557:X566,"SI",Z557:Z566,"SI")&gt;=$Z$8,COUNTIFS(X557:X566,"SI",AB557:AB566,"SI")&gt;=$Z$8),"SI","NO")))</f>
        <v>SI</v>
      </c>
      <c r="J569" s="199"/>
      <c r="K569" s="200"/>
      <c r="L569" s="200"/>
      <c r="M569" s="200"/>
      <c r="N569" s="200"/>
      <c r="P569" s="378" t="str">
        <f>+$P$25</f>
        <v>VALOR PUNTAJE POR EXPERIENCIA DEL PROPONENTE</v>
      </c>
      <c r="Q569" s="379"/>
      <c r="R569" s="379"/>
      <c r="S569" s="380"/>
      <c r="T569" s="201">
        <f>IF(OR(C554="",'ASIGNACION DE PUNTAJES'!$C$5=""),"",VLOOKUP(B554,'ASIGNACION DE PUNTAJES'!$A$15:$G$69,7,FALSE))</f>
        <v>497.19900000000001</v>
      </c>
      <c r="V569" s="202"/>
    </row>
    <row r="570" spans="1:34" ht="12" thickBot="1" x14ac:dyDescent="0.25"/>
    <row r="571" spans="1:34" ht="36.75" customHeight="1" thickBot="1" x14ac:dyDescent="0.25">
      <c r="B571" s="23">
        <f>1+B554</f>
        <v>34</v>
      </c>
      <c r="C571" s="336" t="s">
        <v>932</v>
      </c>
      <c r="D571" s="337"/>
      <c r="E571" s="337"/>
      <c r="F571" s="337"/>
      <c r="G571" s="337"/>
      <c r="H571" s="337"/>
      <c r="I571" s="338"/>
      <c r="J571" s="24" t="str">
        <f>+IF(C571="","","INTEGRANTES")</f>
        <v/>
      </c>
      <c r="K571" s="339" t="s">
        <v>932</v>
      </c>
      <c r="L571" s="339"/>
      <c r="M571" s="339"/>
      <c r="N571" s="339"/>
      <c r="O571" s="339"/>
      <c r="P571" s="339"/>
      <c r="Q571" s="339"/>
      <c r="R571" s="396" t="str">
        <f>+$R$10</f>
        <v>PROPONENTE No.</v>
      </c>
      <c r="S571" s="397"/>
      <c r="T571" s="25">
        <f>+B571</f>
        <v>34</v>
      </c>
      <c r="U571" s="161" t="str">
        <f>+$U$10</f>
        <v>PFMP</v>
      </c>
      <c r="V571" s="162">
        <f>IF(T585="",0,T585)</f>
        <v>0</v>
      </c>
      <c r="X571" s="325" t="s">
        <v>168</v>
      </c>
      <c r="Z571" s="163" t="str">
        <f>+$Z$10</f>
        <v>EXP. ESPECÍFICA 
A:</v>
      </c>
      <c r="AB571" s="163" t="str">
        <f>+$AB$10</f>
        <v>EXP. ESPECÍFICA 
B:</v>
      </c>
      <c r="AG571" s="1" t="s">
        <v>932</v>
      </c>
    </row>
    <row r="572" spans="1:34" ht="42" customHeight="1" x14ac:dyDescent="0.2">
      <c r="B572" s="331" t="str">
        <f>+$B$11</f>
        <v>ITEM</v>
      </c>
      <c r="C572" s="318" t="str">
        <f>+$C$11</f>
        <v>PROPONENTE 
/ 
INTEGRANTE OFERENTE PLURAL</v>
      </c>
      <c r="D572" s="333" t="str">
        <f>+$D$11</f>
        <v>INFORMACIÓN DEL CONTRATO</v>
      </c>
      <c r="E572" s="334"/>
      <c r="F572" s="334"/>
      <c r="G572" s="335"/>
      <c r="H572" s="318" t="str">
        <f>+H555</f>
        <v>CONSECUTIVO RUP</v>
      </c>
      <c r="I572" s="318" t="str">
        <f>+$I$11</f>
        <v>¿SE ENCUENTRA INSCRITO EN EL RUP Y CUMPLE CÓDIGOS UNSPSC?</v>
      </c>
      <c r="J572" s="318" t="str">
        <f>+$J$11</f>
        <v xml:space="preserve">VALOR EN RUP (SMMLV) </v>
      </c>
      <c r="K572" s="318" t="str">
        <f>+$K$11</f>
        <v>% PARTIC en el RUP</v>
      </c>
      <c r="L572" s="318" t="str">
        <f>+$L$11</f>
        <v>VALOR DEL CONTRATO TERMINADO (SMMLV) en el   RUP</v>
      </c>
      <c r="M572" s="318" t="str">
        <f>+$M$11</f>
        <v>FECHA DE INICIO</v>
      </c>
      <c r="N572" s="318" t="str">
        <f>+$N$11</f>
        <v>FECHA DE TERMINACION</v>
      </c>
      <c r="O572" s="318" t="str">
        <f>+$O$11</f>
        <v>PLAZO CONTRA-TO (Meses)</v>
      </c>
      <c r="P572" s="390" t="str">
        <f>+$P$11</f>
        <v>Tsusp i</v>
      </c>
      <c r="Q572" s="391"/>
      <c r="R572" s="392"/>
      <c r="S572" s="318" t="str">
        <f>+$S$11</f>
        <v>PLAZO i REAL</v>
      </c>
      <c r="T572" s="318" t="str">
        <f>+$T$11</f>
        <v>FACTURA-CION MENSUAL PROPO-NENTE</v>
      </c>
      <c r="U572" s="318" t="str">
        <f>+$U$11</f>
        <v>VALIDACIÓN DE LA EXPERIENCIA GENERAL
(SI/NO)</v>
      </c>
      <c r="V572" s="393" t="str">
        <f>+$V$11</f>
        <v>OBSERVACIONES</v>
      </c>
      <c r="X572" s="326"/>
      <c r="Z572" s="381" t="str">
        <f>+$Z$11</f>
        <v>Interventoria a la ejecución de obras relacionadas con Colocación de capas granulares (tales como bases y/o sub-bases granulares).</v>
      </c>
      <c r="AB572" s="381" t="str">
        <f>+$AB$11</f>
        <v>Interventoria a la Ejecución de obras de subdrenaje y/o drenaje, en carreteras.</v>
      </c>
    </row>
    <row r="573" spans="1:34" ht="38.25" customHeight="1" thickBot="1" x14ac:dyDescent="0.25">
      <c r="B573" s="395"/>
      <c r="C573" s="348"/>
      <c r="D573" s="165" t="str">
        <f>+$D$12</f>
        <v>ENTIDAD</v>
      </c>
      <c r="E573" s="165" t="str">
        <f>+$E$12</f>
        <v>No. DE CONTRATO</v>
      </c>
      <c r="F573" s="165" t="str">
        <f>+$F$12</f>
        <v>OBJETO</v>
      </c>
      <c r="G573" s="165" t="str">
        <f>+$G$12</f>
        <v>CONTRATISTA</v>
      </c>
      <c r="H573" s="348"/>
      <c r="I573" s="348"/>
      <c r="J573" s="348"/>
      <c r="K573" s="348"/>
      <c r="L573" s="348"/>
      <c r="M573" s="348"/>
      <c r="N573" s="348"/>
      <c r="O573" s="348"/>
      <c r="P573" s="166" t="str">
        <f>+P556</f>
        <v>Finicsuspi</v>
      </c>
      <c r="Q573" s="166" t="str">
        <f>+Q556</f>
        <v xml:space="preserve"> Ftermsuspi </v>
      </c>
      <c r="R573" s="166" t="str">
        <f>+R556</f>
        <v>Tsusp i (meses)</v>
      </c>
      <c r="S573" s="348"/>
      <c r="T573" s="348"/>
      <c r="U573" s="348"/>
      <c r="V573" s="394"/>
      <c r="X573" s="327"/>
      <c r="Z573" s="381"/>
      <c r="AB573" s="381"/>
    </row>
    <row r="574" spans="1:34" s="27" customFormat="1" ht="12.75" x14ac:dyDescent="0.2">
      <c r="A574" s="27" t="str">
        <f>+IF(T574="","",B574)</f>
        <v/>
      </c>
      <c r="B574" s="28"/>
      <c r="C574" s="86"/>
      <c r="D574" s="86"/>
      <c r="E574" s="87"/>
      <c r="F574" s="87"/>
      <c r="G574" s="86"/>
      <c r="H574" s="30"/>
      <c r="I574" s="31"/>
      <c r="J574" s="32"/>
      <c r="K574" s="33"/>
      <c r="L574" s="34">
        <f>IF(OR(H574="",I574&lt;&gt;"SI",I574="NO",J574="",J574=0,K574="",K574=0,X574&lt;&gt;"SI"),0,J574*K574)</f>
        <v>0</v>
      </c>
      <c r="M574" s="204"/>
      <c r="N574" s="204"/>
      <c r="O574" s="169" t="str">
        <f>IF(OR(H574="",I574&lt;&gt;"SI",I574="NO",J574="",J574=0,K574="",K574=0,,M574="",N574=""),"",ROUND((((N574-M574)+1)/30),3))</f>
        <v/>
      </c>
      <c r="P574" s="204"/>
      <c r="Q574" s="204"/>
      <c r="R574" s="170">
        <f>IF(OR((Q574-P574)=0,P574="",Q574=""),0,(ROUND((((Q574-P574)+1)/30),3)))</f>
        <v>0</v>
      </c>
      <c r="S574" s="171" t="str">
        <f>IF(O574="","",ROUND(SUM(O574)-SUM(R574),3))</f>
        <v/>
      </c>
      <c r="T574" s="172" t="str">
        <f>+IF(C574="","",IF(OR(S574="",S574&lt;=0,I574="",I574="NO",U574="",U574="NO",X574="NO"),"",ROUND(SUM(L574)/S574,3)))</f>
        <v/>
      </c>
      <c r="U574" s="35"/>
      <c r="V574" s="36"/>
      <c r="W574" s="205"/>
      <c r="X574" s="37" t="str">
        <f t="shared" ref="X574:X583" si="264">+IF(C574="","",IF(AND(H574&lt;&gt;"",I574="SI",J574&lt;&gt;"",J574&gt;0,K574&lt;&gt;"",K574&gt;0,S574&lt;&gt;"",S574&gt;0,U574="SI"),"SI","NO"))</f>
        <v/>
      </c>
      <c r="Z574" s="173"/>
      <c r="AB574" s="173"/>
      <c r="AD574" s="10" t="str">
        <f t="shared" ref="AD574:AD583" si="265">+IF($C$571="","",IF(C574="","",IF(L574&gt;=$H$6,"SI","NO")))</f>
        <v/>
      </c>
      <c r="AE574" s="92" t="str">
        <f>+IF(OR($T$574="",X574="",X574="NO"),"",L574)</f>
        <v/>
      </c>
      <c r="AF574" s="92" t="str">
        <f>+IF(AE574="","",L574/$S$574)</f>
        <v/>
      </c>
      <c r="AG574" s="174">
        <f>0.1+B571</f>
        <v>34.1</v>
      </c>
      <c r="AH574" s="27" t="s">
        <v>932</v>
      </c>
    </row>
    <row r="575" spans="1:34" s="27" customFormat="1" ht="12.75" x14ac:dyDescent="0.2">
      <c r="A575" s="27" t="str">
        <f t="shared" ref="A575:A583" si="266">+IF(T575="","",B575)</f>
        <v/>
      </c>
      <c r="B575" s="38"/>
      <c r="C575" s="39"/>
      <c r="D575" s="39"/>
      <c r="E575" s="46"/>
      <c r="F575" s="46"/>
      <c r="G575" s="39"/>
      <c r="H575" s="40"/>
      <c r="I575" s="41"/>
      <c r="J575" s="42"/>
      <c r="K575" s="43"/>
      <c r="L575" s="44">
        <f t="shared" ref="L575:L583" si="267">IF(OR(H575="",I575&lt;&gt;"SI",I575="NO",J575="",J575=0,K575="",K575=0,X575&lt;&gt;"SI"),0,J575*K575)</f>
        <v>0</v>
      </c>
      <c r="M575" s="206"/>
      <c r="N575" s="206"/>
      <c r="O575" s="207" t="str">
        <f t="shared" ref="O575:O583" si="268">IF(OR(H575="",I575&lt;&gt;"SI",I575="NO",J575="",J575=0,K575="",K575=0,,M575="",N575=""),"",ROUND((((N575-M575)+1)/30),3))</f>
        <v/>
      </c>
      <c r="P575" s="206"/>
      <c r="Q575" s="206"/>
      <c r="R575" s="177">
        <f t="shared" ref="R575:R583" si="269">IF(OR((Q575-P575)=0,P575="",Q575=""),0,(ROUND((((Q575-P575)+1)/30),3)))</f>
        <v>0</v>
      </c>
      <c r="S575" s="178" t="str">
        <f t="shared" ref="S575:S583" si="270">IF(O575="","",ROUND(SUM(O575)-SUM(R575),3))</f>
        <v/>
      </c>
      <c r="T575" s="208" t="str">
        <f t="shared" ref="T575:T583" si="271">+IF(C575="","",IF(OR(S575="",S575&lt;=0,I575="",I575="NO",U575="",U575="NO",X575="NO"),"",ROUND(SUM(L575)/S575,3)))</f>
        <v/>
      </c>
      <c r="U575" s="41"/>
      <c r="V575" s="209"/>
      <c r="W575" s="205"/>
      <c r="X575" s="37" t="str">
        <f t="shared" si="264"/>
        <v/>
      </c>
      <c r="Z575" s="173"/>
      <c r="AB575" s="173"/>
      <c r="AD575" s="10" t="str">
        <f t="shared" si="265"/>
        <v/>
      </c>
      <c r="AE575" s="92" t="str">
        <f>+IF(OR($T$575="",X575="",X575="NO"),"",L575)</f>
        <v/>
      </c>
      <c r="AF575" s="92" t="str">
        <f>+IF(AE575="","",L575/$S$575)</f>
        <v/>
      </c>
      <c r="AG575" s="174">
        <f>0.2+B571</f>
        <v>34.200000000000003</v>
      </c>
      <c r="AH575" s="27" t="s">
        <v>932</v>
      </c>
    </row>
    <row r="576" spans="1:34" s="27" customFormat="1" ht="12.75" x14ac:dyDescent="0.2">
      <c r="A576" s="27" t="str">
        <f t="shared" si="266"/>
        <v/>
      </c>
      <c r="B576" s="38"/>
      <c r="C576" s="39"/>
      <c r="D576" s="39"/>
      <c r="E576" s="46"/>
      <c r="F576" s="46"/>
      <c r="G576" s="39"/>
      <c r="H576" s="40"/>
      <c r="I576" s="41"/>
      <c r="J576" s="42"/>
      <c r="K576" s="43"/>
      <c r="L576" s="44">
        <f t="shared" si="267"/>
        <v>0</v>
      </c>
      <c r="M576" s="206"/>
      <c r="N576" s="206"/>
      <c r="O576" s="207" t="str">
        <f t="shared" si="268"/>
        <v/>
      </c>
      <c r="P576" s="206"/>
      <c r="Q576" s="206"/>
      <c r="R576" s="177">
        <f t="shared" si="269"/>
        <v>0</v>
      </c>
      <c r="S576" s="178" t="str">
        <f t="shared" si="270"/>
        <v/>
      </c>
      <c r="T576" s="208" t="str">
        <f t="shared" si="271"/>
        <v/>
      </c>
      <c r="U576" s="41"/>
      <c r="V576" s="45"/>
      <c r="W576" s="205"/>
      <c r="X576" s="37" t="str">
        <f t="shared" si="264"/>
        <v/>
      </c>
      <c r="Z576" s="173"/>
      <c r="AB576" s="173"/>
      <c r="AD576" s="10" t="str">
        <f t="shared" si="265"/>
        <v/>
      </c>
      <c r="AE576" s="92" t="str">
        <f>+IF(OR($T$576="",X576="",X576="NO"),"",L576)</f>
        <v/>
      </c>
      <c r="AF576" s="92" t="str">
        <f>+IF(AE576="","",L576/$S$576)</f>
        <v/>
      </c>
      <c r="AG576" s="174">
        <f>0.3+B571</f>
        <v>34.299999999999997</v>
      </c>
      <c r="AH576" s="27" t="s">
        <v>932</v>
      </c>
    </row>
    <row r="577" spans="1:34" s="27" customFormat="1" ht="12.75" x14ac:dyDescent="0.2">
      <c r="A577" s="27" t="str">
        <f t="shared" si="266"/>
        <v/>
      </c>
      <c r="B577" s="38"/>
      <c r="C577" s="39"/>
      <c r="D577" s="39"/>
      <c r="E577" s="46"/>
      <c r="F577" s="46"/>
      <c r="G577" s="39"/>
      <c r="H577" s="40"/>
      <c r="I577" s="41"/>
      <c r="J577" s="42"/>
      <c r="K577" s="43"/>
      <c r="L577" s="44">
        <f t="shared" si="267"/>
        <v>0</v>
      </c>
      <c r="M577" s="206"/>
      <c r="N577" s="206"/>
      <c r="O577" s="207" t="str">
        <f t="shared" si="268"/>
        <v/>
      </c>
      <c r="P577" s="206"/>
      <c r="Q577" s="206"/>
      <c r="R577" s="177">
        <f t="shared" si="269"/>
        <v>0</v>
      </c>
      <c r="S577" s="178" t="str">
        <f t="shared" si="270"/>
        <v/>
      </c>
      <c r="T577" s="208" t="str">
        <f t="shared" si="271"/>
        <v/>
      </c>
      <c r="U577" s="41"/>
      <c r="V577" s="45"/>
      <c r="W577" s="210"/>
      <c r="X577" s="37" t="str">
        <f t="shared" si="264"/>
        <v/>
      </c>
      <c r="Z577" s="180"/>
      <c r="AB577" s="173"/>
      <c r="AD577" s="10" t="str">
        <f t="shared" si="265"/>
        <v/>
      </c>
      <c r="AE577" s="92" t="str">
        <f>+IF(OR($T$577="",X577="",X577="NO"),"",L577)</f>
        <v/>
      </c>
      <c r="AF577" s="92" t="str">
        <f>+IF(AE577="","",L577/$S$577)</f>
        <v/>
      </c>
      <c r="AG577" s="174"/>
    </row>
    <row r="578" spans="1:34" s="27" customFormat="1" ht="12.75" x14ac:dyDescent="0.2">
      <c r="A578" s="27" t="str">
        <f t="shared" si="266"/>
        <v/>
      </c>
      <c r="B578" s="38"/>
      <c r="C578" s="39"/>
      <c r="D578" s="39"/>
      <c r="E578" s="46"/>
      <c r="F578" s="46"/>
      <c r="G578" s="39"/>
      <c r="H578" s="40"/>
      <c r="I578" s="41"/>
      <c r="J578" s="42"/>
      <c r="K578" s="43"/>
      <c r="L578" s="44">
        <f t="shared" si="267"/>
        <v>0</v>
      </c>
      <c r="M578" s="206"/>
      <c r="N578" s="206"/>
      <c r="O578" s="207" t="str">
        <f t="shared" si="268"/>
        <v/>
      </c>
      <c r="P578" s="206"/>
      <c r="Q578" s="206"/>
      <c r="R578" s="177">
        <f t="shared" si="269"/>
        <v>0</v>
      </c>
      <c r="S578" s="178" t="str">
        <f t="shared" si="270"/>
        <v/>
      </c>
      <c r="T578" s="208" t="str">
        <f t="shared" si="271"/>
        <v/>
      </c>
      <c r="U578" s="41"/>
      <c r="V578" s="45"/>
      <c r="X578" s="37" t="str">
        <f t="shared" si="264"/>
        <v/>
      </c>
      <c r="Z578" s="181"/>
      <c r="AB578" s="173"/>
      <c r="AD578" s="10" t="str">
        <f t="shared" si="265"/>
        <v/>
      </c>
      <c r="AE578" s="92" t="str">
        <f>+IF(OR($T$578="",X578="",X578="NO"),"",L578)</f>
        <v/>
      </c>
      <c r="AF578" s="92" t="str">
        <f>+IF(AE578="","",L578/$S$578)</f>
        <v/>
      </c>
      <c r="AG578" s="174"/>
    </row>
    <row r="579" spans="1:34" s="27" customFormat="1" ht="12.75" x14ac:dyDescent="0.2">
      <c r="A579" s="27" t="str">
        <f t="shared" si="266"/>
        <v/>
      </c>
      <c r="B579" s="38"/>
      <c r="C579" s="39"/>
      <c r="D579" s="39"/>
      <c r="E579" s="46"/>
      <c r="F579" s="46"/>
      <c r="G579" s="39"/>
      <c r="H579" s="40"/>
      <c r="I579" s="41"/>
      <c r="J579" s="42"/>
      <c r="K579" s="43"/>
      <c r="L579" s="44">
        <f t="shared" si="267"/>
        <v>0</v>
      </c>
      <c r="M579" s="206"/>
      <c r="N579" s="206"/>
      <c r="O579" s="207" t="str">
        <f t="shared" si="268"/>
        <v/>
      </c>
      <c r="P579" s="206"/>
      <c r="Q579" s="206"/>
      <c r="R579" s="177">
        <f t="shared" si="269"/>
        <v>0</v>
      </c>
      <c r="S579" s="178" t="str">
        <f t="shared" si="270"/>
        <v/>
      </c>
      <c r="T579" s="208" t="str">
        <f t="shared" si="271"/>
        <v/>
      </c>
      <c r="U579" s="41"/>
      <c r="V579" s="45"/>
      <c r="X579" s="37" t="str">
        <f t="shared" si="264"/>
        <v/>
      </c>
      <c r="Z579" s="181"/>
      <c r="AB579" s="173"/>
      <c r="AD579" s="10" t="str">
        <f t="shared" si="265"/>
        <v/>
      </c>
      <c r="AE579" s="92" t="str">
        <f>+IF(OR($T$579="",X579="",X579="NO"),"",L579)</f>
        <v/>
      </c>
      <c r="AF579" s="92" t="str">
        <f>+IF(AE579="","",L579/$S$579)</f>
        <v/>
      </c>
      <c r="AG579" s="174"/>
    </row>
    <row r="580" spans="1:34" s="27" customFormat="1" ht="12.75" x14ac:dyDescent="0.2">
      <c r="A580" s="27" t="str">
        <f t="shared" si="266"/>
        <v/>
      </c>
      <c r="B580" s="38"/>
      <c r="C580" s="39"/>
      <c r="D580" s="39"/>
      <c r="E580" s="46"/>
      <c r="F580" s="46"/>
      <c r="G580" s="39"/>
      <c r="H580" s="40"/>
      <c r="I580" s="41"/>
      <c r="J580" s="42"/>
      <c r="K580" s="43"/>
      <c r="L580" s="44">
        <f t="shared" si="267"/>
        <v>0</v>
      </c>
      <c r="M580" s="206"/>
      <c r="N580" s="206"/>
      <c r="O580" s="207" t="str">
        <f t="shared" si="268"/>
        <v/>
      </c>
      <c r="P580" s="206"/>
      <c r="Q580" s="206"/>
      <c r="R580" s="177">
        <f t="shared" si="269"/>
        <v>0</v>
      </c>
      <c r="S580" s="178" t="str">
        <f t="shared" si="270"/>
        <v/>
      </c>
      <c r="T580" s="208" t="str">
        <f t="shared" si="271"/>
        <v/>
      </c>
      <c r="U580" s="41"/>
      <c r="V580" s="45"/>
      <c r="X580" s="37" t="str">
        <f t="shared" si="264"/>
        <v/>
      </c>
      <c r="Z580" s="181"/>
      <c r="AB580" s="173"/>
      <c r="AD580" s="10" t="str">
        <f t="shared" si="265"/>
        <v/>
      </c>
      <c r="AE580" s="92" t="str">
        <f>+IF(OR($T$580="",X580="",X580="NO"),"",L580)</f>
        <v/>
      </c>
      <c r="AF580" s="92" t="str">
        <f>+IF(AE580="","",L580/$S$580)</f>
        <v/>
      </c>
      <c r="AG580" s="174"/>
    </row>
    <row r="581" spans="1:34" s="27" customFormat="1" ht="12.75" x14ac:dyDescent="0.2">
      <c r="A581" s="27" t="str">
        <f t="shared" si="266"/>
        <v/>
      </c>
      <c r="B581" s="38"/>
      <c r="C581" s="39"/>
      <c r="D581" s="39"/>
      <c r="E581" s="46"/>
      <c r="F581" s="46"/>
      <c r="G581" s="39"/>
      <c r="H581" s="40"/>
      <c r="I581" s="41"/>
      <c r="J581" s="42"/>
      <c r="K581" s="43"/>
      <c r="L581" s="44">
        <f t="shared" si="267"/>
        <v>0</v>
      </c>
      <c r="M581" s="206"/>
      <c r="N581" s="206"/>
      <c r="O581" s="207" t="str">
        <f t="shared" si="268"/>
        <v/>
      </c>
      <c r="P581" s="206"/>
      <c r="Q581" s="206"/>
      <c r="R581" s="177">
        <f t="shared" si="269"/>
        <v>0</v>
      </c>
      <c r="S581" s="178" t="str">
        <f t="shared" si="270"/>
        <v/>
      </c>
      <c r="T581" s="208" t="str">
        <f t="shared" si="271"/>
        <v/>
      </c>
      <c r="U581" s="41"/>
      <c r="V581" s="45"/>
      <c r="X581" s="37" t="str">
        <f t="shared" si="264"/>
        <v/>
      </c>
      <c r="Z581" s="181"/>
      <c r="AB581" s="173"/>
      <c r="AD581" s="10" t="str">
        <f t="shared" si="265"/>
        <v/>
      </c>
      <c r="AE581" s="92" t="str">
        <f>+IF(OR($T$581="",X581="",X581="NO"),"",L581)</f>
        <v/>
      </c>
      <c r="AF581" s="92" t="str">
        <f>+IF(AE581="","",L581/$S$581)</f>
        <v/>
      </c>
      <c r="AG581" s="174"/>
    </row>
    <row r="582" spans="1:34" s="27" customFormat="1" ht="12.75" x14ac:dyDescent="0.2">
      <c r="A582" s="27" t="str">
        <f t="shared" si="266"/>
        <v/>
      </c>
      <c r="B582" s="38"/>
      <c r="C582" s="39"/>
      <c r="D582" s="39"/>
      <c r="E582" s="46"/>
      <c r="F582" s="46"/>
      <c r="G582" s="39"/>
      <c r="H582" s="40"/>
      <c r="I582" s="41"/>
      <c r="J582" s="42"/>
      <c r="K582" s="43"/>
      <c r="L582" s="44">
        <f t="shared" si="267"/>
        <v>0</v>
      </c>
      <c r="M582" s="206"/>
      <c r="N582" s="206"/>
      <c r="O582" s="207" t="str">
        <f t="shared" si="268"/>
        <v/>
      </c>
      <c r="P582" s="206"/>
      <c r="Q582" s="206"/>
      <c r="R582" s="177">
        <f t="shared" si="269"/>
        <v>0</v>
      </c>
      <c r="S582" s="178" t="str">
        <f t="shared" si="270"/>
        <v/>
      </c>
      <c r="T582" s="208" t="str">
        <f t="shared" si="271"/>
        <v/>
      </c>
      <c r="U582" s="41"/>
      <c r="V582" s="45"/>
      <c r="X582" s="37" t="str">
        <f t="shared" si="264"/>
        <v/>
      </c>
      <c r="Z582" s="181"/>
      <c r="AB582" s="173"/>
      <c r="AD582" s="10" t="str">
        <f t="shared" si="265"/>
        <v/>
      </c>
      <c r="AE582" s="92" t="str">
        <f>+IF(OR($T$582="",X582="",X582="NO"),"",L582)</f>
        <v/>
      </c>
      <c r="AF582" s="92" t="str">
        <f>+IF(AE582="","",L582/$S$582)</f>
        <v/>
      </c>
      <c r="AG582" s="174"/>
    </row>
    <row r="583" spans="1:34" s="27" customFormat="1" ht="13.5" thickBot="1" x14ac:dyDescent="0.25">
      <c r="A583" s="27" t="str">
        <f t="shared" si="266"/>
        <v/>
      </c>
      <c r="B583" s="47"/>
      <c r="C583" s="48"/>
      <c r="D583" s="48"/>
      <c r="E583" s="49"/>
      <c r="F583" s="49"/>
      <c r="G583" s="48"/>
      <c r="H583" s="50"/>
      <c r="I583" s="51"/>
      <c r="J583" s="14"/>
      <c r="K583" s="52"/>
      <c r="L583" s="53">
        <f t="shared" si="267"/>
        <v>0</v>
      </c>
      <c r="M583" s="211"/>
      <c r="N583" s="211"/>
      <c r="O583" s="212" t="str">
        <f t="shared" si="268"/>
        <v/>
      </c>
      <c r="P583" s="211"/>
      <c r="Q583" s="211"/>
      <c r="R583" s="184">
        <f t="shared" si="269"/>
        <v>0</v>
      </c>
      <c r="S583" s="185" t="str">
        <f t="shared" si="270"/>
        <v/>
      </c>
      <c r="T583" s="213" t="str">
        <f t="shared" si="271"/>
        <v/>
      </c>
      <c r="U583" s="51"/>
      <c r="V583" s="54"/>
      <c r="X583" s="55" t="str">
        <f t="shared" si="264"/>
        <v/>
      </c>
      <c r="Z583" s="187"/>
      <c r="AB583" s="188"/>
      <c r="AD583" s="10" t="str">
        <f t="shared" si="265"/>
        <v/>
      </c>
      <c r="AE583" s="92" t="str">
        <f>+IF(OR($T$583="",X583="",X583="NO"),"",L583)</f>
        <v/>
      </c>
      <c r="AF583" s="92" t="str">
        <f>+IF(AE583="","",L583/$S$583)</f>
        <v/>
      </c>
    </row>
    <row r="584" spans="1:34" ht="36" customHeight="1" x14ac:dyDescent="0.2">
      <c r="B584" s="57" t="str">
        <f>"A"&amp;B571</f>
        <v>A34</v>
      </c>
      <c r="C584" s="382" t="str">
        <f>+$C$23</f>
        <v>¿CADA INTEGRANTE DE PROPONENTE PLURAL APORTAN CONTRATO?  (SI; NO; NA)</v>
      </c>
      <c r="D584" s="383"/>
      <c r="E584" s="383"/>
      <c r="F584" s="383"/>
      <c r="G584" s="383"/>
      <c r="H584" s="384"/>
      <c r="I584" s="217" t="str">
        <f>+IF(AG571="","",IF(AG571=1,"NA",IF(AND(AG571=3,(IF(COUNTIFS(C574:C583,AH574,AE574:AE583,"&gt;0")&gt;=1,1,0)+IF(COUNTIFS(C574:C583,AH575,AE574:AE583,"&gt;0")&gt;=1,1,0)+IF(COUNTIFS(C574:C583,AH576,AE574:AE583,"&gt;0")&gt;=1,1,0))&gt;=AG571),"SI",IF(AND(AG571=2,(IF(COUNTIFS(C574:C583,AH574,AE574:AE583,"&gt;0")&gt;=1,1,0)+IF(COUNTIFS(C574:C583,AH575,AE574:AE583,"&gt;0")&gt;=1,1,0))&gt;=AG571),"SI","NO"))))</f>
        <v/>
      </c>
      <c r="J584" s="59"/>
      <c r="K584" s="27"/>
      <c r="L584" s="27"/>
      <c r="M584" s="27"/>
      <c r="N584" s="27"/>
      <c r="O584" s="27"/>
      <c r="P584" s="385" t="str">
        <f>+$P$23</f>
        <v>FACTURACION MENSUAL TOTAL</v>
      </c>
      <c r="Q584" s="386"/>
      <c r="R584" s="386"/>
      <c r="S584" s="386"/>
      <c r="T584" s="189">
        <f>ROUND(SUM(T574:T583),3)</f>
        <v>0</v>
      </c>
      <c r="U584" s="60"/>
      <c r="V584" s="1"/>
      <c r="W584" s="61"/>
      <c r="X584" s="61"/>
      <c r="Y584" s="61"/>
      <c r="Z584" s="61"/>
      <c r="AA584" s="61"/>
      <c r="AB584" s="61"/>
    </row>
    <row r="585" spans="1:34" ht="38.25" customHeight="1" thickBot="1" x14ac:dyDescent="0.25">
      <c r="B585" s="57" t="str">
        <f>"B"&amp;B571</f>
        <v>B34</v>
      </c>
      <c r="C585" s="387" t="str">
        <f>+C568</f>
        <v>En caso de proponente plural: ¿De la totalidad de los contratos aportados por el proponente plural, el valor ejecutado de uno de ellos deberá ser igual o superior al 30% del P.O.?  (SI; NO; NA)</v>
      </c>
      <c r="D585" s="388"/>
      <c r="E585" s="388"/>
      <c r="F585" s="388"/>
      <c r="G585" s="389"/>
      <c r="H585" s="190">
        <f>+$H$6</f>
        <v>268.14722506074827</v>
      </c>
      <c r="I585" s="191" t="str">
        <f>+IF(AG571="","",IF(AG571=1,"NA",IF(AND(AG571&gt;1,(COUNTIFS(AD574:AD583,"SI",AE574:AE583,"&gt;0"))&gt;=1),"SI","NO")))</f>
        <v/>
      </c>
      <c r="J585" s="192"/>
      <c r="K585" s="193"/>
      <c r="L585" s="194"/>
      <c r="M585" s="194"/>
      <c r="N585" s="194"/>
      <c r="O585" s="194"/>
      <c r="P585" s="387" t="str">
        <f>+$P$24</f>
        <v>PROMEDIO FACTURACIÓN MENSUAL DEL PROPONENTE (PFMP)</v>
      </c>
      <c r="Q585" s="388"/>
      <c r="R585" s="388"/>
      <c r="S585" s="388"/>
      <c r="T585" s="195">
        <f t="array" ref="T585">IF(T584=0,0,ROUND(T584/(SUM(IF(FREQUENCY(A574:A583,A574:A583)&gt;0,1))),3))</f>
        <v>0</v>
      </c>
      <c r="U585" s="214"/>
      <c r="V585" s="1"/>
      <c r="W585" s="61"/>
      <c r="X585" s="61"/>
      <c r="Y585" s="61"/>
      <c r="Z585" s="61"/>
      <c r="AA585" s="61"/>
      <c r="AB585" s="61"/>
    </row>
    <row r="586" spans="1:34" ht="21" customHeight="1" thickBot="1" x14ac:dyDescent="0.25">
      <c r="B586" s="197" t="str">
        <f>"C"&amp;B571</f>
        <v>C34</v>
      </c>
      <c r="C586" s="349" t="str">
        <f>+$C$25</f>
        <v>PROPONENTE CUMPLE CON LAS ACTIVIDADES a) y b)? (SI; NO)</v>
      </c>
      <c r="D586" s="350"/>
      <c r="E586" s="350"/>
      <c r="F586" s="350"/>
      <c r="G586" s="350"/>
      <c r="H586" s="351"/>
      <c r="I586" s="198" t="str">
        <f>IF(C571="","",(IF(AND(COUNTIFS(X574:X583,"SI",Z574:Z583,"SI")&gt;=$Z$8,COUNTIFS(X574:X583,"SI",AB574:AB583,"SI")&gt;=$Z$8),"SI","NO")))</f>
        <v/>
      </c>
      <c r="J586" s="199"/>
      <c r="K586" s="200"/>
      <c r="L586" s="200"/>
      <c r="M586" s="200"/>
      <c r="N586" s="200"/>
      <c r="P586" s="378" t="str">
        <f>+$P$25</f>
        <v>VALOR PUNTAJE POR EXPERIENCIA DEL PROPONENTE</v>
      </c>
      <c r="Q586" s="379"/>
      <c r="R586" s="379"/>
      <c r="S586" s="380"/>
      <c r="T586" s="201" t="str">
        <f>IF(OR(C571="",'ASIGNACION DE PUNTAJES'!$C$5=""),"",VLOOKUP(B571,'ASIGNACION DE PUNTAJES'!$A$15:$G$69,7,FALSE))</f>
        <v/>
      </c>
      <c r="V586" s="202"/>
    </row>
    <row r="587" spans="1:34" ht="12" thickBot="1" x14ac:dyDescent="0.25"/>
    <row r="588" spans="1:34" ht="36.75" customHeight="1" thickBot="1" x14ac:dyDescent="0.25">
      <c r="B588" s="23">
        <f>1+B571</f>
        <v>35</v>
      </c>
      <c r="C588" s="336" t="s">
        <v>932</v>
      </c>
      <c r="D588" s="337"/>
      <c r="E588" s="337"/>
      <c r="F588" s="337"/>
      <c r="G588" s="337"/>
      <c r="H588" s="337"/>
      <c r="I588" s="338"/>
      <c r="J588" s="24" t="str">
        <f>+IF(C588="","","INTEGRANTES")</f>
        <v/>
      </c>
      <c r="K588" s="339" t="s">
        <v>932</v>
      </c>
      <c r="L588" s="339"/>
      <c r="M588" s="339"/>
      <c r="N588" s="339"/>
      <c r="O588" s="339"/>
      <c r="P588" s="339"/>
      <c r="Q588" s="339"/>
      <c r="R588" s="396" t="str">
        <f>+$R$10</f>
        <v>PROPONENTE No.</v>
      </c>
      <c r="S588" s="397"/>
      <c r="T588" s="25">
        <f>+B588</f>
        <v>35</v>
      </c>
      <c r="U588" s="161" t="str">
        <f>+$U$10</f>
        <v>PFMP</v>
      </c>
      <c r="V588" s="162">
        <f>IF(T602="",0,T602)</f>
        <v>0</v>
      </c>
      <c r="X588" s="325" t="s">
        <v>168</v>
      </c>
      <c r="Z588" s="163" t="str">
        <f>+$Z$10</f>
        <v>EXP. ESPECÍFICA 
A:</v>
      </c>
      <c r="AB588" s="163" t="str">
        <f>+$AB$10</f>
        <v>EXP. ESPECÍFICA 
B:</v>
      </c>
      <c r="AG588" s="1" t="s">
        <v>932</v>
      </c>
    </row>
    <row r="589" spans="1:34" ht="42" customHeight="1" x14ac:dyDescent="0.2">
      <c r="B589" s="331" t="str">
        <f>+$B$11</f>
        <v>ITEM</v>
      </c>
      <c r="C589" s="318" t="str">
        <f>+$C$11</f>
        <v>PROPONENTE 
/ 
INTEGRANTE OFERENTE PLURAL</v>
      </c>
      <c r="D589" s="333" t="str">
        <f>+$D$11</f>
        <v>INFORMACIÓN DEL CONTRATO</v>
      </c>
      <c r="E589" s="334"/>
      <c r="F589" s="334"/>
      <c r="G589" s="335"/>
      <c r="H589" s="318" t="str">
        <f>+H572</f>
        <v>CONSECUTIVO RUP</v>
      </c>
      <c r="I589" s="318" t="str">
        <f>+$I$11</f>
        <v>¿SE ENCUENTRA INSCRITO EN EL RUP Y CUMPLE CÓDIGOS UNSPSC?</v>
      </c>
      <c r="J589" s="318" t="str">
        <f>+$J$11</f>
        <v xml:space="preserve">VALOR EN RUP (SMMLV) </v>
      </c>
      <c r="K589" s="318" t="str">
        <f>+$K$11</f>
        <v>% PARTIC en el RUP</v>
      </c>
      <c r="L589" s="318" t="str">
        <f>+$L$11</f>
        <v>VALOR DEL CONTRATO TERMINADO (SMMLV) en el   RUP</v>
      </c>
      <c r="M589" s="318" t="str">
        <f>+$M$11</f>
        <v>FECHA DE INICIO</v>
      </c>
      <c r="N589" s="318" t="str">
        <f>+$N$11</f>
        <v>FECHA DE TERMINACION</v>
      </c>
      <c r="O589" s="318" t="str">
        <f>+$O$11</f>
        <v>PLAZO CONTRA-TO (Meses)</v>
      </c>
      <c r="P589" s="390" t="str">
        <f>+$P$11</f>
        <v>Tsusp i</v>
      </c>
      <c r="Q589" s="391"/>
      <c r="R589" s="392"/>
      <c r="S589" s="318" t="str">
        <f>+$S$11</f>
        <v>PLAZO i REAL</v>
      </c>
      <c r="T589" s="318" t="str">
        <f>+$T$11</f>
        <v>FACTURA-CION MENSUAL PROPO-NENTE</v>
      </c>
      <c r="U589" s="318" t="str">
        <f>+$U$11</f>
        <v>VALIDACIÓN DE LA EXPERIENCIA GENERAL
(SI/NO)</v>
      </c>
      <c r="V589" s="393" t="str">
        <f>+$V$11</f>
        <v>OBSERVACIONES</v>
      </c>
      <c r="X589" s="326"/>
      <c r="Z589" s="381" t="str">
        <f>+$Z$11</f>
        <v>Interventoria a la ejecución de obras relacionadas con Colocación de capas granulares (tales como bases y/o sub-bases granulares).</v>
      </c>
      <c r="AB589" s="381" t="str">
        <f>+$AB$11</f>
        <v>Interventoria a la Ejecución de obras de subdrenaje y/o drenaje, en carreteras.</v>
      </c>
    </row>
    <row r="590" spans="1:34" ht="38.25" customHeight="1" thickBot="1" x14ac:dyDescent="0.25">
      <c r="B590" s="395"/>
      <c r="C590" s="348"/>
      <c r="D590" s="165" t="str">
        <f>+$D$12</f>
        <v>ENTIDAD</v>
      </c>
      <c r="E590" s="165" t="str">
        <f>+$E$12</f>
        <v>No. DE CONTRATO</v>
      </c>
      <c r="F590" s="165" t="str">
        <f>+$F$12</f>
        <v>OBJETO</v>
      </c>
      <c r="G590" s="165" t="str">
        <f>+$G$12</f>
        <v>CONTRATISTA</v>
      </c>
      <c r="H590" s="348"/>
      <c r="I590" s="348"/>
      <c r="J590" s="348"/>
      <c r="K590" s="348"/>
      <c r="L590" s="348"/>
      <c r="M590" s="348"/>
      <c r="N590" s="348"/>
      <c r="O590" s="348"/>
      <c r="P590" s="166" t="str">
        <f>+P573</f>
        <v>Finicsuspi</v>
      </c>
      <c r="Q590" s="166" t="str">
        <f>+Q573</f>
        <v xml:space="preserve"> Ftermsuspi </v>
      </c>
      <c r="R590" s="166" t="str">
        <f>+R573</f>
        <v>Tsusp i (meses)</v>
      </c>
      <c r="S590" s="348"/>
      <c r="T590" s="348"/>
      <c r="U590" s="348"/>
      <c r="V590" s="394"/>
      <c r="X590" s="327"/>
      <c r="Z590" s="381"/>
      <c r="AB590" s="381"/>
    </row>
    <row r="591" spans="1:34" s="27" customFormat="1" ht="12.75" x14ac:dyDescent="0.2">
      <c r="A591" s="27" t="str">
        <f>+IF(T591="","",B591)</f>
        <v/>
      </c>
      <c r="B591" s="28"/>
      <c r="C591" s="86"/>
      <c r="D591" s="86"/>
      <c r="E591" s="87"/>
      <c r="F591" s="87"/>
      <c r="G591" s="86"/>
      <c r="H591" s="30"/>
      <c r="I591" s="31"/>
      <c r="J591" s="32"/>
      <c r="K591" s="33"/>
      <c r="L591" s="34">
        <f>IF(OR(H591="",I591&lt;&gt;"SI",I591="NO",J591="",J591=0,K591="",K591=0,X591&lt;&gt;"SI"),0,J591*K591)</f>
        <v>0</v>
      </c>
      <c r="M591" s="204"/>
      <c r="N591" s="204"/>
      <c r="O591" s="169" t="str">
        <f>IF(OR(H591="",I591&lt;&gt;"SI",I591="NO",J591="",J591=0,K591="",K591=0,,M591="",N591=""),"",ROUND((((N591-M591)+1)/30),3))</f>
        <v/>
      </c>
      <c r="P591" s="204"/>
      <c r="Q591" s="204"/>
      <c r="R591" s="170">
        <f>IF(OR((Q591-P591)=0,P591="",Q591=""),0,(ROUND((((Q591-P591)+1)/30),3)))</f>
        <v>0</v>
      </c>
      <c r="S591" s="171" t="str">
        <f>IF(O591="","",ROUND(SUM(O591)-SUM(R591),3))</f>
        <v/>
      </c>
      <c r="T591" s="172" t="str">
        <f>+IF(C591="","",IF(OR(S591="",S591&lt;=0,I591="",I591="NO",U591="",U591="NO",X591="NO"),"",ROUND(SUM(L591)/S591,3)))</f>
        <v/>
      </c>
      <c r="U591" s="35"/>
      <c r="V591" s="36"/>
      <c r="W591" s="205"/>
      <c r="X591" s="37" t="str">
        <f t="shared" ref="X591:X600" si="272">+IF(C591="","",IF(AND(H591&lt;&gt;"",I591="SI",J591&lt;&gt;"",J591&gt;0,K591&lt;&gt;"",K591&gt;0,S591&lt;&gt;"",S591&gt;0,U591="SI"),"SI","NO"))</f>
        <v/>
      </c>
      <c r="Z591" s="173"/>
      <c r="AB591" s="173"/>
      <c r="AD591" s="10" t="str">
        <f t="shared" ref="AD591:AD600" si="273">+IF($C$588="","",IF(C591="","",IF(L591&gt;=$H$6,"SI","NO")))</f>
        <v/>
      </c>
      <c r="AE591" s="92" t="str">
        <f>+IF(OR($T$591="",X591="",X591="NO"),"",L591)</f>
        <v/>
      </c>
      <c r="AF591" s="92" t="str">
        <f>+IF(AE591="","",L591/$S$591)</f>
        <v/>
      </c>
      <c r="AG591" s="174">
        <f>0.1+B588</f>
        <v>35.1</v>
      </c>
      <c r="AH591" s="27" t="s">
        <v>932</v>
      </c>
    </row>
    <row r="592" spans="1:34" s="27" customFormat="1" ht="12.75" x14ac:dyDescent="0.2">
      <c r="A592" s="27" t="str">
        <f t="shared" ref="A592:A600" si="274">+IF(T592="","",B592)</f>
        <v/>
      </c>
      <c r="B592" s="38"/>
      <c r="C592" s="39"/>
      <c r="D592" s="39"/>
      <c r="E592" s="46"/>
      <c r="F592" s="46"/>
      <c r="G592" s="39"/>
      <c r="H592" s="40"/>
      <c r="I592" s="41"/>
      <c r="J592" s="42"/>
      <c r="K592" s="43"/>
      <c r="L592" s="44">
        <f t="shared" ref="L592:L600" si="275">IF(OR(H592="",I592&lt;&gt;"SI",I592="NO",J592="",J592=0,K592="",K592=0,X592&lt;&gt;"SI"),0,J592*K592)</f>
        <v>0</v>
      </c>
      <c r="M592" s="206"/>
      <c r="N592" s="206"/>
      <c r="O592" s="207" t="str">
        <f t="shared" ref="O592:O600" si="276">IF(OR(H592="",I592&lt;&gt;"SI",I592="NO",J592="",J592=0,K592="",K592=0,,M592="",N592=""),"",ROUND((((N592-M592)+1)/30),3))</f>
        <v/>
      </c>
      <c r="P592" s="206"/>
      <c r="Q592" s="206"/>
      <c r="R592" s="177">
        <f t="shared" ref="R592:R600" si="277">IF(OR((Q592-P592)=0,P592="",Q592=""),0,(ROUND((((Q592-P592)+1)/30),3)))</f>
        <v>0</v>
      </c>
      <c r="S592" s="178" t="str">
        <f t="shared" ref="S592:S600" si="278">IF(O592="","",ROUND(SUM(O592)-SUM(R592),3))</f>
        <v/>
      </c>
      <c r="T592" s="208" t="str">
        <f t="shared" ref="T592:T600" si="279">+IF(C592="","",IF(OR(S592="",S592&lt;=0,I592="",I592="NO",U592="",U592="NO",X592="NO"),"",ROUND(SUM(L592)/S592,3)))</f>
        <v/>
      </c>
      <c r="U592" s="41"/>
      <c r="V592" s="209"/>
      <c r="W592" s="205"/>
      <c r="X592" s="37" t="str">
        <f t="shared" si="272"/>
        <v/>
      </c>
      <c r="Z592" s="173"/>
      <c r="AB592" s="173"/>
      <c r="AD592" s="10" t="str">
        <f t="shared" si="273"/>
        <v/>
      </c>
      <c r="AE592" s="92" t="str">
        <f>+IF(OR($T$592="",X592="",X592="NO"),"",L592)</f>
        <v/>
      </c>
      <c r="AF592" s="92" t="str">
        <f>+IF(AE592="","",L592/$S$592)</f>
        <v/>
      </c>
      <c r="AG592" s="174">
        <f>0.2+B588</f>
        <v>35.200000000000003</v>
      </c>
      <c r="AH592" s="27" t="s">
        <v>932</v>
      </c>
    </row>
    <row r="593" spans="1:34" s="27" customFormat="1" ht="12.75" x14ac:dyDescent="0.2">
      <c r="A593" s="27" t="str">
        <f t="shared" si="274"/>
        <v/>
      </c>
      <c r="B593" s="38"/>
      <c r="C593" s="39"/>
      <c r="D593" s="39"/>
      <c r="E593" s="46"/>
      <c r="F593" s="46"/>
      <c r="G593" s="39"/>
      <c r="H593" s="40"/>
      <c r="I593" s="41"/>
      <c r="J593" s="42"/>
      <c r="K593" s="43"/>
      <c r="L593" s="44">
        <f t="shared" si="275"/>
        <v>0</v>
      </c>
      <c r="M593" s="206"/>
      <c r="N593" s="206"/>
      <c r="O593" s="207" t="str">
        <f t="shared" si="276"/>
        <v/>
      </c>
      <c r="P593" s="206"/>
      <c r="Q593" s="206"/>
      <c r="R593" s="177">
        <f t="shared" si="277"/>
        <v>0</v>
      </c>
      <c r="S593" s="178" t="str">
        <f t="shared" si="278"/>
        <v/>
      </c>
      <c r="T593" s="208" t="str">
        <f t="shared" si="279"/>
        <v/>
      </c>
      <c r="U593" s="41"/>
      <c r="V593" s="45"/>
      <c r="W593" s="205"/>
      <c r="X593" s="37" t="str">
        <f t="shared" si="272"/>
        <v/>
      </c>
      <c r="Z593" s="173"/>
      <c r="AB593" s="173"/>
      <c r="AD593" s="10" t="str">
        <f t="shared" si="273"/>
        <v/>
      </c>
      <c r="AE593" s="92" t="str">
        <f>+IF(OR($T$593="",X593="",X593="NO"),"",L593)</f>
        <v/>
      </c>
      <c r="AF593" s="92" t="str">
        <f>+IF(AE593="","",L593/$S$593)</f>
        <v/>
      </c>
      <c r="AG593" s="174">
        <f>0.3+B588</f>
        <v>35.299999999999997</v>
      </c>
      <c r="AH593" s="27" t="s">
        <v>932</v>
      </c>
    </row>
    <row r="594" spans="1:34" s="27" customFormat="1" ht="12.75" x14ac:dyDescent="0.2">
      <c r="A594" s="27" t="str">
        <f t="shared" si="274"/>
        <v/>
      </c>
      <c r="B594" s="38"/>
      <c r="C594" s="39"/>
      <c r="D594" s="39"/>
      <c r="E594" s="46"/>
      <c r="F594" s="46"/>
      <c r="G594" s="39"/>
      <c r="H594" s="40"/>
      <c r="I594" s="41"/>
      <c r="J594" s="42"/>
      <c r="K594" s="43"/>
      <c r="L594" s="44">
        <f t="shared" si="275"/>
        <v>0</v>
      </c>
      <c r="M594" s="206"/>
      <c r="N594" s="206"/>
      <c r="O594" s="207" t="str">
        <f t="shared" si="276"/>
        <v/>
      </c>
      <c r="P594" s="206"/>
      <c r="Q594" s="206"/>
      <c r="R594" s="177">
        <f t="shared" si="277"/>
        <v>0</v>
      </c>
      <c r="S594" s="178" t="str">
        <f t="shared" si="278"/>
        <v/>
      </c>
      <c r="T594" s="208" t="str">
        <f t="shared" si="279"/>
        <v/>
      </c>
      <c r="U594" s="41"/>
      <c r="V594" s="45"/>
      <c r="W594" s="210"/>
      <c r="X594" s="37" t="str">
        <f t="shared" si="272"/>
        <v/>
      </c>
      <c r="Z594" s="180"/>
      <c r="AB594" s="173"/>
      <c r="AD594" s="10" t="str">
        <f t="shared" si="273"/>
        <v/>
      </c>
      <c r="AE594" s="92" t="str">
        <f>+IF(OR($T$594="",X594="",X594="NO"),"",L594)</f>
        <v/>
      </c>
      <c r="AF594" s="92" t="str">
        <f>+IF(AE594="","",L594/$S$594)</f>
        <v/>
      </c>
      <c r="AG594" s="174"/>
    </row>
    <row r="595" spans="1:34" s="27" customFormat="1" ht="12.75" x14ac:dyDescent="0.2">
      <c r="A595" s="27" t="str">
        <f t="shared" si="274"/>
        <v/>
      </c>
      <c r="B595" s="38"/>
      <c r="C595" s="39"/>
      <c r="D595" s="39"/>
      <c r="E595" s="46"/>
      <c r="F595" s="46"/>
      <c r="G595" s="39"/>
      <c r="H595" s="40"/>
      <c r="I595" s="41"/>
      <c r="J595" s="42"/>
      <c r="K595" s="43"/>
      <c r="L595" s="44">
        <f t="shared" si="275"/>
        <v>0</v>
      </c>
      <c r="M595" s="206"/>
      <c r="N595" s="206"/>
      <c r="O595" s="207" t="str">
        <f t="shared" si="276"/>
        <v/>
      </c>
      <c r="P595" s="206"/>
      <c r="Q595" s="206"/>
      <c r="R595" s="177">
        <f t="shared" si="277"/>
        <v>0</v>
      </c>
      <c r="S595" s="178" t="str">
        <f t="shared" si="278"/>
        <v/>
      </c>
      <c r="T595" s="208" t="str">
        <f t="shared" si="279"/>
        <v/>
      </c>
      <c r="U595" s="41"/>
      <c r="V595" s="45"/>
      <c r="X595" s="37" t="str">
        <f t="shared" si="272"/>
        <v/>
      </c>
      <c r="Z595" s="181"/>
      <c r="AB595" s="173"/>
      <c r="AD595" s="10" t="str">
        <f t="shared" si="273"/>
        <v/>
      </c>
      <c r="AE595" s="92" t="str">
        <f>+IF(OR($T$595="",X595="",X595="NO"),"",L595)</f>
        <v/>
      </c>
      <c r="AF595" s="92" t="str">
        <f>+IF(AE595="","",L595/$S$595)</f>
        <v/>
      </c>
      <c r="AG595" s="174"/>
    </row>
    <row r="596" spans="1:34" s="27" customFormat="1" ht="12.75" x14ac:dyDescent="0.2">
      <c r="A596" s="27" t="str">
        <f t="shared" si="274"/>
        <v/>
      </c>
      <c r="B596" s="38"/>
      <c r="C596" s="39"/>
      <c r="D596" s="39"/>
      <c r="E596" s="46"/>
      <c r="F596" s="46"/>
      <c r="G596" s="39"/>
      <c r="H596" s="40"/>
      <c r="I596" s="41"/>
      <c r="J596" s="42"/>
      <c r="K596" s="43"/>
      <c r="L596" s="44">
        <f t="shared" si="275"/>
        <v>0</v>
      </c>
      <c r="M596" s="206"/>
      <c r="N596" s="206"/>
      <c r="O596" s="207" t="str">
        <f t="shared" si="276"/>
        <v/>
      </c>
      <c r="P596" s="206"/>
      <c r="Q596" s="206"/>
      <c r="R596" s="177">
        <f t="shared" si="277"/>
        <v>0</v>
      </c>
      <c r="S596" s="178" t="str">
        <f t="shared" si="278"/>
        <v/>
      </c>
      <c r="T596" s="208" t="str">
        <f t="shared" si="279"/>
        <v/>
      </c>
      <c r="U596" s="41"/>
      <c r="V596" s="45"/>
      <c r="X596" s="37" t="str">
        <f t="shared" si="272"/>
        <v/>
      </c>
      <c r="Z596" s="181"/>
      <c r="AB596" s="173"/>
      <c r="AD596" s="10" t="str">
        <f t="shared" si="273"/>
        <v/>
      </c>
      <c r="AE596" s="92" t="str">
        <f>+IF(OR($T$596="",X596="",X596="NO"),"",L596)</f>
        <v/>
      </c>
      <c r="AF596" s="92" t="str">
        <f>+IF(AE596="","",L596/$S$596)</f>
        <v/>
      </c>
      <c r="AG596" s="174"/>
    </row>
    <row r="597" spans="1:34" s="27" customFormat="1" ht="12.75" x14ac:dyDescent="0.2">
      <c r="A597" s="27" t="str">
        <f t="shared" si="274"/>
        <v/>
      </c>
      <c r="B597" s="38"/>
      <c r="C597" s="39"/>
      <c r="D597" s="39"/>
      <c r="E597" s="46"/>
      <c r="F597" s="46"/>
      <c r="G597" s="39"/>
      <c r="H597" s="40"/>
      <c r="I597" s="41"/>
      <c r="J597" s="42"/>
      <c r="K597" s="43"/>
      <c r="L597" s="44">
        <f t="shared" si="275"/>
        <v>0</v>
      </c>
      <c r="M597" s="206"/>
      <c r="N597" s="206"/>
      <c r="O597" s="207" t="str">
        <f t="shared" si="276"/>
        <v/>
      </c>
      <c r="P597" s="206"/>
      <c r="Q597" s="206"/>
      <c r="R597" s="177">
        <f t="shared" si="277"/>
        <v>0</v>
      </c>
      <c r="S597" s="178" t="str">
        <f t="shared" si="278"/>
        <v/>
      </c>
      <c r="T597" s="208" t="str">
        <f t="shared" si="279"/>
        <v/>
      </c>
      <c r="U597" s="41"/>
      <c r="V597" s="45"/>
      <c r="X597" s="37" t="str">
        <f t="shared" si="272"/>
        <v/>
      </c>
      <c r="Z597" s="181"/>
      <c r="AB597" s="173"/>
      <c r="AD597" s="10" t="str">
        <f t="shared" si="273"/>
        <v/>
      </c>
      <c r="AE597" s="92" t="str">
        <f>+IF(OR($T$597="",X597="",X597="NO"),"",L597)</f>
        <v/>
      </c>
      <c r="AF597" s="92" t="str">
        <f>+IF(AE597="","",L597/$S$597)</f>
        <v/>
      </c>
      <c r="AG597" s="174"/>
    </row>
    <row r="598" spans="1:34" s="27" customFormat="1" ht="12.75" x14ac:dyDescent="0.2">
      <c r="A598" s="27" t="str">
        <f t="shared" si="274"/>
        <v/>
      </c>
      <c r="B598" s="38"/>
      <c r="C598" s="39"/>
      <c r="D598" s="39"/>
      <c r="E598" s="46"/>
      <c r="F598" s="46"/>
      <c r="G598" s="39"/>
      <c r="H598" s="40"/>
      <c r="I598" s="41"/>
      <c r="J598" s="42"/>
      <c r="K598" s="43"/>
      <c r="L598" s="44">
        <f t="shared" si="275"/>
        <v>0</v>
      </c>
      <c r="M598" s="206"/>
      <c r="N598" s="206"/>
      <c r="O598" s="207" t="str">
        <f t="shared" si="276"/>
        <v/>
      </c>
      <c r="P598" s="206"/>
      <c r="Q598" s="206"/>
      <c r="R598" s="177">
        <f t="shared" si="277"/>
        <v>0</v>
      </c>
      <c r="S598" s="178" t="str">
        <f t="shared" si="278"/>
        <v/>
      </c>
      <c r="T598" s="208" t="str">
        <f t="shared" si="279"/>
        <v/>
      </c>
      <c r="U598" s="41"/>
      <c r="V598" s="45"/>
      <c r="X598" s="37" t="str">
        <f t="shared" si="272"/>
        <v/>
      </c>
      <c r="Z598" s="181"/>
      <c r="AB598" s="173"/>
      <c r="AD598" s="10" t="str">
        <f t="shared" si="273"/>
        <v/>
      </c>
      <c r="AE598" s="92" t="str">
        <f>+IF(OR($T$598="",X598="",X598="NO"),"",L598)</f>
        <v/>
      </c>
      <c r="AF598" s="92" t="str">
        <f>+IF(AE598="","",L598/$S$598)</f>
        <v/>
      </c>
      <c r="AG598" s="174"/>
    </row>
    <row r="599" spans="1:34" s="27" customFormat="1" ht="12.75" x14ac:dyDescent="0.2">
      <c r="A599" s="27" t="str">
        <f t="shared" si="274"/>
        <v/>
      </c>
      <c r="B599" s="38"/>
      <c r="C599" s="39"/>
      <c r="D599" s="39"/>
      <c r="E599" s="46"/>
      <c r="F599" s="46"/>
      <c r="G599" s="39"/>
      <c r="H599" s="40"/>
      <c r="I599" s="41"/>
      <c r="J599" s="42"/>
      <c r="K599" s="43"/>
      <c r="L599" s="44">
        <f t="shared" si="275"/>
        <v>0</v>
      </c>
      <c r="M599" s="206"/>
      <c r="N599" s="206"/>
      <c r="O599" s="207" t="str">
        <f t="shared" si="276"/>
        <v/>
      </c>
      <c r="P599" s="206"/>
      <c r="Q599" s="206"/>
      <c r="R599" s="177">
        <f t="shared" si="277"/>
        <v>0</v>
      </c>
      <c r="S599" s="178" t="str">
        <f t="shared" si="278"/>
        <v/>
      </c>
      <c r="T599" s="208" t="str">
        <f t="shared" si="279"/>
        <v/>
      </c>
      <c r="U599" s="41"/>
      <c r="V599" s="45"/>
      <c r="X599" s="37" t="str">
        <f t="shared" si="272"/>
        <v/>
      </c>
      <c r="Z599" s="181"/>
      <c r="AB599" s="173"/>
      <c r="AD599" s="10" t="str">
        <f t="shared" si="273"/>
        <v/>
      </c>
      <c r="AE599" s="92" t="str">
        <f>+IF(OR($T$599="",X599="",X599="NO"),"",L599)</f>
        <v/>
      </c>
      <c r="AF599" s="92" t="str">
        <f>+IF(AE599="","",L599/$S$599)</f>
        <v/>
      </c>
      <c r="AG599" s="174"/>
    </row>
    <row r="600" spans="1:34" s="27" customFormat="1" ht="13.5" thickBot="1" x14ac:dyDescent="0.25">
      <c r="A600" s="27" t="str">
        <f t="shared" si="274"/>
        <v/>
      </c>
      <c r="B600" s="47"/>
      <c r="C600" s="48"/>
      <c r="D600" s="48"/>
      <c r="E600" s="49"/>
      <c r="F600" s="49"/>
      <c r="G600" s="48"/>
      <c r="H600" s="50"/>
      <c r="I600" s="51"/>
      <c r="J600" s="14"/>
      <c r="K600" s="52"/>
      <c r="L600" s="53">
        <f t="shared" si="275"/>
        <v>0</v>
      </c>
      <c r="M600" s="211"/>
      <c r="N600" s="211"/>
      <c r="O600" s="212" t="str">
        <f t="shared" si="276"/>
        <v/>
      </c>
      <c r="P600" s="211"/>
      <c r="Q600" s="211"/>
      <c r="R600" s="184">
        <f t="shared" si="277"/>
        <v>0</v>
      </c>
      <c r="S600" s="185" t="str">
        <f t="shared" si="278"/>
        <v/>
      </c>
      <c r="T600" s="213" t="str">
        <f t="shared" si="279"/>
        <v/>
      </c>
      <c r="U600" s="51"/>
      <c r="V600" s="54"/>
      <c r="X600" s="55" t="str">
        <f t="shared" si="272"/>
        <v/>
      </c>
      <c r="Z600" s="187"/>
      <c r="AB600" s="188"/>
      <c r="AD600" s="10" t="str">
        <f t="shared" si="273"/>
        <v/>
      </c>
      <c r="AE600" s="92" t="str">
        <f>+IF(OR($T$600="",X600="",X600="NO"),"",L600)</f>
        <v/>
      </c>
      <c r="AF600" s="92" t="str">
        <f>+IF(AE600="","",L600/$S$600)</f>
        <v/>
      </c>
    </row>
    <row r="601" spans="1:34" ht="36" customHeight="1" x14ac:dyDescent="0.2">
      <c r="B601" s="57" t="str">
        <f>"A"&amp;B588</f>
        <v>A35</v>
      </c>
      <c r="C601" s="382" t="str">
        <f>+$C$23</f>
        <v>¿CADA INTEGRANTE DE PROPONENTE PLURAL APORTAN CONTRATO?  (SI; NO; NA)</v>
      </c>
      <c r="D601" s="383"/>
      <c r="E601" s="383"/>
      <c r="F601" s="383"/>
      <c r="G601" s="383"/>
      <c r="H601" s="384"/>
      <c r="I601" s="217" t="str">
        <f>+IF(AG588="","",IF(AG588=1,"NA",IF(AND(AG588=3,(IF(COUNTIFS(C591:C600,AH591,AE591:AE600,"&gt;0")&gt;=1,1,0)+IF(COUNTIFS(C591:C600,AH592,AE591:AE600,"&gt;0")&gt;=1,1,0)+IF(COUNTIFS(C591:C600,AH593,AE591:AE600,"&gt;0")&gt;=1,1,0))&gt;=AG588),"SI",IF(AND(AG588=2,(IF(COUNTIFS(C591:C600,AH591,AE591:AE600,"&gt;0")&gt;=1,1,0)+IF(COUNTIFS(C591:C600,AH592,AE591:AE600,"&gt;0")&gt;=1,1,0))&gt;=AG588),"SI","NO"))))</f>
        <v/>
      </c>
      <c r="J601" s="59"/>
      <c r="K601" s="27"/>
      <c r="L601" s="27"/>
      <c r="M601" s="27"/>
      <c r="N601" s="27"/>
      <c r="O601" s="27"/>
      <c r="P601" s="385" t="str">
        <f>+$P$23</f>
        <v>FACTURACION MENSUAL TOTAL</v>
      </c>
      <c r="Q601" s="386"/>
      <c r="R601" s="386"/>
      <c r="S601" s="386"/>
      <c r="T601" s="189">
        <f>ROUND(SUM(T591:T600),3)</f>
        <v>0</v>
      </c>
      <c r="U601" s="60"/>
      <c r="V601" s="1"/>
      <c r="W601" s="61"/>
      <c r="X601" s="61"/>
      <c r="Y601" s="61"/>
      <c r="Z601" s="61"/>
      <c r="AA601" s="61"/>
      <c r="AB601" s="61"/>
    </row>
    <row r="602" spans="1:34" ht="38.25" customHeight="1" thickBot="1" x14ac:dyDescent="0.25">
      <c r="B602" s="57" t="str">
        <f>"B"&amp;B588</f>
        <v>B35</v>
      </c>
      <c r="C602" s="387" t="str">
        <f>+C585</f>
        <v>En caso de proponente plural: ¿De la totalidad de los contratos aportados por el proponente plural, el valor ejecutado de uno de ellos deberá ser igual o superior al 30% del P.O.?  (SI; NO; NA)</v>
      </c>
      <c r="D602" s="388"/>
      <c r="E602" s="388"/>
      <c r="F602" s="388"/>
      <c r="G602" s="389"/>
      <c r="H602" s="190">
        <f>+$H$6</f>
        <v>268.14722506074827</v>
      </c>
      <c r="I602" s="191" t="str">
        <f>+IF(AG588="","",IF(AG588=1,"NA",IF(AND(AG588&gt;1,(COUNTIFS(AD591:AD600,"SI",AE591:AE600,"&gt;0"))&gt;=1),"SI","NO")))</f>
        <v/>
      </c>
      <c r="J602" s="192"/>
      <c r="K602" s="193"/>
      <c r="L602" s="194"/>
      <c r="M602" s="194"/>
      <c r="N602" s="194"/>
      <c r="O602" s="194"/>
      <c r="P602" s="387" t="str">
        <f>+$P$24</f>
        <v>PROMEDIO FACTURACIÓN MENSUAL DEL PROPONENTE (PFMP)</v>
      </c>
      <c r="Q602" s="388"/>
      <c r="R602" s="388"/>
      <c r="S602" s="388"/>
      <c r="T602" s="195">
        <f t="array" ref="T602">IF(T601=0,0,ROUND(T601/(SUM(IF(FREQUENCY(A591:A600,A591:A600)&gt;0,1))),3))</f>
        <v>0</v>
      </c>
      <c r="U602" s="214"/>
      <c r="V602" s="1"/>
      <c r="W602" s="61"/>
      <c r="X602" s="61"/>
      <c r="Y602" s="61"/>
      <c r="Z602" s="61"/>
      <c r="AA602" s="61"/>
      <c r="AB602" s="61"/>
    </row>
    <row r="603" spans="1:34" ht="21" customHeight="1" thickBot="1" x14ac:dyDescent="0.25">
      <c r="B603" s="197" t="str">
        <f>"C"&amp;B588</f>
        <v>C35</v>
      </c>
      <c r="C603" s="349" t="str">
        <f>+$C$25</f>
        <v>PROPONENTE CUMPLE CON LAS ACTIVIDADES a) y b)? (SI; NO)</v>
      </c>
      <c r="D603" s="350"/>
      <c r="E603" s="350"/>
      <c r="F603" s="350"/>
      <c r="G603" s="350"/>
      <c r="H603" s="351"/>
      <c r="I603" s="198" t="str">
        <f>IF(C588="","",(IF(AND(COUNTIFS(X591:X600,"SI",Z591:Z600,"SI")&gt;=$Z$8,COUNTIFS(X591:X600,"SI",AB591:AB600,"SI")&gt;=$Z$8),"SI","NO")))</f>
        <v/>
      </c>
      <c r="J603" s="199"/>
      <c r="K603" s="200"/>
      <c r="L603" s="200"/>
      <c r="M603" s="200"/>
      <c r="N603" s="200"/>
      <c r="P603" s="378" t="str">
        <f>+$P$25</f>
        <v>VALOR PUNTAJE POR EXPERIENCIA DEL PROPONENTE</v>
      </c>
      <c r="Q603" s="379"/>
      <c r="R603" s="379"/>
      <c r="S603" s="380"/>
      <c r="T603" s="201" t="str">
        <f>IF(OR(C588="",'ASIGNACION DE PUNTAJES'!$C$5=""),"",VLOOKUP(B588,'ASIGNACION DE PUNTAJES'!$A$15:$G$69,7,FALSE))</f>
        <v/>
      </c>
      <c r="V603" s="202"/>
    </row>
    <row r="604" spans="1:34" ht="12" thickBot="1" x14ac:dyDescent="0.25"/>
    <row r="605" spans="1:34" ht="36.75" customHeight="1" thickBot="1" x14ac:dyDescent="0.25">
      <c r="B605" s="23">
        <f>1+B588</f>
        <v>36</v>
      </c>
      <c r="C605" s="336" t="s">
        <v>932</v>
      </c>
      <c r="D605" s="337"/>
      <c r="E605" s="337"/>
      <c r="F605" s="337"/>
      <c r="G605" s="337"/>
      <c r="H605" s="337"/>
      <c r="I605" s="338"/>
      <c r="J605" s="24" t="str">
        <f>+IF(C605="","","INTEGRANTES")</f>
        <v/>
      </c>
      <c r="K605" s="339" t="s">
        <v>932</v>
      </c>
      <c r="L605" s="339"/>
      <c r="M605" s="339"/>
      <c r="N605" s="339"/>
      <c r="O605" s="339"/>
      <c r="P605" s="339"/>
      <c r="Q605" s="339"/>
      <c r="R605" s="396" t="str">
        <f>+$R$10</f>
        <v>PROPONENTE No.</v>
      </c>
      <c r="S605" s="397"/>
      <c r="T605" s="25">
        <f>+B605</f>
        <v>36</v>
      </c>
      <c r="U605" s="161" t="str">
        <f>+$U$10</f>
        <v>PFMP</v>
      </c>
      <c r="V605" s="162">
        <f>IF(T619="",0,T619)</f>
        <v>0</v>
      </c>
      <c r="X605" s="325" t="s">
        <v>168</v>
      </c>
      <c r="Z605" s="163" t="str">
        <f>+$Z$10</f>
        <v>EXP. ESPECÍFICA 
A:</v>
      </c>
      <c r="AB605" s="163" t="str">
        <f>+$AB$10</f>
        <v>EXP. ESPECÍFICA 
B:</v>
      </c>
      <c r="AG605" s="1" t="s">
        <v>932</v>
      </c>
    </row>
    <row r="606" spans="1:34" ht="42" customHeight="1" x14ac:dyDescent="0.2">
      <c r="B606" s="331" t="str">
        <f>+$B$11</f>
        <v>ITEM</v>
      </c>
      <c r="C606" s="318" t="str">
        <f>+$C$11</f>
        <v>PROPONENTE 
/ 
INTEGRANTE OFERENTE PLURAL</v>
      </c>
      <c r="D606" s="333" t="str">
        <f>+$D$11</f>
        <v>INFORMACIÓN DEL CONTRATO</v>
      </c>
      <c r="E606" s="334"/>
      <c r="F606" s="334"/>
      <c r="G606" s="335"/>
      <c r="H606" s="318" t="str">
        <f>+H589</f>
        <v>CONSECUTIVO RUP</v>
      </c>
      <c r="I606" s="318" t="str">
        <f>+$I$11</f>
        <v>¿SE ENCUENTRA INSCRITO EN EL RUP Y CUMPLE CÓDIGOS UNSPSC?</v>
      </c>
      <c r="J606" s="318" t="str">
        <f>+$J$11</f>
        <v xml:space="preserve">VALOR EN RUP (SMMLV) </v>
      </c>
      <c r="K606" s="318" t="str">
        <f>+$K$11</f>
        <v>% PARTIC en el RUP</v>
      </c>
      <c r="L606" s="318" t="str">
        <f>+$L$11</f>
        <v>VALOR DEL CONTRATO TERMINADO (SMMLV) en el   RUP</v>
      </c>
      <c r="M606" s="318" t="str">
        <f>+$M$11</f>
        <v>FECHA DE INICIO</v>
      </c>
      <c r="N606" s="318" t="str">
        <f>+$N$11</f>
        <v>FECHA DE TERMINACION</v>
      </c>
      <c r="O606" s="318" t="str">
        <f>+$O$11</f>
        <v>PLAZO CONTRA-TO (Meses)</v>
      </c>
      <c r="P606" s="390" t="str">
        <f>+$P$11</f>
        <v>Tsusp i</v>
      </c>
      <c r="Q606" s="391"/>
      <c r="R606" s="392"/>
      <c r="S606" s="318" t="str">
        <f>+$S$11</f>
        <v>PLAZO i REAL</v>
      </c>
      <c r="T606" s="318" t="str">
        <f>+$T$11</f>
        <v>FACTURA-CION MENSUAL PROPO-NENTE</v>
      </c>
      <c r="U606" s="318" t="str">
        <f>+$U$11</f>
        <v>VALIDACIÓN DE LA EXPERIENCIA GENERAL
(SI/NO)</v>
      </c>
      <c r="V606" s="393" t="str">
        <f>+$V$11</f>
        <v>OBSERVACIONES</v>
      </c>
      <c r="X606" s="326"/>
      <c r="Z606" s="381" t="str">
        <f>+$Z$11</f>
        <v>Interventoria a la ejecución de obras relacionadas con Colocación de capas granulares (tales como bases y/o sub-bases granulares).</v>
      </c>
      <c r="AB606" s="381" t="str">
        <f>+$AB$11</f>
        <v>Interventoria a la Ejecución de obras de subdrenaje y/o drenaje, en carreteras.</v>
      </c>
    </row>
    <row r="607" spans="1:34" ht="38.25" customHeight="1" thickBot="1" x14ac:dyDescent="0.25">
      <c r="B607" s="395"/>
      <c r="C607" s="348"/>
      <c r="D607" s="165" t="str">
        <f>+$D$12</f>
        <v>ENTIDAD</v>
      </c>
      <c r="E607" s="165" t="str">
        <f>+$E$12</f>
        <v>No. DE CONTRATO</v>
      </c>
      <c r="F607" s="165" t="str">
        <f>+$F$12</f>
        <v>OBJETO</v>
      </c>
      <c r="G607" s="165" t="str">
        <f>+$G$12</f>
        <v>CONTRATISTA</v>
      </c>
      <c r="H607" s="348"/>
      <c r="I607" s="348"/>
      <c r="J607" s="348"/>
      <c r="K607" s="348"/>
      <c r="L607" s="348"/>
      <c r="M607" s="348"/>
      <c r="N607" s="348"/>
      <c r="O607" s="348"/>
      <c r="P607" s="166" t="str">
        <f>+P590</f>
        <v>Finicsuspi</v>
      </c>
      <c r="Q607" s="166" t="str">
        <f>+Q590</f>
        <v xml:space="preserve"> Ftermsuspi </v>
      </c>
      <c r="R607" s="166" t="str">
        <f>+R590</f>
        <v>Tsusp i (meses)</v>
      </c>
      <c r="S607" s="348"/>
      <c r="T607" s="348"/>
      <c r="U607" s="348"/>
      <c r="V607" s="394"/>
      <c r="X607" s="327"/>
      <c r="Z607" s="381"/>
      <c r="AB607" s="381"/>
    </row>
    <row r="608" spans="1:34" s="27" customFormat="1" ht="12.75" x14ac:dyDescent="0.2">
      <c r="A608" s="27" t="str">
        <f>+IF(T608="","",B608)</f>
        <v/>
      </c>
      <c r="B608" s="28">
        <v>1</v>
      </c>
      <c r="C608" s="86"/>
      <c r="D608" s="86"/>
      <c r="E608" s="87"/>
      <c r="F608" s="87"/>
      <c r="G608" s="86"/>
      <c r="H608" s="30"/>
      <c r="I608" s="31"/>
      <c r="J608" s="32"/>
      <c r="K608" s="33"/>
      <c r="L608" s="34">
        <f>IF(OR(H608="",I608&lt;&gt;"SI",I608="NO",J608="",J608=0,K608="",K608=0,X608&lt;&gt;"SI"),0,J608*K608)</f>
        <v>0</v>
      </c>
      <c r="M608" s="204"/>
      <c r="N608" s="204"/>
      <c r="O608" s="169" t="str">
        <f>IF(OR(H608="",I608&lt;&gt;"SI",I608="NO",J608="",J608=0,K608="",K608=0,,M608="",N608=""),"",ROUND((((N608-M608)+1)/30),3))</f>
        <v/>
      </c>
      <c r="P608" s="204"/>
      <c r="Q608" s="204"/>
      <c r="R608" s="170">
        <f>IF(OR((Q608-P608)=0,P608="",Q608=""),0,(ROUND((((Q608-P608)+1)/30),3)))</f>
        <v>0</v>
      </c>
      <c r="S608" s="171" t="str">
        <f>IF(O608="","",ROUND(SUM(O608)-SUM(R608),3))</f>
        <v/>
      </c>
      <c r="T608" s="172" t="str">
        <f>+IF(C608="","",IF(OR(S608="",S608&lt;=0,I608="",I608="NO",U608="",U608="NO",X608="NO"),"",ROUND(SUM(L608)/S608,3)))</f>
        <v/>
      </c>
      <c r="U608" s="35"/>
      <c r="V608" s="36"/>
      <c r="W608" s="205"/>
      <c r="X608" s="37" t="str">
        <f t="shared" ref="X608:X617" si="280">+IF(C608="","",IF(AND(H608&lt;&gt;"",I608="SI",J608&lt;&gt;"",J608&gt;0,K608&lt;&gt;"",K608&gt;0,S608&lt;&gt;"",S608&gt;0,U608="SI"),"SI","NO"))</f>
        <v/>
      </c>
      <c r="Z608" s="173"/>
      <c r="AB608" s="173"/>
      <c r="AD608" s="10" t="str">
        <f t="shared" ref="AD608:AD617" si="281">+IF($C$605="","",IF(C608="","",IF(L608&gt;=$H$6,"SI","NO")))</f>
        <v/>
      </c>
      <c r="AE608" s="92" t="str">
        <f>+IF(OR($T$608="",X608="",X608="NO"),"",L608)</f>
        <v/>
      </c>
      <c r="AF608" s="92" t="str">
        <f>+IF(AE608="","",L608/$S$608)</f>
        <v/>
      </c>
      <c r="AG608" s="174">
        <f>0.1+B605</f>
        <v>36.1</v>
      </c>
      <c r="AH608" s="27" t="s">
        <v>932</v>
      </c>
    </row>
    <row r="609" spans="1:34" s="27" customFormat="1" ht="12.75" x14ac:dyDescent="0.2">
      <c r="A609" s="27" t="str">
        <f t="shared" ref="A609:A617" si="282">+IF(T609="","",B609)</f>
        <v/>
      </c>
      <c r="B609" s="38">
        <v>2</v>
      </c>
      <c r="C609" s="39"/>
      <c r="D609" s="39"/>
      <c r="E609" s="46"/>
      <c r="F609" s="46"/>
      <c r="G609" s="39"/>
      <c r="H609" s="40"/>
      <c r="I609" s="41"/>
      <c r="J609" s="42"/>
      <c r="K609" s="43"/>
      <c r="L609" s="44">
        <f t="shared" ref="L609:L617" si="283">IF(OR(H609="",I609&lt;&gt;"SI",I609="NO",J609="",J609=0,K609="",K609=0,X609&lt;&gt;"SI"),0,J609*K609)</f>
        <v>0</v>
      </c>
      <c r="M609" s="206"/>
      <c r="N609" s="206"/>
      <c r="O609" s="207" t="str">
        <f t="shared" ref="O609:O617" si="284">IF(OR(H609="",I609&lt;&gt;"SI",I609="NO",J609="",J609=0,K609="",K609=0,,M609="",N609=""),"",ROUND((((N609-M609)+1)/30),3))</f>
        <v/>
      </c>
      <c r="P609" s="206"/>
      <c r="Q609" s="206"/>
      <c r="R609" s="177">
        <f t="shared" ref="R609:R617" si="285">IF(OR((Q609-P609)=0,P609="",Q609=""),0,(ROUND((((Q609-P609)+1)/30),3)))</f>
        <v>0</v>
      </c>
      <c r="S609" s="178" t="str">
        <f t="shared" ref="S609:S617" si="286">IF(O609="","",ROUND(SUM(O609)-SUM(R609),3))</f>
        <v/>
      </c>
      <c r="T609" s="208" t="str">
        <f t="shared" ref="T609:T617" si="287">+IF(C609="","",IF(OR(S609="",S609&lt;=0,I609="",I609="NO",U609="",U609="NO",X609="NO"),"",ROUND(SUM(L609)/S609,3)))</f>
        <v/>
      </c>
      <c r="U609" s="41"/>
      <c r="V609" s="209"/>
      <c r="W609" s="205"/>
      <c r="X609" s="37" t="str">
        <f t="shared" si="280"/>
        <v/>
      </c>
      <c r="Z609" s="173"/>
      <c r="AB609" s="173"/>
      <c r="AD609" s="10" t="str">
        <f t="shared" si="281"/>
        <v/>
      </c>
      <c r="AE609" s="92" t="str">
        <f>+IF(OR($T$609="",X609="",X609="NO"),"",L609)</f>
        <v/>
      </c>
      <c r="AF609" s="92" t="str">
        <f>+IF(AE609="","",L609/$S$609)</f>
        <v/>
      </c>
      <c r="AG609" s="174">
        <f>0.2+B605</f>
        <v>36.200000000000003</v>
      </c>
      <c r="AH609" s="27" t="s">
        <v>932</v>
      </c>
    </row>
    <row r="610" spans="1:34" s="27" customFormat="1" ht="12.75" x14ac:dyDescent="0.2">
      <c r="A610" s="27" t="str">
        <f t="shared" si="282"/>
        <v/>
      </c>
      <c r="B610" s="38">
        <v>3</v>
      </c>
      <c r="C610" s="39"/>
      <c r="D610" s="39"/>
      <c r="E610" s="46"/>
      <c r="F610" s="46"/>
      <c r="G610" s="39"/>
      <c r="H610" s="40"/>
      <c r="I610" s="41"/>
      <c r="J610" s="42"/>
      <c r="K610" s="43"/>
      <c r="L610" s="44">
        <f t="shared" si="283"/>
        <v>0</v>
      </c>
      <c r="M610" s="206"/>
      <c r="N610" s="206"/>
      <c r="O610" s="207" t="str">
        <f t="shared" si="284"/>
        <v/>
      </c>
      <c r="P610" s="206"/>
      <c r="Q610" s="206"/>
      <c r="R610" s="177">
        <f t="shared" si="285"/>
        <v>0</v>
      </c>
      <c r="S610" s="178" t="str">
        <f t="shared" si="286"/>
        <v/>
      </c>
      <c r="T610" s="208" t="str">
        <f t="shared" si="287"/>
        <v/>
      </c>
      <c r="U610" s="41"/>
      <c r="V610" s="45"/>
      <c r="W610" s="205"/>
      <c r="X610" s="37" t="str">
        <f t="shared" si="280"/>
        <v/>
      </c>
      <c r="Z610" s="173"/>
      <c r="AB610" s="173"/>
      <c r="AD610" s="10" t="str">
        <f t="shared" si="281"/>
        <v/>
      </c>
      <c r="AE610" s="92" t="str">
        <f>+IF(OR($T$610="",X610="",X610="NO"),"",L610)</f>
        <v/>
      </c>
      <c r="AF610" s="92" t="str">
        <f>+IF(AE610="","",L610/$S$610)</f>
        <v/>
      </c>
      <c r="AG610" s="174">
        <f>0.3+B605</f>
        <v>36.299999999999997</v>
      </c>
      <c r="AH610" s="27" t="s">
        <v>932</v>
      </c>
    </row>
    <row r="611" spans="1:34" s="27" customFormat="1" ht="12.75" x14ac:dyDescent="0.2">
      <c r="A611" s="27" t="str">
        <f t="shared" si="282"/>
        <v/>
      </c>
      <c r="B611" s="38">
        <v>4</v>
      </c>
      <c r="C611" s="39"/>
      <c r="D611" s="39"/>
      <c r="E611" s="46"/>
      <c r="F611" s="46"/>
      <c r="G611" s="39"/>
      <c r="H611" s="40"/>
      <c r="I611" s="41"/>
      <c r="J611" s="42"/>
      <c r="K611" s="43"/>
      <c r="L611" s="44">
        <f t="shared" si="283"/>
        <v>0</v>
      </c>
      <c r="M611" s="206"/>
      <c r="N611" s="206"/>
      <c r="O611" s="207" t="str">
        <f t="shared" si="284"/>
        <v/>
      </c>
      <c r="P611" s="206"/>
      <c r="Q611" s="206"/>
      <c r="R611" s="177">
        <f t="shared" si="285"/>
        <v>0</v>
      </c>
      <c r="S611" s="178" t="str">
        <f t="shared" si="286"/>
        <v/>
      </c>
      <c r="T611" s="208" t="str">
        <f t="shared" si="287"/>
        <v/>
      </c>
      <c r="U611" s="41"/>
      <c r="V611" s="45"/>
      <c r="W611" s="210"/>
      <c r="X611" s="37" t="str">
        <f t="shared" si="280"/>
        <v/>
      </c>
      <c r="Z611" s="180"/>
      <c r="AB611" s="173"/>
      <c r="AD611" s="10" t="str">
        <f t="shared" si="281"/>
        <v/>
      </c>
      <c r="AE611" s="92" t="str">
        <f>+IF(OR($T$611="",X611="",X611="NO"),"",L611)</f>
        <v/>
      </c>
      <c r="AF611" s="92" t="str">
        <f>+IF(AE611="","",L611/$S$611)</f>
        <v/>
      </c>
      <c r="AG611" s="174"/>
    </row>
    <row r="612" spans="1:34" s="27" customFormat="1" ht="12.75" x14ac:dyDescent="0.2">
      <c r="A612" s="27" t="str">
        <f t="shared" si="282"/>
        <v/>
      </c>
      <c r="B612" s="38">
        <v>5</v>
      </c>
      <c r="C612" s="39"/>
      <c r="D612" s="39"/>
      <c r="E612" s="46"/>
      <c r="F612" s="46"/>
      <c r="G612" s="39"/>
      <c r="H612" s="40"/>
      <c r="I612" s="41"/>
      <c r="J612" s="42"/>
      <c r="K612" s="43"/>
      <c r="L612" s="44">
        <f t="shared" si="283"/>
        <v>0</v>
      </c>
      <c r="M612" s="206"/>
      <c r="N612" s="206"/>
      <c r="O612" s="207" t="str">
        <f t="shared" si="284"/>
        <v/>
      </c>
      <c r="P612" s="206"/>
      <c r="Q612" s="206"/>
      <c r="R612" s="177">
        <f t="shared" si="285"/>
        <v>0</v>
      </c>
      <c r="S612" s="178" t="str">
        <f t="shared" si="286"/>
        <v/>
      </c>
      <c r="T612" s="208" t="str">
        <f t="shared" si="287"/>
        <v/>
      </c>
      <c r="U612" s="41"/>
      <c r="V612" s="45"/>
      <c r="X612" s="37" t="str">
        <f t="shared" si="280"/>
        <v/>
      </c>
      <c r="Z612" s="181"/>
      <c r="AB612" s="173"/>
      <c r="AD612" s="10" t="str">
        <f t="shared" si="281"/>
        <v/>
      </c>
      <c r="AE612" s="92" t="str">
        <f>+IF(OR($T$612="",X612="",X612="NO"),"",L612)</f>
        <v/>
      </c>
      <c r="AF612" s="92" t="str">
        <f>+IF(AE612="","",L612/$S$612)</f>
        <v/>
      </c>
      <c r="AG612" s="174"/>
    </row>
    <row r="613" spans="1:34" s="27" customFormat="1" ht="12.75" x14ac:dyDescent="0.2">
      <c r="A613" s="27" t="str">
        <f t="shared" si="282"/>
        <v/>
      </c>
      <c r="B613" s="38">
        <v>6</v>
      </c>
      <c r="C613" s="39"/>
      <c r="D613" s="39"/>
      <c r="E613" s="46"/>
      <c r="F613" s="46"/>
      <c r="G613" s="39"/>
      <c r="H613" s="40"/>
      <c r="I613" s="41"/>
      <c r="J613" s="42"/>
      <c r="K613" s="43"/>
      <c r="L613" s="44">
        <f t="shared" si="283"/>
        <v>0</v>
      </c>
      <c r="M613" s="206"/>
      <c r="N613" s="206"/>
      <c r="O613" s="207" t="str">
        <f t="shared" si="284"/>
        <v/>
      </c>
      <c r="P613" s="206"/>
      <c r="Q613" s="206"/>
      <c r="R613" s="177">
        <f t="shared" si="285"/>
        <v>0</v>
      </c>
      <c r="S613" s="178" t="str">
        <f t="shared" si="286"/>
        <v/>
      </c>
      <c r="T613" s="208" t="str">
        <f t="shared" si="287"/>
        <v/>
      </c>
      <c r="U613" s="41"/>
      <c r="V613" s="45"/>
      <c r="X613" s="37" t="str">
        <f t="shared" si="280"/>
        <v/>
      </c>
      <c r="Z613" s="181"/>
      <c r="AB613" s="173"/>
      <c r="AD613" s="10" t="str">
        <f t="shared" si="281"/>
        <v/>
      </c>
      <c r="AE613" s="92" t="str">
        <f>+IF(OR($T$613="",X613="",X613="NO"),"",L613)</f>
        <v/>
      </c>
      <c r="AF613" s="92" t="str">
        <f>+IF(AE613="","",L613/$S$613)</f>
        <v/>
      </c>
      <c r="AG613" s="174"/>
    </row>
    <row r="614" spans="1:34" s="27" customFormat="1" ht="12.75" x14ac:dyDescent="0.2">
      <c r="A614" s="27" t="str">
        <f t="shared" si="282"/>
        <v/>
      </c>
      <c r="B614" s="38">
        <v>7</v>
      </c>
      <c r="C614" s="39"/>
      <c r="D614" s="39"/>
      <c r="E614" s="46"/>
      <c r="F614" s="46"/>
      <c r="G614" s="39"/>
      <c r="H614" s="40"/>
      <c r="I614" s="41"/>
      <c r="J614" s="42"/>
      <c r="K614" s="43"/>
      <c r="L614" s="44">
        <f t="shared" si="283"/>
        <v>0</v>
      </c>
      <c r="M614" s="206"/>
      <c r="N614" s="206"/>
      <c r="O614" s="207" t="str">
        <f t="shared" si="284"/>
        <v/>
      </c>
      <c r="P614" s="206"/>
      <c r="Q614" s="206"/>
      <c r="R614" s="177">
        <f t="shared" si="285"/>
        <v>0</v>
      </c>
      <c r="S614" s="178" t="str">
        <f t="shared" si="286"/>
        <v/>
      </c>
      <c r="T614" s="208" t="str">
        <f t="shared" si="287"/>
        <v/>
      </c>
      <c r="U614" s="41"/>
      <c r="V614" s="45"/>
      <c r="X614" s="37" t="str">
        <f t="shared" si="280"/>
        <v/>
      </c>
      <c r="Z614" s="181"/>
      <c r="AB614" s="173"/>
      <c r="AD614" s="10" t="str">
        <f t="shared" si="281"/>
        <v/>
      </c>
      <c r="AE614" s="92" t="str">
        <f>+IF(OR($T$614="",X614="",X614="NO"),"",L614)</f>
        <v/>
      </c>
      <c r="AF614" s="92" t="str">
        <f>+IF(AE614="","",L614/$S$614)</f>
        <v/>
      </c>
      <c r="AG614" s="174"/>
    </row>
    <row r="615" spans="1:34" s="27" customFormat="1" ht="12.75" x14ac:dyDescent="0.2">
      <c r="A615" s="27" t="str">
        <f t="shared" si="282"/>
        <v/>
      </c>
      <c r="B615" s="38">
        <v>8</v>
      </c>
      <c r="C615" s="39"/>
      <c r="D615" s="39"/>
      <c r="E615" s="46"/>
      <c r="F615" s="46"/>
      <c r="G615" s="39"/>
      <c r="H615" s="40"/>
      <c r="I615" s="41"/>
      <c r="J615" s="42"/>
      <c r="K615" s="43"/>
      <c r="L615" s="44">
        <f t="shared" si="283"/>
        <v>0</v>
      </c>
      <c r="M615" s="206"/>
      <c r="N615" s="206"/>
      <c r="O615" s="207" t="str">
        <f t="shared" si="284"/>
        <v/>
      </c>
      <c r="P615" s="206"/>
      <c r="Q615" s="206"/>
      <c r="R615" s="177">
        <f t="shared" si="285"/>
        <v>0</v>
      </c>
      <c r="S615" s="178" t="str">
        <f t="shared" si="286"/>
        <v/>
      </c>
      <c r="T615" s="208" t="str">
        <f t="shared" si="287"/>
        <v/>
      </c>
      <c r="U615" s="41"/>
      <c r="V615" s="45"/>
      <c r="X615" s="37" t="str">
        <f t="shared" si="280"/>
        <v/>
      </c>
      <c r="Z615" s="181"/>
      <c r="AB615" s="173"/>
      <c r="AD615" s="10" t="str">
        <f t="shared" si="281"/>
        <v/>
      </c>
      <c r="AE615" s="92" t="str">
        <f>+IF(OR($T$615="",X615="",X615="NO"),"",L615)</f>
        <v/>
      </c>
      <c r="AF615" s="92" t="str">
        <f>+IF(AE615="","",L615/$S$615)</f>
        <v/>
      </c>
      <c r="AG615" s="174"/>
    </row>
    <row r="616" spans="1:34" s="27" customFormat="1" ht="12.75" x14ac:dyDescent="0.2">
      <c r="A616" s="27" t="str">
        <f t="shared" si="282"/>
        <v/>
      </c>
      <c r="B616" s="38">
        <v>9</v>
      </c>
      <c r="C616" s="39"/>
      <c r="D616" s="39"/>
      <c r="E616" s="46"/>
      <c r="F616" s="46"/>
      <c r="G616" s="39"/>
      <c r="H616" s="40"/>
      <c r="I616" s="41"/>
      <c r="J616" s="42"/>
      <c r="K616" s="43"/>
      <c r="L616" s="44">
        <f t="shared" si="283"/>
        <v>0</v>
      </c>
      <c r="M616" s="206"/>
      <c r="N616" s="206"/>
      <c r="O616" s="207" t="str">
        <f t="shared" si="284"/>
        <v/>
      </c>
      <c r="P616" s="206"/>
      <c r="Q616" s="206"/>
      <c r="R616" s="177">
        <f t="shared" si="285"/>
        <v>0</v>
      </c>
      <c r="S616" s="178" t="str">
        <f t="shared" si="286"/>
        <v/>
      </c>
      <c r="T616" s="208" t="str">
        <f t="shared" si="287"/>
        <v/>
      </c>
      <c r="U616" s="41"/>
      <c r="V616" s="45"/>
      <c r="X616" s="37" t="str">
        <f t="shared" si="280"/>
        <v/>
      </c>
      <c r="Z616" s="181"/>
      <c r="AB616" s="173"/>
      <c r="AD616" s="10" t="str">
        <f t="shared" si="281"/>
        <v/>
      </c>
      <c r="AE616" s="92" t="str">
        <f>+IF(OR($T$616="",X616="",X616="NO"),"",L616)</f>
        <v/>
      </c>
      <c r="AF616" s="92" t="str">
        <f>+IF(AE616="","",L616/$S$616)</f>
        <v/>
      </c>
      <c r="AG616" s="174"/>
    </row>
    <row r="617" spans="1:34" s="27" customFormat="1" ht="13.5" thickBot="1" x14ac:dyDescent="0.25">
      <c r="A617" s="27" t="str">
        <f t="shared" si="282"/>
        <v/>
      </c>
      <c r="B617" s="47">
        <v>10</v>
      </c>
      <c r="C617" s="48"/>
      <c r="D617" s="48"/>
      <c r="E617" s="49"/>
      <c r="F617" s="49"/>
      <c r="G617" s="48"/>
      <c r="H617" s="50"/>
      <c r="I617" s="51"/>
      <c r="J617" s="14"/>
      <c r="K617" s="52"/>
      <c r="L617" s="53">
        <f t="shared" si="283"/>
        <v>0</v>
      </c>
      <c r="M617" s="211"/>
      <c r="N617" s="211"/>
      <c r="O617" s="212" t="str">
        <f t="shared" si="284"/>
        <v/>
      </c>
      <c r="P617" s="211"/>
      <c r="Q617" s="211"/>
      <c r="R617" s="184">
        <f t="shared" si="285"/>
        <v>0</v>
      </c>
      <c r="S617" s="185" t="str">
        <f t="shared" si="286"/>
        <v/>
      </c>
      <c r="T617" s="213" t="str">
        <f t="shared" si="287"/>
        <v/>
      </c>
      <c r="U617" s="51"/>
      <c r="V617" s="54"/>
      <c r="X617" s="55" t="str">
        <f t="shared" si="280"/>
        <v/>
      </c>
      <c r="Z617" s="187"/>
      <c r="AB617" s="188"/>
      <c r="AD617" s="10" t="str">
        <f t="shared" si="281"/>
        <v/>
      </c>
      <c r="AE617" s="92" t="str">
        <f>+IF(OR($T$617="",X617="",X617="NO"),"",L617)</f>
        <v/>
      </c>
      <c r="AF617" s="92" t="str">
        <f>+IF(AE617="","",L617/$S$617)</f>
        <v/>
      </c>
    </row>
    <row r="618" spans="1:34" ht="36" customHeight="1" x14ac:dyDescent="0.2">
      <c r="B618" s="57" t="str">
        <f>"A"&amp;B605</f>
        <v>A36</v>
      </c>
      <c r="C618" s="382" t="str">
        <f>+$C$23</f>
        <v>¿CADA INTEGRANTE DE PROPONENTE PLURAL APORTAN CONTRATO?  (SI; NO; NA)</v>
      </c>
      <c r="D618" s="383"/>
      <c r="E618" s="383"/>
      <c r="F618" s="383"/>
      <c r="G618" s="383"/>
      <c r="H618" s="384"/>
      <c r="I618" s="217" t="str">
        <f>+IF(AG605="","",IF(AG605=1,"NA",IF(AND(AG605=3,(IF(COUNTIFS(C608:C617,AH608,AE608:AE617,"&gt;0")&gt;=1,1,0)+IF(COUNTIFS(C608:C617,AH609,AE608:AE617,"&gt;0")&gt;=1,1,0)+IF(COUNTIFS(C608:C617,AH610,AE608:AE617,"&gt;0")&gt;=1,1,0))&gt;=AG605),"SI",IF(AND(AG605=2,(IF(COUNTIFS(C608:C617,AH608,AE608:AE617,"&gt;0")&gt;=1,1,0)+IF(COUNTIFS(C608:C617,AH609,AE608:AE617,"&gt;0")&gt;=1,1,0))&gt;=AG605),"SI","NO"))))</f>
        <v/>
      </c>
      <c r="J618" s="59"/>
      <c r="K618" s="27"/>
      <c r="L618" s="27"/>
      <c r="M618" s="27"/>
      <c r="N618" s="27"/>
      <c r="O618" s="27"/>
      <c r="P618" s="385" t="str">
        <f>+$P$23</f>
        <v>FACTURACION MENSUAL TOTAL</v>
      </c>
      <c r="Q618" s="386"/>
      <c r="R618" s="386"/>
      <c r="S618" s="386"/>
      <c r="T618" s="189">
        <f>ROUND(SUM(T608:T617),3)</f>
        <v>0</v>
      </c>
      <c r="U618" s="60"/>
      <c r="V618" s="1"/>
      <c r="W618" s="61"/>
      <c r="X618" s="61"/>
      <c r="Y618" s="61"/>
      <c r="Z618" s="61"/>
      <c r="AA618" s="61"/>
      <c r="AB618" s="61"/>
    </row>
    <row r="619" spans="1:34" ht="38.25" customHeight="1" thickBot="1" x14ac:dyDescent="0.25">
      <c r="B619" s="57" t="str">
        <f>"B"&amp;B605</f>
        <v>B36</v>
      </c>
      <c r="C619" s="387" t="str">
        <f>+C602</f>
        <v>En caso de proponente plural: ¿De la totalidad de los contratos aportados por el proponente plural, el valor ejecutado de uno de ellos deberá ser igual o superior al 30% del P.O.?  (SI; NO; NA)</v>
      </c>
      <c r="D619" s="388"/>
      <c r="E619" s="388"/>
      <c r="F619" s="388"/>
      <c r="G619" s="389"/>
      <c r="H619" s="190">
        <f>+$H$6</f>
        <v>268.14722506074827</v>
      </c>
      <c r="I619" s="191" t="str">
        <f>+IF(AG605="","",IF(AG605=1,"NA",IF(AND(AG605&gt;1,(COUNTIFS(AD608:AD617,"SI",AE608:AE617,"&gt;0"))&gt;=1),"SI","NO")))</f>
        <v/>
      </c>
      <c r="J619" s="192"/>
      <c r="K619" s="193"/>
      <c r="L619" s="194"/>
      <c r="M619" s="194"/>
      <c r="N619" s="194"/>
      <c r="O619" s="194"/>
      <c r="P619" s="387" t="str">
        <f>+$P$24</f>
        <v>PROMEDIO FACTURACIÓN MENSUAL DEL PROPONENTE (PFMP)</v>
      </c>
      <c r="Q619" s="388"/>
      <c r="R619" s="388"/>
      <c r="S619" s="388"/>
      <c r="T619" s="195">
        <f t="array" ref="T619">IF(T618=0,0,ROUND(T618/(SUM(IF(FREQUENCY(A608:A617,A608:A617)&gt;0,1))),3))</f>
        <v>0</v>
      </c>
      <c r="U619" s="214"/>
      <c r="V619" s="1"/>
      <c r="W619" s="61"/>
      <c r="X619" s="61"/>
      <c r="Y619" s="61"/>
      <c r="Z619" s="61"/>
      <c r="AA619" s="61"/>
      <c r="AB619" s="61"/>
    </row>
    <row r="620" spans="1:34" ht="21" customHeight="1" thickBot="1" x14ac:dyDescent="0.25">
      <c r="B620" s="197" t="str">
        <f>"C"&amp;B605</f>
        <v>C36</v>
      </c>
      <c r="C620" s="349" t="str">
        <f>+$C$25</f>
        <v>PROPONENTE CUMPLE CON LAS ACTIVIDADES a) y b)? (SI; NO)</v>
      </c>
      <c r="D620" s="350"/>
      <c r="E620" s="350"/>
      <c r="F620" s="350"/>
      <c r="G620" s="350"/>
      <c r="H620" s="351"/>
      <c r="I620" s="198" t="str">
        <f>IF(C605="","",(IF(AND(COUNTIFS(X608:X617,"SI",Z608:Z617,"SI")&gt;=$Z$8,COUNTIFS(X608:X617,"SI",AB608:AB617,"SI")&gt;=$Z$8),"SI","NO")))</f>
        <v/>
      </c>
      <c r="J620" s="199"/>
      <c r="K620" s="200"/>
      <c r="L620" s="200"/>
      <c r="M620" s="200"/>
      <c r="N620" s="200"/>
      <c r="P620" s="378" t="str">
        <f>+$P$25</f>
        <v>VALOR PUNTAJE POR EXPERIENCIA DEL PROPONENTE</v>
      </c>
      <c r="Q620" s="379"/>
      <c r="R620" s="379"/>
      <c r="S620" s="380"/>
      <c r="T620" s="201" t="str">
        <f>IF(OR(C605="",'ASIGNACION DE PUNTAJES'!$C$5=""),"",VLOOKUP(B605,'ASIGNACION DE PUNTAJES'!$A$15:$G$69,7,FALSE))</f>
        <v/>
      </c>
      <c r="V620" s="202"/>
    </row>
    <row r="621" spans="1:34" ht="12" thickBot="1" x14ac:dyDescent="0.25"/>
    <row r="622" spans="1:34" ht="36.75" customHeight="1" thickBot="1" x14ac:dyDescent="0.25">
      <c r="B622" s="23">
        <f>1+B605</f>
        <v>37</v>
      </c>
      <c r="C622" s="336" t="s">
        <v>932</v>
      </c>
      <c r="D622" s="337"/>
      <c r="E622" s="337"/>
      <c r="F622" s="337"/>
      <c r="G622" s="337"/>
      <c r="H622" s="337"/>
      <c r="I622" s="338"/>
      <c r="J622" s="24" t="str">
        <f>+IF(C622="","","INTEGRANTES")</f>
        <v/>
      </c>
      <c r="K622" s="339" t="s">
        <v>932</v>
      </c>
      <c r="L622" s="339"/>
      <c r="M622" s="339"/>
      <c r="N622" s="339"/>
      <c r="O622" s="339"/>
      <c r="P622" s="339"/>
      <c r="Q622" s="339"/>
      <c r="R622" s="396" t="str">
        <f>+$R$10</f>
        <v>PROPONENTE No.</v>
      </c>
      <c r="S622" s="397"/>
      <c r="T622" s="25">
        <f>+B622</f>
        <v>37</v>
      </c>
      <c r="U622" s="161" t="str">
        <f>+$U$10</f>
        <v>PFMP</v>
      </c>
      <c r="V622" s="162">
        <f>IF(T636="",0,T636)</f>
        <v>0</v>
      </c>
      <c r="X622" s="325" t="s">
        <v>168</v>
      </c>
      <c r="Z622" s="163" t="str">
        <f>+$Z$10</f>
        <v>EXP. ESPECÍFICA 
A:</v>
      </c>
      <c r="AB622" s="163" t="str">
        <f>+$AB$10</f>
        <v>EXP. ESPECÍFICA 
B:</v>
      </c>
      <c r="AG622" s="1" t="s">
        <v>932</v>
      </c>
    </row>
    <row r="623" spans="1:34" ht="42" customHeight="1" x14ac:dyDescent="0.2">
      <c r="B623" s="331" t="str">
        <f>+$B$11</f>
        <v>ITEM</v>
      </c>
      <c r="C623" s="318" t="str">
        <f>+$C$11</f>
        <v>PROPONENTE 
/ 
INTEGRANTE OFERENTE PLURAL</v>
      </c>
      <c r="D623" s="333" t="str">
        <f>+$D$11</f>
        <v>INFORMACIÓN DEL CONTRATO</v>
      </c>
      <c r="E623" s="334"/>
      <c r="F623" s="334"/>
      <c r="G623" s="335"/>
      <c r="H623" s="318" t="str">
        <f>+H606</f>
        <v>CONSECUTIVO RUP</v>
      </c>
      <c r="I623" s="318" t="str">
        <f>+$I$11</f>
        <v>¿SE ENCUENTRA INSCRITO EN EL RUP Y CUMPLE CÓDIGOS UNSPSC?</v>
      </c>
      <c r="J623" s="318" t="str">
        <f>+$J$11</f>
        <v xml:space="preserve">VALOR EN RUP (SMMLV) </v>
      </c>
      <c r="K623" s="318" t="str">
        <f>+$K$11</f>
        <v>% PARTIC en el RUP</v>
      </c>
      <c r="L623" s="318" t="str">
        <f>+$L$11</f>
        <v>VALOR DEL CONTRATO TERMINADO (SMMLV) en el   RUP</v>
      </c>
      <c r="M623" s="318" t="str">
        <f>+$M$11</f>
        <v>FECHA DE INICIO</v>
      </c>
      <c r="N623" s="318" t="str">
        <f>+$N$11</f>
        <v>FECHA DE TERMINACION</v>
      </c>
      <c r="O623" s="318" t="str">
        <f>+$O$11</f>
        <v>PLAZO CONTRA-TO (Meses)</v>
      </c>
      <c r="P623" s="390" t="str">
        <f>+$P$11</f>
        <v>Tsusp i</v>
      </c>
      <c r="Q623" s="391"/>
      <c r="R623" s="392"/>
      <c r="S623" s="318" t="str">
        <f>+$S$11</f>
        <v>PLAZO i REAL</v>
      </c>
      <c r="T623" s="318" t="str">
        <f>+$T$11</f>
        <v>FACTURA-CION MENSUAL PROPO-NENTE</v>
      </c>
      <c r="U623" s="318" t="str">
        <f>+$U$11</f>
        <v>VALIDACIÓN DE LA EXPERIENCIA GENERAL
(SI/NO)</v>
      </c>
      <c r="V623" s="393" t="str">
        <f>+$V$11</f>
        <v>OBSERVACIONES</v>
      </c>
      <c r="X623" s="326"/>
      <c r="Z623" s="381" t="str">
        <f>+$Z$11</f>
        <v>Interventoria a la ejecución de obras relacionadas con Colocación de capas granulares (tales como bases y/o sub-bases granulares).</v>
      </c>
      <c r="AB623" s="381" t="str">
        <f>+$AB$11</f>
        <v>Interventoria a la Ejecución de obras de subdrenaje y/o drenaje, en carreteras.</v>
      </c>
    </row>
    <row r="624" spans="1:34" ht="38.25" customHeight="1" thickBot="1" x14ac:dyDescent="0.25">
      <c r="B624" s="395"/>
      <c r="C624" s="348"/>
      <c r="D624" s="165" t="str">
        <f>+$D$12</f>
        <v>ENTIDAD</v>
      </c>
      <c r="E624" s="165" t="str">
        <f>+$E$12</f>
        <v>No. DE CONTRATO</v>
      </c>
      <c r="F624" s="165" t="str">
        <f>+$F$12</f>
        <v>OBJETO</v>
      </c>
      <c r="G624" s="165" t="str">
        <f>+$G$12</f>
        <v>CONTRATISTA</v>
      </c>
      <c r="H624" s="348"/>
      <c r="I624" s="348"/>
      <c r="J624" s="348"/>
      <c r="K624" s="348"/>
      <c r="L624" s="348"/>
      <c r="M624" s="348"/>
      <c r="N624" s="348"/>
      <c r="O624" s="348"/>
      <c r="P624" s="166" t="str">
        <f>+P607</f>
        <v>Finicsuspi</v>
      </c>
      <c r="Q624" s="166" t="str">
        <f>+Q607</f>
        <v xml:space="preserve"> Ftermsuspi </v>
      </c>
      <c r="R624" s="166" t="str">
        <f>+R607</f>
        <v>Tsusp i (meses)</v>
      </c>
      <c r="S624" s="348"/>
      <c r="T624" s="348"/>
      <c r="U624" s="348"/>
      <c r="V624" s="394"/>
      <c r="X624" s="327"/>
      <c r="Z624" s="381"/>
      <c r="AB624" s="381"/>
    </row>
    <row r="625" spans="1:34" s="27" customFormat="1" ht="12.75" x14ac:dyDescent="0.2">
      <c r="A625" s="27" t="str">
        <f>+IF(T625="","",B625)</f>
        <v/>
      </c>
      <c r="B625" s="28">
        <v>1</v>
      </c>
      <c r="C625" s="86"/>
      <c r="D625" s="86"/>
      <c r="E625" s="87"/>
      <c r="F625" s="87"/>
      <c r="G625" s="86"/>
      <c r="H625" s="30"/>
      <c r="I625" s="31"/>
      <c r="J625" s="32"/>
      <c r="K625" s="33"/>
      <c r="L625" s="34">
        <f>IF(OR(H625="",I625&lt;&gt;"SI",I625="NO",J625="",J625=0,K625="",K625=0,X625&lt;&gt;"SI"),0,J625*K625)</f>
        <v>0</v>
      </c>
      <c r="M625" s="204"/>
      <c r="N625" s="204"/>
      <c r="O625" s="169" t="str">
        <f>IF(OR(H625="",I625&lt;&gt;"SI",I625="NO",J625="",J625=0,K625="",K625=0,,M625="",N625=""),"",ROUND((((N625-M625)+1)/30),3))</f>
        <v/>
      </c>
      <c r="P625" s="204"/>
      <c r="Q625" s="204"/>
      <c r="R625" s="170">
        <f>IF(OR((Q625-P625)=0,P625="",Q625=""),0,(ROUND((((Q625-P625)+1)/30),3)))</f>
        <v>0</v>
      </c>
      <c r="S625" s="171" t="str">
        <f>IF(O625="","",ROUND(SUM(O625)-SUM(R625),3))</f>
        <v/>
      </c>
      <c r="T625" s="172" t="str">
        <f>+IF(C625="","",IF(OR(S625="",S625&lt;=0,I625="",I625="NO",U625="",U625="NO",X625="NO"),"",ROUND(SUM(L625)/S625,3)))</f>
        <v/>
      </c>
      <c r="U625" s="35"/>
      <c r="V625" s="36"/>
      <c r="W625" s="205"/>
      <c r="X625" s="37" t="str">
        <f t="shared" ref="X625:X634" si="288">+IF(C625="","",IF(AND(H625&lt;&gt;"",I625="SI",J625&lt;&gt;"",J625&gt;0,K625&lt;&gt;"",K625&gt;0,S625&lt;&gt;"",S625&gt;0,U625="SI"),"SI","NO"))</f>
        <v/>
      </c>
      <c r="Z625" s="173"/>
      <c r="AB625" s="173"/>
      <c r="AD625" s="10" t="str">
        <f t="shared" ref="AD625:AD634" si="289">+IF($C$622="","",IF(C625="","",IF(L625&gt;=$H$6,"SI","NO")))</f>
        <v/>
      </c>
      <c r="AE625" s="92" t="str">
        <f>+IF(OR($T$625="",X625="",X625="NO"),"",L625)</f>
        <v/>
      </c>
      <c r="AF625" s="92" t="str">
        <f>+IF(AE625="","",L625/$S$625)</f>
        <v/>
      </c>
      <c r="AG625" s="174">
        <f>0.1+B622</f>
        <v>37.1</v>
      </c>
      <c r="AH625" s="27" t="s">
        <v>932</v>
      </c>
    </row>
    <row r="626" spans="1:34" s="27" customFormat="1" ht="12.75" x14ac:dyDescent="0.2">
      <c r="A626" s="27" t="str">
        <f t="shared" ref="A626:A634" si="290">+IF(T626="","",B626)</f>
        <v/>
      </c>
      <c r="B626" s="38">
        <v>2</v>
      </c>
      <c r="C626" s="39"/>
      <c r="D626" s="39"/>
      <c r="E626" s="46"/>
      <c r="F626" s="46"/>
      <c r="G626" s="39"/>
      <c r="H626" s="40"/>
      <c r="I626" s="41"/>
      <c r="J626" s="42"/>
      <c r="K626" s="43"/>
      <c r="L626" s="44">
        <f t="shared" ref="L626:L634" si="291">IF(OR(H626="",I626&lt;&gt;"SI",I626="NO",J626="",J626=0,K626="",K626=0,X626&lt;&gt;"SI"),0,J626*K626)</f>
        <v>0</v>
      </c>
      <c r="M626" s="206"/>
      <c r="N626" s="206"/>
      <c r="O626" s="207" t="str">
        <f t="shared" ref="O626:O634" si="292">IF(OR(H626="",I626&lt;&gt;"SI",I626="NO",J626="",J626=0,K626="",K626=0,,M626="",N626=""),"",ROUND((((N626-M626)+1)/30),3))</f>
        <v/>
      </c>
      <c r="P626" s="206"/>
      <c r="Q626" s="206"/>
      <c r="R626" s="177">
        <f t="shared" ref="R626:R634" si="293">IF(OR((Q626-P626)=0,P626="",Q626=""),0,(ROUND((((Q626-P626)+1)/30),3)))</f>
        <v>0</v>
      </c>
      <c r="S626" s="178" t="str">
        <f t="shared" ref="S626:S634" si="294">IF(O626="","",ROUND(SUM(O626)-SUM(R626),3))</f>
        <v/>
      </c>
      <c r="T626" s="208" t="str">
        <f t="shared" ref="T626:T634" si="295">+IF(C626="","",IF(OR(S626="",S626&lt;=0,I626="",I626="NO",U626="",U626="NO",X626="NO"),"",ROUND(SUM(L626)/S626,3)))</f>
        <v/>
      </c>
      <c r="U626" s="41"/>
      <c r="V626" s="209"/>
      <c r="W626" s="205"/>
      <c r="X626" s="37" t="str">
        <f t="shared" si="288"/>
        <v/>
      </c>
      <c r="Z626" s="173"/>
      <c r="AB626" s="173"/>
      <c r="AD626" s="10" t="str">
        <f t="shared" si="289"/>
        <v/>
      </c>
      <c r="AE626" s="92" t="str">
        <f>+IF(OR($T$626="",X626="",X626="NO"),"",L626)</f>
        <v/>
      </c>
      <c r="AF626" s="92" t="str">
        <f>+IF(AE626="","",L626/$S$626)</f>
        <v/>
      </c>
      <c r="AG626" s="174">
        <f>0.2+B622</f>
        <v>37.200000000000003</v>
      </c>
      <c r="AH626" s="27" t="s">
        <v>932</v>
      </c>
    </row>
    <row r="627" spans="1:34" s="27" customFormat="1" ht="12.75" x14ac:dyDescent="0.2">
      <c r="A627" s="27" t="str">
        <f t="shared" si="290"/>
        <v/>
      </c>
      <c r="B627" s="38">
        <v>3</v>
      </c>
      <c r="C627" s="39"/>
      <c r="D627" s="39"/>
      <c r="E627" s="46"/>
      <c r="F627" s="46"/>
      <c r="G627" s="39"/>
      <c r="H627" s="40"/>
      <c r="I627" s="41"/>
      <c r="J627" s="42"/>
      <c r="K627" s="43"/>
      <c r="L627" s="44">
        <f t="shared" si="291"/>
        <v>0</v>
      </c>
      <c r="M627" s="206"/>
      <c r="N627" s="206"/>
      <c r="O627" s="207" t="str">
        <f t="shared" si="292"/>
        <v/>
      </c>
      <c r="P627" s="206"/>
      <c r="Q627" s="206"/>
      <c r="R627" s="177">
        <f t="shared" si="293"/>
        <v>0</v>
      </c>
      <c r="S627" s="178" t="str">
        <f t="shared" si="294"/>
        <v/>
      </c>
      <c r="T627" s="208" t="str">
        <f t="shared" si="295"/>
        <v/>
      </c>
      <c r="U627" s="41"/>
      <c r="V627" s="45"/>
      <c r="W627" s="205"/>
      <c r="X627" s="37" t="str">
        <f t="shared" si="288"/>
        <v/>
      </c>
      <c r="Z627" s="173"/>
      <c r="AB627" s="173"/>
      <c r="AD627" s="10" t="str">
        <f t="shared" si="289"/>
        <v/>
      </c>
      <c r="AE627" s="92" t="str">
        <f>+IF(OR($T$627="",X627="",X627="NO"),"",L627)</f>
        <v/>
      </c>
      <c r="AF627" s="92" t="str">
        <f>+IF(AE627="","",L627/$S$627)</f>
        <v/>
      </c>
      <c r="AG627" s="174">
        <f>0.3+B622</f>
        <v>37.299999999999997</v>
      </c>
      <c r="AH627" s="27" t="s">
        <v>932</v>
      </c>
    </row>
    <row r="628" spans="1:34" s="27" customFormat="1" ht="12.75" x14ac:dyDescent="0.2">
      <c r="A628" s="27" t="str">
        <f t="shared" si="290"/>
        <v/>
      </c>
      <c r="B628" s="38">
        <v>4</v>
      </c>
      <c r="C628" s="39"/>
      <c r="D628" s="39"/>
      <c r="E628" s="46"/>
      <c r="F628" s="46"/>
      <c r="G628" s="39"/>
      <c r="H628" s="40"/>
      <c r="I628" s="41"/>
      <c r="J628" s="42"/>
      <c r="K628" s="43"/>
      <c r="L628" s="44">
        <f t="shared" si="291"/>
        <v>0</v>
      </c>
      <c r="M628" s="206"/>
      <c r="N628" s="206"/>
      <c r="O628" s="207" t="str">
        <f t="shared" si="292"/>
        <v/>
      </c>
      <c r="P628" s="206"/>
      <c r="Q628" s="206"/>
      <c r="R628" s="177">
        <f t="shared" si="293"/>
        <v>0</v>
      </c>
      <c r="S628" s="178" t="str">
        <f t="shared" si="294"/>
        <v/>
      </c>
      <c r="T628" s="208" t="str">
        <f t="shared" si="295"/>
        <v/>
      </c>
      <c r="U628" s="41"/>
      <c r="V628" s="45"/>
      <c r="W628" s="210"/>
      <c r="X628" s="37" t="str">
        <f t="shared" si="288"/>
        <v/>
      </c>
      <c r="Z628" s="180"/>
      <c r="AB628" s="173"/>
      <c r="AD628" s="10" t="str">
        <f t="shared" si="289"/>
        <v/>
      </c>
      <c r="AE628" s="92" t="str">
        <f>+IF(OR($T$628="",X628="",X628="NO"),"",L628)</f>
        <v/>
      </c>
      <c r="AF628" s="92" t="str">
        <f>+IF(AE628="","",L628/$S$628)</f>
        <v/>
      </c>
      <c r="AG628" s="174"/>
    </row>
    <row r="629" spans="1:34" s="27" customFormat="1" ht="12.75" x14ac:dyDescent="0.2">
      <c r="A629" s="27" t="str">
        <f t="shared" si="290"/>
        <v/>
      </c>
      <c r="B629" s="38">
        <v>5</v>
      </c>
      <c r="C629" s="39"/>
      <c r="D629" s="39"/>
      <c r="E629" s="46"/>
      <c r="F629" s="46"/>
      <c r="G629" s="39"/>
      <c r="H629" s="40"/>
      <c r="I629" s="41"/>
      <c r="J629" s="42"/>
      <c r="K629" s="43"/>
      <c r="L629" s="44">
        <f t="shared" si="291"/>
        <v>0</v>
      </c>
      <c r="M629" s="206"/>
      <c r="N629" s="206"/>
      <c r="O629" s="207" t="str">
        <f t="shared" si="292"/>
        <v/>
      </c>
      <c r="P629" s="206"/>
      <c r="Q629" s="206"/>
      <c r="R629" s="177">
        <f t="shared" si="293"/>
        <v>0</v>
      </c>
      <c r="S629" s="178" t="str">
        <f t="shared" si="294"/>
        <v/>
      </c>
      <c r="T629" s="208" t="str">
        <f t="shared" si="295"/>
        <v/>
      </c>
      <c r="U629" s="41"/>
      <c r="V629" s="45"/>
      <c r="X629" s="37" t="str">
        <f t="shared" si="288"/>
        <v/>
      </c>
      <c r="Z629" s="181"/>
      <c r="AB629" s="173"/>
      <c r="AD629" s="10" t="str">
        <f t="shared" si="289"/>
        <v/>
      </c>
      <c r="AE629" s="92" t="str">
        <f>+IF(OR($T$629="",X629="",X629="NO"),"",L629)</f>
        <v/>
      </c>
      <c r="AF629" s="92" t="str">
        <f>+IF(AE629="","",L629/$S$629)</f>
        <v/>
      </c>
      <c r="AG629" s="174"/>
    </row>
    <row r="630" spans="1:34" s="27" customFormat="1" ht="12.75" x14ac:dyDescent="0.2">
      <c r="A630" s="27" t="str">
        <f t="shared" si="290"/>
        <v/>
      </c>
      <c r="B630" s="38">
        <v>6</v>
      </c>
      <c r="C630" s="39"/>
      <c r="D630" s="39"/>
      <c r="E630" s="46"/>
      <c r="F630" s="46"/>
      <c r="G630" s="39"/>
      <c r="H630" s="40"/>
      <c r="I630" s="41"/>
      <c r="J630" s="42"/>
      <c r="K630" s="43"/>
      <c r="L630" s="44">
        <f t="shared" si="291"/>
        <v>0</v>
      </c>
      <c r="M630" s="206"/>
      <c r="N630" s="206"/>
      <c r="O630" s="207" t="str">
        <f t="shared" si="292"/>
        <v/>
      </c>
      <c r="P630" s="206"/>
      <c r="Q630" s="206"/>
      <c r="R630" s="177">
        <f t="shared" si="293"/>
        <v>0</v>
      </c>
      <c r="S630" s="178" t="str">
        <f t="shared" si="294"/>
        <v/>
      </c>
      <c r="T630" s="208" t="str">
        <f t="shared" si="295"/>
        <v/>
      </c>
      <c r="U630" s="41"/>
      <c r="V630" s="45"/>
      <c r="X630" s="37" t="str">
        <f t="shared" si="288"/>
        <v/>
      </c>
      <c r="Z630" s="181"/>
      <c r="AB630" s="173"/>
      <c r="AD630" s="10" t="str">
        <f t="shared" si="289"/>
        <v/>
      </c>
      <c r="AE630" s="92" t="str">
        <f>+IF(OR($T$630="",X630="",X630="NO"),"",L630)</f>
        <v/>
      </c>
      <c r="AF630" s="92" t="str">
        <f>+IF(AE630="","",L630/$S$630)</f>
        <v/>
      </c>
      <c r="AG630" s="174"/>
    </row>
    <row r="631" spans="1:34" s="27" customFormat="1" ht="12.75" x14ac:dyDescent="0.2">
      <c r="A631" s="27" t="str">
        <f t="shared" si="290"/>
        <v/>
      </c>
      <c r="B631" s="38">
        <v>7</v>
      </c>
      <c r="C631" s="39"/>
      <c r="D631" s="39"/>
      <c r="E631" s="46"/>
      <c r="F631" s="46"/>
      <c r="G631" s="39"/>
      <c r="H631" s="40"/>
      <c r="I631" s="41"/>
      <c r="J631" s="42"/>
      <c r="K631" s="43"/>
      <c r="L631" s="44">
        <f t="shared" si="291"/>
        <v>0</v>
      </c>
      <c r="M631" s="206"/>
      <c r="N631" s="206"/>
      <c r="O631" s="207" t="str">
        <f t="shared" si="292"/>
        <v/>
      </c>
      <c r="P631" s="206"/>
      <c r="Q631" s="206"/>
      <c r="R631" s="177">
        <f t="shared" si="293"/>
        <v>0</v>
      </c>
      <c r="S631" s="178" t="str">
        <f t="shared" si="294"/>
        <v/>
      </c>
      <c r="T631" s="208" t="str">
        <f t="shared" si="295"/>
        <v/>
      </c>
      <c r="U631" s="41"/>
      <c r="V631" s="45"/>
      <c r="X631" s="37" t="str">
        <f t="shared" si="288"/>
        <v/>
      </c>
      <c r="Z631" s="181"/>
      <c r="AB631" s="173"/>
      <c r="AD631" s="10" t="str">
        <f t="shared" si="289"/>
        <v/>
      </c>
      <c r="AE631" s="92" t="str">
        <f>+IF(OR($T$631="",X631="",X631="NO"),"",L631)</f>
        <v/>
      </c>
      <c r="AF631" s="92" t="str">
        <f>+IF(AE631="","",L631/$S$631)</f>
        <v/>
      </c>
      <c r="AG631" s="174"/>
    </row>
    <row r="632" spans="1:34" s="27" customFormat="1" ht="12.75" x14ac:dyDescent="0.2">
      <c r="A632" s="27" t="str">
        <f t="shared" si="290"/>
        <v/>
      </c>
      <c r="B632" s="38">
        <v>8</v>
      </c>
      <c r="C632" s="39"/>
      <c r="D632" s="39"/>
      <c r="E632" s="46"/>
      <c r="F632" s="46"/>
      <c r="G632" s="39"/>
      <c r="H632" s="40"/>
      <c r="I632" s="41"/>
      <c r="J632" s="42"/>
      <c r="K632" s="43"/>
      <c r="L632" s="44">
        <f t="shared" si="291"/>
        <v>0</v>
      </c>
      <c r="M632" s="206"/>
      <c r="N632" s="206"/>
      <c r="O632" s="207" t="str">
        <f t="shared" si="292"/>
        <v/>
      </c>
      <c r="P632" s="206"/>
      <c r="Q632" s="206"/>
      <c r="R632" s="177">
        <f t="shared" si="293"/>
        <v>0</v>
      </c>
      <c r="S632" s="178" t="str">
        <f t="shared" si="294"/>
        <v/>
      </c>
      <c r="T632" s="208" t="str">
        <f t="shared" si="295"/>
        <v/>
      </c>
      <c r="U632" s="41"/>
      <c r="V632" s="45"/>
      <c r="X632" s="37" t="str">
        <f t="shared" si="288"/>
        <v/>
      </c>
      <c r="Z632" s="181"/>
      <c r="AB632" s="173"/>
      <c r="AD632" s="10" t="str">
        <f t="shared" si="289"/>
        <v/>
      </c>
      <c r="AE632" s="92" t="str">
        <f>+IF(OR($T$632="",X632="",X632="NO"),"",L632)</f>
        <v/>
      </c>
      <c r="AF632" s="92" t="str">
        <f>+IF(AE632="","",L632/$S$632)</f>
        <v/>
      </c>
      <c r="AG632" s="174"/>
    </row>
    <row r="633" spans="1:34" s="27" customFormat="1" ht="12.75" x14ac:dyDescent="0.2">
      <c r="A633" s="27" t="str">
        <f t="shared" si="290"/>
        <v/>
      </c>
      <c r="B633" s="38">
        <v>9</v>
      </c>
      <c r="C633" s="39"/>
      <c r="D633" s="39"/>
      <c r="E633" s="46"/>
      <c r="F633" s="46"/>
      <c r="G633" s="39"/>
      <c r="H633" s="40"/>
      <c r="I633" s="41"/>
      <c r="J633" s="42"/>
      <c r="K633" s="43"/>
      <c r="L633" s="44">
        <f t="shared" si="291"/>
        <v>0</v>
      </c>
      <c r="M633" s="206"/>
      <c r="N633" s="206"/>
      <c r="O633" s="207" t="str">
        <f t="shared" si="292"/>
        <v/>
      </c>
      <c r="P633" s="206"/>
      <c r="Q633" s="206"/>
      <c r="R633" s="177">
        <f t="shared" si="293"/>
        <v>0</v>
      </c>
      <c r="S633" s="178" t="str">
        <f t="shared" si="294"/>
        <v/>
      </c>
      <c r="T633" s="208" t="str">
        <f t="shared" si="295"/>
        <v/>
      </c>
      <c r="U633" s="41"/>
      <c r="V633" s="45"/>
      <c r="X633" s="37" t="str">
        <f t="shared" si="288"/>
        <v/>
      </c>
      <c r="Z633" s="181"/>
      <c r="AB633" s="173"/>
      <c r="AD633" s="10" t="str">
        <f t="shared" si="289"/>
        <v/>
      </c>
      <c r="AE633" s="92" t="str">
        <f>+IF(OR($T$633="",X633="",X633="NO"),"",L633)</f>
        <v/>
      </c>
      <c r="AF633" s="92" t="str">
        <f>+IF(AE633="","",L633/$S$633)</f>
        <v/>
      </c>
      <c r="AG633" s="174"/>
    </row>
    <row r="634" spans="1:34" s="27" customFormat="1" ht="13.5" thickBot="1" x14ac:dyDescent="0.25">
      <c r="A634" s="27" t="str">
        <f t="shared" si="290"/>
        <v/>
      </c>
      <c r="B634" s="47">
        <v>10</v>
      </c>
      <c r="C634" s="48"/>
      <c r="D634" s="48"/>
      <c r="E634" s="49"/>
      <c r="F634" s="49"/>
      <c r="G634" s="48"/>
      <c r="H634" s="50"/>
      <c r="I634" s="51"/>
      <c r="J634" s="14"/>
      <c r="K634" s="52"/>
      <c r="L634" s="53">
        <f t="shared" si="291"/>
        <v>0</v>
      </c>
      <c r="M634" s="211"/>
      <c r="N634" s="211"/>
      <c r="O634" s="212" t="str">
        <f t="shared" si="292"/>
        <v/>
      </c>
      <c r="P634" s="211"/>
      <c r="Q634" s="211"/>
      <c r="R634" s="184">
        <f t="shared" si="293"/>
        <v>0</v>
      </c>
      <c r="S634" s="185" t="str">
        <f t="shared" si="294"/>
        <v/>
      </c>
      <c r="T634" s="213" t="str">
        <f t="shared" si="295"/>
        <v/>
      </c>
      <c r="U634" s="51"/>
      <c r="V634" s="54"/>
      <c r="X634" s="55" t="str">
        <f t="shared" si="288"/>
        <v/>
      </c>
      <c r="Z634" s="187"/>
      <c r="AB634" s="188"/>
      <c r="AD634" s="10" t="str">
        <f t="shared" si="289"/>
        <v/>
      </c>
      <c r="AE634" s="92" t="str">
        <f>+IF(OR($T$634="",X634="",X634="NO"),"",L634)</f>
        <v/>
      </c>
      <c r="AF634" s="92" t="str">
        <f>+IF(AE634="","",L634/$S$634)</f>
        <v/>
      </c>
    </row>
    <row r="635" spans="1:34" ht="36" customHeight="1" x14ac:dyDescent="0.2">
      <c r="B635" s="57" t="str">
        <f>"A"&amp;B622</f>
        <v>A37</v>
      </c>
      <c r="C635" s="382" t="str">
        <f>+$C$23</f>
        <v>¿CADA INTEGRANTE DE PROPONENTE PLURAL APORTAN CONTRATO?  (SI; NO; NA)</v>
      </c>
      <c r="D635" s="383"/>
      <c r="E635" s="383"/>
      <c r="F635" s="383"/>
      <c r="G635" s="383"/>
      <c r="H635" s="384"/>
      <c r="I635" s="217" t="str">
        <f>+IF(AG622="","",IF(AG622=1,"NA",IF(AND(AG622=3,(IF(COUNTIFS(C625:C634,AH625,AE625:AE634,"&gt;0")&gt;=1,1,0)+IF(COUNTIFS(C625:C634,AH626,AE625:AE634,"&gt;0")&gt;=1,1,0)+IF(COUNTIFS(C625:C634,AH627,AE625:AE634,"&gt;0")&gt;=1,1,0))&gt;=AG622),"SI",IF(AND(AG622=2,(IF(COUNTIFS(C625:C634,AH625,AE625:AE634,"&gt;0")&gt;=1,1,0)+IF(COUNTIFS(C625:C634,AH626,AE625:AE634,"&gt;0")&gt;=1,1,0))&gt;=AG622),"SI","NO"))))</f>
        <v/>
      </c>
      <c r="J635" s="59"/>
      <c r="K635" s="27"/>
      <c r="L635" s="27"/>
      <c r="M635" s="27"/>
      <c r="N635" s="27"/>
      <c r="O635" s="27"/>
      <c r="P635" s="385" t="str">
        <f>+$P$23</f>
        <v>FACTURACION MENSUAL TOTAL</v>
      </c>
      <c r="Q635" s="386"/>
      <c r="R635" s="386"/>
      <c r="S635" s="386"/>
      <c r="T635" s="189">
        <f>ROUND(SUM(T625:T634),3)</f>
        <v>0</v>
      </c>
      <c r="U635" s="60"/>
      <c r="V635" s="1"/>
      <c r="W635" s="61"/>
      <c r="X635" s="61"/>
      <c r="Y635" s="61"/>
      <c r="Z635" s="61"/>
      <c r="AA635" s="61"/>
      <c r="AB635" s="61"/>
    </row>
    <row r="636" spans="1:34" ht="38.25" customHeight="1" thickBot="1" x14ac:dyDescent="0.25">
      <c r="B636" s="57" t="str">
        <f>"B"&amp;B622</f>
        <v>B37</v>
      </c>
      <c r="C636" s="387" t="str">
        <f>+C619</f>
        <v>En caso de proponente plural: ¿De la totalidad de los contratos aportados por el proponente plural, el valor ejecutado de uno de ellos deberá ser igual o superior al 30% del P.O.?  (SI; NO; NA)</v>
      </c>
      <c r="D636" s="388"/>
      <c r="E636" s="388"/>
      <c r="F636" s="388"/>
      <c r="G636" s="389"/>
      <c r="H636" s="190">
        <f>+$H$6</f>
        <v>268.14722506074827</v>
      </c>
      <c r="I636" s="191" t="str">
        <f>+IF(AG622="","",IF(AG622=1,"NA",IF(AND(AG622&gt;1,(COUNTIFS(AD625:AD634,"SI",AE625:AE634,"&gt;0"))&gt;=1),"SI","NO")))</f>
        <v/>
      </c>
      <c r="J636" s="192"/>
      <c r="K636" s="193"/>
      <c r="L636" s="194"/>
      <c r="M636" s="194"/>
      <c r="N636" s="194"/>
      <c r="O636" s="194"/>
      <c r="P636" s="387" t="str">
        <f>+$P$24</f>
        <v>PROMEDIO FACTURACIÓN MENSUAL DEL PROPONENTE (PFMP)</v>
      </c>
      <c r="Q636" s="388"/>
      <c r="R636" s="388"/>
      <c r="S636" s="388"/>
      <c r="T636" s="195">
        <f t="array" ref="T636">IF(T635=0,0,ROUND(T635/(SUM(IF(FREQUENCY(A625:A634,A625:A634)&gt;0,1))),3))</f>
        <v>0</v>
      </c>
      <c r="U636" s="214"/>
      <c r="V636" s="1"/>
      <c r="W636" s="61"/>
      <c r="X636" s="61"/>
      <c r="Y636" s="61"/>
      <c r="Z636" s="61"/>
      <c r="AA636" s="61"/>
      <c r="AB636" s="61"/>
    </row>
    <row r="637" spans="1:34" ht="21" customHeight="1" thickBot="1" x14ac:dyDescent="0.25">
      <c r="B637" s="197" t="str">
        <f>"C"&amp;B622</f>
        <v>C37</v>
      </c>
      <c r="C637" s="349" t="str">
        <f>+$C$25</f>
        <v>PROPONENTE CUMPLE CON LAS ACTIVIDADES a) y b)? (SI; NO)</v>
      </c>
      <c r="D637" s="350"/>
      <c r="E637" s="350"/>
      <c r="F637" s="350"/>
      <c r="G637" s="350"/>
      <c r="H637" s="351"/>
      <c r="I637" s="198" t="str">
        <f>IF(C622="","",(IF(AND(COUNTIFS(X625:X634,"SI",Z625:Z634,"SI")&gt;=$Z$8,COUNTIFS(X625:X634,"SI",AB625:AB634,"SI")&gt;=$Z$8),"SI","NO")))</f>
        <v/>
      </c>
      <c r="J637" s="199"/>
      <c r="K637" s="200"/>
      <c r="L637" s="200"/>
      <c r="M637" s="200"/>
      <c r="N637" s="200"/>
      <c r="P637" s="378" t="str">
        <f>+$P$25</f>
        <v>VALOR PUNTAJE POR EXPERIENCIA DEL PROPONENTE</v>
      </c>
      <c r="Q637" s="379"/>
      <c r="R637" s="379"/>
      <c r="S637" s="380"/>
      <c r="T637" s="201" t="str">
        <f>IF(OR(C622="",'ASIGNACION DE PUNTAJES'!$C$5=""),"",VLOOKUP(B622,'ASIGNACION DE PUNTAJES'!$A$15:$G$69,7,FALSE))</f>
        <v/>
      </c>
      <c r="V637" s="202"/>
    </row>
    <row r="638" spans="1:34" ht="12" thickBot="1" x14ac:dyDescent="0.25"/>
    <row r="639" spans="1:34" ht="36.75" customHeight="1" thickBot="1" x14ac:dyDescent="0.25">
      <c r="B639" s="23">
        <f>1+B622</f>
        <v>38</v>
      </c>
      <c r="C639" s="336" t="s">
        <v>932</v>
      </c>
      <c r="D639" s="337"/>
      <c r="E639" s="337"/>
      <c r="F639" s="337"/>
      <c r="G639" s="337"/>
      <c r="H639" s="337"/>
      <c r="I639" s="338"/>
      <c r="J639" s="24" t="str">
        <f>+IF(C639="","","INTEGRANTES")</f>
        <v/>
      </c>
      <c r="K639" s="339" t="s">
        <v>932</v>
      </c>
      <c r="L639" s="339"/>
      <c r="M639" s="339"/>
      <c r="N639" s="339"/>
      <c r="O639" s="339"/>
      <c r="P639" s="339"/>
      <c r="Q639" s="339"/>
      <c r="R639" s="396" t="str">
        <f>+$R$10</f>
        <v>PROPONENTE No.</v>
      </c>
      <c r="S639" s="397"/>
      <c r="T639" s="25">
        <f>+B639</f>
        <v>38</v>
      </c>
      <c r="U639" s="161" t="str">
        <f>+$U$10</f>
        <v>PFMP</v>
      </c>
      <c r="V639" s="162">
        <f>IF(T653="",0,T653)</f>
        <v>0</v>
      </c>
      <c r="X639" s="325" t="s">
        <v>168</v>
      </c>
      <c r="Z639" s="163" t="str">
        <f>+$Z$10</f>
        <v>EXP. ESPECÍFICA 
A:</v>
      </c>
      <c r="AB639" s="163" t="str">
        <f>+$AB$10</f>
        <v>EXP. ESPECÍFICA 
B:</v>
      </c>
      <c r="AG639" s="1" t="s">
        <v>932</v>
      </c>
    </row>
    <row r="640" spans="1:34" ht="42" customHeight="1" x14ac:dyDescent="0.2">
      <c r="B640" s="331" t="str">
        <f>+$B$11</f>
        <v>ITEM</v>
      </c>
      <c r="C640" s="318" t="str">
        <f>+$C$11</f>
        <v>PROPONENTE 
/ 
INTEGRANTE OFERENTE PLURAL</v>
      </c>
      <c r="D640" s="333" t="str">
        <f>+$D$11</f>
        <v>INFORMACIÓN DEL CONTRATO</v>
      </c>
      <c r="E640" s="334"/>
      <c r="F640" s="334"/>
      <c r="G640" s="335"/>
      <c r="H640" s="318" t="str">
        <f>+H623</f>
        <v>CONSECUTIVO RUP</v>
      </c>
      <c r="I640" s="318" t="str">
        <f>+$I$11</f>
        <v>¿SE ENCUENTRA INSCRITO EN EL RUP Y CUMPLE CÓDIGOS UNSPSC?</v>
      </c>
      <c r="J640" s="318" t="str">
        <f>+$J$11</f>
        <v xml:space="preserve">VALOR EN RUP (SMMLV) </v>
      </c>
      <c r="K640" s="318" t="str">
        <f>+$K$11</f>
        <v>% PARTIC en el RUP</v>
      </c>
      <c r="L640" s="318" t="str">
        <f>+$L$11</f>
        <v>VALOR DEL CONTRATO TERMINADO (SMMLV) en el   RUP</v>
      </c>
      <c r="M640" s="318" t="str">
        <f>+$M$11</f>
        <v>FECHA DE INICIO</v>
      </c>
      <c r="N640" s="318" t="str">
        <f>+$N$11</f>
        <v>FECHA DE TERMINACION</v>
      </c>
      <c r="O640" s="318" t="str">
        <f>+$O$11</f>
        <v>PLAZO CONTRA-TO (Meses)</v>
      </c>
      <c r="P640" s="390" t="str">
        <f>+$P$11</f>
        <v>Tsusp i</v>
      </c>
      <c r="Q640" s="391"/>
      <c r="R640" s="392"/>
      <c r="S640" s="318" t="str">
        <f>+$S$11</f>
        <v>PLAZO i REAL</v>
      </c>
      <c r="T640" s="318" t="str">
        <f>+$T$11</f>
        <v>FACTURA-CION MENSUAL PROPO-NENTE</v>
      </c>
      <c r="U640" s="318" t="str">
        <f>+$U$11</f>
        <v>VALIDACIÓN DE LA EXPERIENCIA GENERAL
(SI/NO)</v>
      </c>
      <c r="V640" s="393" t="str">
        <f>+$V$11</f>
        <v>OBSERVACIONES</v>
      </c>
      <c r="X640" s="326"/>
      <c r="Z640" s="381" t="str">
        <f>+$Z$11</f>
        <v>Interventoria a la ejecución de obras relacionadas con Colocación de capas granulares (tales como bases y/o sub-bases granulares).</v>
      </c>
      <c r="AB640" s="381" t="str">
        <f>+$AB$11</f>
        <v>Interventoria a la Ejecución de obras de subdrenaje y/o drenaje, en carreteras.</v>
      </c>
    </row>
    <row r="641" spans="1:34" ht="38.25" customHeight="1" thickBot="1" x14ac:dyDescent="0.25">
      <c r="B641" s="395"/>
      <c r="C641" s="348"/>
      <c r="D641" s="165" t="str">
        <f>+$D$12</f>
        <v>ENTIDAD</v>
      </c>
      <c r="E641" s="165" t="str">
        <f>+$E$12</f>
        <v>No. DE CONTRATO</v>
      </c>
      <c r="F641" s="165" t="str">
        <f>+$F$12</f>
        <v>OBJETO</v>
      </c>
      <c r="G641" s="165" t="str">
        <f>+$G$12</f>
        <v>CONTRATISTA</v>
      </c>
      <c r="H641" s="348"/>
      <c r="I641" s="348"/>
      <c r="J641" s="348"/>
      <c r="K641" s="348"/>
      <c r="L641" s="348"/>
      <c r="M641" s="348"/>
      <c r="N641" s="348"/>
      <c r="O641" s="348"/>
      <c r="P641" s="166" t="str">
        <f>+P624</f>
        <v>Finicsuspi</v>
      </c>
      <c r="Q641" s="166" t="str">
        <f>+Q624</f>
        <v xml:space="preserve"> Ftermsuspi </v>
      </c>
      <c r="R641" s="166" t="str">
        <f>+R624</f>
        <v>Tsusp i (meses)</v>
      </c>
      <c r="S641" s="348"/>
      <c r="T641" s="348"/>
      <c r="U641" s="348"/>
      <c r="V641" s="394"/>
      <c r="X641" s="327"/>
      <c r="Z641" s="381"/>
      <c r="AB641" s="381"/>
    </row>
    <row r="642" spans="1:34" s="27" customFormat="1" ht="12.75" x14ac:dyDescent="0.2">
      <c r="A642" s="27" t="str">
        <f>+IF(T642="","",B642)</f>
        <v/>
      </c>
      <c r="B642" s="28">
        <v>1</v>
      </c>
      <c r="C642" s="86"/>
      <c r="D642" s="86"/>
      <c r="E642" s="87"/>
      <c r="F642" s="87"/>
      <c r="G642" s="86"/>
      <c r="H642" s="30"/>
      <c r="I642" s="31"/>
      <c r="J642" s="32"/>
      <c r="K642" s="33"/>
      <c r="L642" s="34">
        <f>IF(OR(H642="",I642&lt;&gt;"SI",I642="NO",J642="",J642=0,K642="",K642=0,X642&lt;&gt;"SI"),0,J642*K642)</f>
        <v>0</v>
      </c>
      <c r="M642" s="204"/>
      <c r="N642" s="204"/>
      <c r="O642" s="169" t="str">
        <f>IF(OR(H642="",I642&lt;&gt;"SI",I642="NO",J642="",J642=0,K642="",K642=0,,M642="",N642=""),"",ROUND((((N642-M642)+1)/30),3))</f>
        <v/>
      </c>
      <c r="P642" s="204"/>
      <c r="Q642" s="204"/>
      <c r="R642" s="170">
        <f>IF(OR((Q642-P642)=0,P642="",Q642=""),0,(ROUND((((Q642-P642)+1)/30),3)))</f>
        <v>0</v>
      </c>
      <c r="S642" s="171" t="str">
        <f>IF(O642="","",ROUND(SUM(O642)-SUM(R642),3))</f>
        <v/>
      </c>
      <c r="T642" s="172" t="str">
        <f>+IF(C642="","",IF(OR(S642="",S642&lt;=0,I642="",I642="NO",U642="",U642="NO",X642="NO"),"",ROUND(SUM(L642)/S642,3)))</f>
        <v/>
      </c>
      <c r="U642" s="35"/>
      <c r="V642" s="36"/>
      <c r="W642" s="205"/>
      <c r="X642" s="37" t="str">
        <f t="shared" ref="X642:X651" si="296">+IF(C642="","",IF(AND(H642&lt;&gt;"",I642="SI",J642&lt;&gt;"",J642&gt;0,K642&lt;&gt;"",K642&gt;0,S642&lt;&gt;"",S642&gt;0,U642="SI"),"SI","NO"))</f>
        <v/>
      </c>
      <c r="Z642" s="173"/>
      <c r="AB642" s="173"/>
      <c r="AD642" s="10" t="str">
        <f t="shared" ref="AD642:AD651" si="297">+IF($C$639="","",IF(C642="","",IF(L642&gt;=$H$6,"SI","NO")))</f>
        <v/>
      </c>
      <c r="AE642" s="92" t="str">
        <f>+IF(OR($T$642="",X642="",X642="NO"),"",L642)</f>
        <v/>
      </c>
      <c r="AF642" s="92" t="str">
        <f>+IF(AE642="","",L642/$S$642)</f>
        <v/>
      </c>
      <c r="AG642" s="174">
        <f>0.1+B639</f>
        <v>38.1</v>
      </c>
      <c r="AH642" s="27" t="s">
        <v>932</v>
      </c>
    </row>
    <row r="643" spans="1:34" s="27" customFormat="1" ht="12.75" x14ac:dyDescent="0.2">
      <c r="A643" s="27" t="str">
        <f t="shared" ref="A643:A651" si="298">+IF(T643="","",B643)</f>
        <v/>
      </c>
      <c r="B643" s="38">
        <v>2</v>
      </c>
      <c r="C643" s="39"/>
      <c r="D643" s="39"/>
      <c r="E643" s="46"/>
      <c r="F643" s="46"/>
      <c r="G643" s="39"/>
      <c r="H643" s="40"/>
      <c r="I643" s="41"/>
      <c r="J643" s="42"/>
      <c r="K643" s="43"/>
      <c r="L643" s="44">
        <f t="shared" ref="L643:L651" si="299">IF(OR(H643="",I643&lt;&gt;"SI",I643="NO",J643="",J643=0,K643="",K643=0,X643&lt;&gt;"SI"),0,J643*K643)</f>
        <v>0</v>
      </c>
      <c r="M643" s="206"/>
      <c r="N643" s="206"/>
      <c r="O643" s="207" t="str">
        <f t="shared" ref="O643:O651" si="300">IF(OR(H643="",I643&lt;&gt;"SI",I643="NO",J643="",J643=0,K643="",K643=0,,M643="",N643=""),"",ROUND((((N643-M643)+1)/30),3))</f>
        <v/>
      </c>
      <c r="P643" s="206"/>
      <c r="Q643" s="206"/>
      <c r="R643" s="177">
        <f t="shared" ref="R643:R651" si="301">IF(OR((Q643-P643)=0,P643="",Q643=""),0,(ROUND((((Q643-P643)+1)/30),3)))</f>
        <v>0</v>
      </c>
      <c r="S643" s="178" t="str">
        <f t="shared" ref="S643:S651" si="302">IF(O643="","",ROUND(SUM(O643)-SUM(R643),3))</f>
        <v/>
      </c>
      <c r="T643" s="208" t="str">
        <f t="shared" ref="T643:T651" si="303">+IF(C643="","",IF(OR(S643="",S643&lt;=0,I643="",I643="NO",U643="",U643="NO",X643="NO"),"",ROUND(SUM(L643)/S643,3)))</f>
        <v/>
      </c>
      <c r="U643" s="41"/>
      <c r="V643" s="209"/>
      <c r="W643" s="205"/>
      <c r="X643" s="37" t="str">
        <f t="shared" si="296"/>
        <v/>
      </c>
      <c r="Z643" s="173"/>
      <c r="AB643" s="173"/>
      <c r="AD643" s="10" t="str">
        <f t="shared" si="297"/>
        <v/>
      </c>
      <c r="AE643" s="92" t="str">
        <f>+IF(OR($T$643="",X643="",X643="NO"),"",L643)</f>
        <v/>
      </c>
      <c r="AF643" s="92" t="str">
        <f>+IF(AE643="","",L643/$S$643)</f>
        <v/>
      </c>
      <c r="AG643" s="174">
        <f>0.2+B639</f>
        <v>38.200000000000003</v>
      </c>
      <c r="AH643" s="27" t="s">
        <v>932</v>
      </c>
    </row>
    <row r="644" spans="1:34" s="27" customFormat="1" ht="12.75" x14ac:dyDescent="0.2">
      <c r="A644" s="27" t="str">
        <f t="shared" si="298"/>
        <v/>
      </c>
      <c r="B644" s="38">
        <v>3</v>
      </c>
      <c r="C644" s="39"/>
      <c r="D644" s="39"/>
      <c r="E644" s="46"/>
      <c r="F644" s="46"/>
      <c r="G644" s="39"/>
      <c r="H644" s="40"/>
      <c r="I644" s="41"/>
      <c r="J644" s="42"/>
      <c r="K644" s="43"/>
      <c r="L644" s="44">
        <f t="shared" si="299"/>
        <v>0</v>
      </c>
      <c r="M644" s="206"/>
      <c r="N644" s="206"/>
      <c r="O644" s="207" t="str">
        <f t="shared" si="300"/>
        <v/>
      </c>
      <c r="P644" s="206"/>
      <c r="Q644" s="206"/>
      <c r="R644" s="177">
        <f t="shared" si="301"/>
        <v>0</v>
      </c>
      <c r="S644" s="178" t="str">
        <f t="shared" si="302"/>
        <v/>
      </c>
      <c r="T644" s="208" t="str">
        <f t="shared" si="303"/>
        <v/>
      </c>
      <c r="U644" s="41"/>
      <c r="V644" s="45"/>
      <c r="W644" s="205"/>
      <c r="X644" s="37" t="str">
        <f t="shared" si="296"/>
        <v/>
      </c>
      <c r="Z644" s="173"/>
      <c r="AB644" s="173"/>
      <c r="AD644" s="10" t="str">
        <f t="shared" si="297"/>
        <v/>
      </c>
      <c r="AE644" s="92" t="str">
        <f>+IF(OR($T$644="",X644="",X644="NO"),"",L644)</f>
        <v/>
      </c>
      <c r="AF644" s="92" t="str">
        <f>+IF(AE644="","",L644/$S$644)</f>
        <v/>
      </c>
      <c r="AG644" s="174">
        <f>0.3+B639</f>
        <v>38.299999999999997</v>
      </c>
      <c r="AH644" s="27" t="s">
        <v>932</v>
      </c>
    </row>
    <row r="645" spans="1:34" s="27" customFormat="1" ht="12.75" x14ac:dyDescent="0.2">
      <c r="A645" s="27" t="str">
        <f t="shared" si="298"/>
        <v/>
      </c>
      <c r="B645" s="38">
        <v>4</v>
      </c>
      <c r="C645" s="39"/>
      <c r="D645" s="39"/>
      <c r="E645" s="46"/>
      <c r="F645" s="46"/>
      <c r="G645" s="39"/>
      <c r="H645" s="40"/>
      <c r="I645" s="41"/>
      <c r="J645" s="42"/>
      <c r="K645" s="43"/>
      <c r="L645" s="44">
        <f t="shared" si="299"/>
        <v>0</v>
      </c>
      <c r="M645" s="206"/>
      <c r="N645" s="206"/>
      <c r="O645" s="207" t="str">
        <f t="shared" si="300"/>
        <v/>
      </c>
      <c r="P645" s="206"/>
      <c r="Q645" s="206"/>
      <c r="R645" s="177">
        <f t="shared" si="301"/>
        <v>0</v>
      </c>
      <c r="S645" s="178" t="str">
        <f t="shared" si="302"/>
        <v/>
      </c>
      <c r="T645" s="208" t="str">
        <f t="shared" si="303"/>
        <v/>
      </c>
      <c r="U645" s="41"/>
      <c r="V645" s="45"/>
      <c r="W645" s="210"/>
      <c r="X645" s="37" t="str">
        <f t="shared" si="296"/>
        <v/>
      </c>
      <c r="Z645" s="180"/>
      <c r="AB645" s="173"/>
      <c r="AD645" s="10" t="str">
        <f t="shared" si="297"/>
        <v/>
      </c>
      <c r="AE645" s="92" t="str">
        <f>+IF(OR($T$645="",X645="",X645="NO"),"",L645)</f>
        <v/>
      </c>
      <c r="AF645" s="92" t="str">
        <f>+IF(AE645="","",L645/$S$645)</f>
        <v/>
      </c>
      <c r="AG645" s="174"/>
    </row>
    <row r="646" spans="1:34" s="27" customFormat="1" ht="12.75" x14ac:dyDescent="0.2">
      <c r="A646" s="27" t="str">
        <f t="shared" si="298"/>
        <v/>
      </c>
      <c r="B646" s="38">
        <v>5</v>
      </c>
      <c r="C646" s="39"/>
      <c r="D646" s="39"/>
      <c r="E646" s="46"/>
      <c r="F646" s="46"/>
      <c r="G646" s="39"/>
      <c r="H646" s="40"/>
      <c r="I646" s="41"/>
      <c r="J646" s="42"/>
      <c r="K646" s="43"/>
      <c r="L646" s="44">
        <f t="shared" si="299"/>
        <v>0</v>
      </c>
      <c r="M646" s="206"/>
      <c r="N646" s="206"/>
      <c r="O646" s="207" t="str">
        <f t="shared" si="300"/>
        <v/>
      </c>
      <c r="P646" s="206"/>
      <c r="Q646" s="206"/>
      <c r="R646" s="177">
        <f t="shared" si="301"/>
        <v>0</v>
      </c>
      <c r="S646" s="178" t="str">
        <f t="shared" si="302"/>
        <v/>
      </c>
      <c r="T646" s="208" t="str">
        <f t="shared" si="303"/>
        <v/>
      </c>
      <c r="U646" s="41"/>
      <c r="V646" s="45"/>
      <c r="X646" s="37" t="str">
        <f t="shared" si="296"/>
        <v/>
      </c>
      <c r="Z646" s="181"/>
      <c r="AB646" s="173"/>
      <c r="AD646" s="10" t="str">
        <f t="shared" si="297"/>
        <v/>
      </c>
      <c r="AE646" s="92" t="str">
        <f>+IF(OR($T$646="",X646="",X646="NO"),"",L646)</f>
        <v/>
      </c>
      <c r="AF646" s="92" t="str">
        <f>+IF(AE646="","",L646/$S$646)</f>
        <v/>
      </c>
      <c r="AG646" s="174"/>
    </row>
    <row r="647" spans="1:34" s="27" customFormat="1" ht="12.75" x14ac:dyDescent="0.2">
      <c r="A647" s="27" t="str">
        <f t="shared" si="298"/>
        <v/>
      </c>
      <c r="B647" s="38">
        <v>6</v>
      </c>
      <c r="C647" s="39"/>
      <c r="D647" s="39"/>
      <c r="E647" s="46"/>
      <c r="F647" s="46"/>
      <c r="G647" s="39"/>
      <c r="H647" s="40"/>
      <c r="I647" s="41"/>
      <c r="J647" s="42"/>
      <c r="K647" s="43"/>
      <c r="L647" s="44">
        <f t="shared" si="299"/>
        <v>0</v>
      </c>
      <c r="M647" s="206"/>
      <c r="N647" s="206"/>
      <c r="O647" s="207" t="str">
        <f t="shared" si="300"/>
        <v/>
      </c>
      <c r="P647" s="206"/>
      <c r="Q647" s="206"/>
      <c r="R647" s="177">
        <f t="shared" si="301"/>
        <v>0</v>
      </c>
      <c r="S647" s="178" t="str">
        <f t="shared" si="302"/>
        <v/>
      </c>
      <c r="T647" s="208" t="str">
        <f t="shared" si="303"/>
        <v/>
      </c>
      <c r="U647" s="41"/>
      <c r="V647" s="45"/>
      <c r="X647" s="37" t="str">
        <f t="shared" si="296"/>
        <v/>
      </c>
      <c r="Z647" s="181"/>
      <c r="AB647" s="173"/>
      <c r="AD647" s="10" t="str">
        <f t="shared" si="297"/>
        <v/>
      </c>
      <c r="AE647" s="92" t="str">
        <f>+IF(OR($T$647="",X647="",X647="NO"),"",L647)</f>
        <v/>
      </c>
      <c r="AF647" s="92" t="str">
        <f>+IF(AE647="","",L647/$S$647)</f>
        <v/>
      </c>
      <c r="AG647" s="174"/>
    </row>
    <row r="648" spans="1:34" s="27" customFormat="1" ht="12.75" x14ac:dyDescent="0.2">
      <c r="A648" s="27" t="str">
        <f t="shared" si="298"/>
        <v/>
      </c>
      <c r="B648" s="38">
        <v>7</v>
      </c>
      <c r="C648" s="39"/>
      <c r="D648" s="39"/>
      <c r="E648" s="46"/>
      <c r="F648" s="46"/>
      <c r="G648" s="39"/>
      <c r="H648" s="40"/>
      <c r="I648" s="41"/>
      <c r="J648" s="42"/>
      <c r="K648" s="43"/>
      <c r="L648" s="44">
        <f t="shared" si="299"/>
        <v>0</v>
      </c>
      <c r="M648" s="206"/>
      <c r="N648" s="206"/>
      <c r="O648" s="207" t="str">
        <f t="shared" si="300"/>
        <v/>
      </c>
      <c r="P648" s="206"/>
      <c r="Q648" s="206"/>
      <c r="R648" s="177">
        <f t="shared" si="301"/>
        <v>0</v>
      </c>
      <c r="S648" s="178" t="str">
        <f t="shared" si="302"/>
        <v/>
      </c>
      <c r="T648" s="208" t="str">
        <f t="shared" si="303"/>
        <v/>
      </c>
      <c r="U648" s="41"/>
      <c r="V648" s="45"/>
      <c r="X648" s="37" t="str">
        <f t="shared" si="296"/>
        <v/>
      </c>
      <c r="Z648" s="181"/>
      <c r="AB648" s="173"/>
      <c r="AD648" s="10" t="str">
        <f t="shared" si="297"/>
        <v/>
      </c>
      <c r="AE648" s="92" t="str">
        <f>+IF(OR($T$648="",X648="",X648="NO"),"",L648)</f>
        <v/>
      </c>
      <c r="AF648" s="92" t="str">
        <f>+IF(AE648="","",L648/$S$648)</f>
        <v/>
      </c>
      <c r="AG648" s="174"/>
    </row>
    <row r="649" spans="1:34" s="27" customFormat="1" ht="12.75" x14ac:dyDescent="0.2">
      <c r="A649" s="27" t="str">
        <f t="shared" si="298"/>
        <v/>
      </c>
      <c r="B649" s="38">
        <v>8</v>
      </c>
      <c r="C649" s="39"/>
      <c r="D649" s="39"/>
      <c r="E649" s="46"/>
      <c r="F649" s="46"/>
      <c r="G649" s="39"/>
      <c r="H649" s="40"/>
      <c r="I649" s="41"/>
      <c r="J649" s="42"/>
      <c r="K649" s="43"/>
      <c r="L649" s="44">
        <f t="shared" si="299"/>
        <v>0</v>
      </c>
      <c r="M649" s="206"/>
      <c r="N649" s="206"/>
      <c r="O649" s="207" t="str">
        <f t="shared" si="300"/>
        <v/>
      </c>
      <c r="P649" s="206"/>
      <c r="Q649" s="206"/>
      <c r="R649" s="177">
        <f t="shared" si="301"/>
        <v>0</v>
      </c>
      <c r="S649" s="178" t="str">
        <f t="shared" si="302"/>
        <v/>
      </c>
      <c r="T649" s="208" t="str">
        <f t="shared" si="303"/>
        <v/>
      </c>
      <c r="U649" s="41"/>
      <c r="V649" s="45"/>
      <c r="X649" s="37" t="str">
        <f t="shared" si="296"/>
        <v/>
      </c>
      <c r="Z649" s="181"/>
      <c r="AB649" s="173"/>
      <c r="AD649" s="10" t="str">
        <f t="shared" si="297"/>
        <v/>
      </c>
      <c r="AE649" s="92" t="str">
        <f>+IF(OR($T$649="",X649="",X649="NO"),"",L649)</f>
        <v/>
      </c>
      <c r="AF649" s="92" t="str">
        <f>+IF(AE649="","",L649/$S$649)</f>
        <v/>
      </c>
      <c r="AG649" s="174"/>
    </row>
    <row r="650" spans="1:34" s="27" customFormat="1" ht="12.75" x14ac:dyDescent="0.2">
      <c r="A650" s="27" t="str">
        <f t="shared" si="298"/>
        <v/>
      </c>
      <c r="B650" s="38">
        <v>9</v>
      </c>
      <c r="C650" s="39"/>
      <c r="D650" s="39"/>
      <c r="E650" s="46"/>
      <c r="F650" s="46"/>
      <c r="G650" s="39"/>
      <c r="H650" s="40"/>
      <c r="I650" s="41"/>
      <c r="J650" s="42"/>
      <c r="K650" s="43"/>
      <c r="L650" s="44">
        <f t="shared" si="299"/>
        <v>0</v>
      </c>
      <c r="M650" s="206"/>
      <c r="N650" s="206"/>
      <c r="O650" s="207" t="str">
        <f t="shared" si="300"/>
        <v/>
      </c>
      <c r="P650" s="206"/>
      <c r="Q650" s="206"/>
      <c r="R650" s="177">
        <f t="shared" si="301"/>
        <v>0</v>
      </c>
      <c r="S650" s="178" t="str">
        <f t="shared" si="302"/>
        <v/>
      </c>
      <c r="T650" s="208" t="str">
        <f t="shared" si="303"/>
        <v/>
      </c>
      <c r="U650" s="41"/>
      <c r="V650" s="45"/>
      <c r="X650" s="37" t="str">
        <f t="shared" si="296"/>
        <v/>
      </c>
      <c r="Z650" s="181"/>
      <c r="AB650" s="173"/>
      <c r="AD650" s="10" t="str">
        <f t="shared" si="297"/>
        <v/>
      </c>
      <c r="AE650" s="92" t="str">
        <f>+IF(OR($T$650="",X650="",X650="NO"),"",L650)</f>
        <v/>
      </c>
      <c r="AF650" s="92" t="str">
        <f>+IF(AE650="","",L650/$S$650)</f>
        <v/>
      </c>
      <c r="AG650" s="174"/>
    </row>
    <row r="651" spans="1:34" s="27" customFormat="1" ht="13.5" thickBot="1" x14ac:dyDescent="0.25">
      <c r="A651" s="27" t="str">
        <f t="shared" si="298"/>
        <v/>
      </c>
      <c r="B651" s="47">
        <v>10</v>
      </c>
      <c r="C651" s="48"/>
      <c r="D651" s="48"/>
      <c r="E651" s="49"/>
      <c r="F651" s="49"/>
      <c r="G651" s="48"/>
      <c r="H651" s="50"/>
      <c r="I651" s="51"/>
      <c r="J651" s="14"/>
      <c r="K651" s="52"/>
      <c r="L651" s="53">
        <f t="shared" si="299"/>
        <v>0</v>
      </c>
      <c r="M651" s="211"/>
      <c r="N651" s="211"/>
      <c r="O651" s="212" t="str">
        <f t="shared" si="300"/>
        <v/>
      </c>
      <c r="P651" s="211"/>
      <c r="Q651" s="211"/>
      <c r="R651" s="184">
        <f t="shared" si="301"/>
        <v>0</v>
      </c>
      <c r="S651" s="185" t="str">
        <f t="shared" si="302"/>
        <v/>
      </c>
      <c r="T651" s="213" t="str">
        <f t="shared" si="303"/>
        <v/>
      </c>
      <c r="U651" s="51"/>
      <c r="V651" s="54"/>
      <c r="X651" s="55" t="str">
        <f t="shared" si="296"/>
        <v/>
      </c>
      <c r="Z651" s="187"/>
      <c r="AB651" s="188"/>
      <c r="AD651" s="10" t="str">
        <f t="shared" si="297"/>
        <v/>
      </c>
      <c r="AE651" s="92" t="str">
        <f>+IF(OR($T$651="",X651="",X651="NO"),"",L651)</f>
        <v/>
      </c>
      <c r="AF651" s="92" t="str">
        <f>+IF(AE651="","",L651/$S$651)</f>
        <v/>
      </c>
    </row>
    <row r="652" spans="1:34" ht="36" customHeight="1" x14ac:dyDescent="0.2">
      <c r="B652" s="57" t="str">
        <f>"A"&amp;B639</f>
        <v>A38</v>
      </c>
      <c r="C652" s="382" t="str">
        <f>+$C$23</f>
        <v>¿CADA INTEGRANTE DE PROPONENTE PLURAL APORTAN CONTRATO?  (SI; NO; NA)</v>
      </c>
      <c r="D652" s="383"/>
      <c r="E652" s="383"/>
      <c r="F652" s="383"/>
      <c r="G652" s="383"/>
      <c r="H652" s="384"/>
      <c r="I652" s="217" t="str">
        <f>+IF(AG639="","",IF(AG639=1,"NA",IF(AND(AG639=3,(IF(COUNTIFS(C642:C651,AH642,AE642:AE651,"&gt;0")&gt;=1,1,0)+IF(COUNTIFS(C642:C651,AH643,AE642:AE651,"&gt;0")&gt;=1,1,0)+IF(COUNTIFS(C642:C651,AH644,AE642:AE651,"&gt;0")&gt;=1,1,0))&gt;=AG639),"SI",IF(AND(AG639=2,(IF(COUNTIFS(C642:C651,AH642,AE642:AE651,"&gt;0")&gt;=1,1,0)+IF(COUNTIFS(C642:C651,AH643,AE642:AE651,"&gt;0")&gt;=1,1,0))&gt;=AG639),"SI","NO"))))</f>
        <v/>
      </c>
      <c r="J652" s="59"/>
      <c r="K652" s="27"/>
      <c r="L652" s="27"/>
      <c r="M652" s="27"/>
      <c r="N652" s="27"/>
      <c r="O652" s="27"/>
      <c r="P652" s="385" t="str">
        <f>+$P$23</f>
        <v>FACTURACION MENSUAL TOTAL</v>
      </c>
      <c r="Q652" s="386"/>
      <c r="R652" s="386"/>
      <c r="S652" s="386"/>
      <c r="T652" s="189">
        <f>ROUND(SUM(T642:T651),3)</f>
        <v>0</v>
      </c>
      <c r="U652" s="60"/>
      <c r="V652" s="1"/>
      <c r="W652" s="61"/>
      <c r="X652" s="61"/>
      <c r="Y652" s="61"/>
      <c r="Z652" s="61"/>
      <c r="AA652" s="61"/>
      <c r="AB652" s="61"/>
    </row>
    <row r="653" spans="1:34" ht="38.25" customHeight="1" thickBot="1" x14ac:dyDescent="0.25">
      <c r="B653" s="57" t="str">
        <f>"B"&amp;B639</f>
        <v>B38</v>
      </c>
      <c r="C653" s="387" t="str">
        <f>+C636</f>
        <v>En caso de proponente plural: ¿De la totalidad de los contratos aportados por el proponente plural, el valor ejecutado de uno de ellos deberá ser igual o superior al 30% del P.O.?  (SI; NO; NA)</v>
      </c>
      <c r="D653" s="388"/>
      <c r="E653" s="388"/>
      <c r="F653" s="388"/>
      <c r="G653" s="389"/>
      <c r="H653" s="190">
        <f>+$H$6</f>
        <v>268.14722506074827</v>
      </c>
      <c r="I653" s="191" t="str">
        <f>+IF(AG639="","",IF(AG639=1,"NA",IF(AND(AG639&gt;1,(COUNTIFS(AD642:AD651,"SI",AE642:AE651,"&gt;0"))&gt;=1),"SI","NO")))</f>
        <v/>
      </c>
      <c r="J653" s="192"/>
      <c r="K653" s="193"/>
      <c r="L653" s="194"/>
      <c r="M653" s="194"/>
      <c r="N653" s="194"/>
      <c r="O653" s="194"/>
      <c r="P653" s="387" t="str">
        <f>+$P$24</f>
        <v>PROMEDIO FACTURACIÓN MENSUAL DEL PROPONENTE (PFMP)</v>
      </c>
      <c r="Q653" s="388"/>
      <c r="R653" s="388"/>
      <c r="S653" s="388"/>
      <c r="T653" s="195">
        <f t="array" ref="T653">IF(T652=0,0,ROUND(T652/(SUM(IF(FREQUENCY(A642:A651,A642:A651)&gt;0,1))),3))</f>
        <v>0</v>
      </c>
      <c r="U653" s="214"/>
      <c r="V653" s="1"/>
      <c r="W653" s="61"/>
      <c r="X653" s="61"/>
      <c r="Y653" s="61"/>
      <c r="Z653" s="61"/>
      <c r="AA653" s="61"/>
      <c r="AB653" s="61"/>
    </row>
    <row r="654" spans="1:34" ht="21" customHeight="1" thickBot="1" x14ac:dyDescent="0.25">
      <c r="B654" s="197" t="str">
        <f>"C"&amp;B639</f>
        <v>C38</v>
      </c>
      <c r="C654" s="349" t="str">
        <f>+$C$25</f>
        <v>PROPONENTE CUMPLE CON LAS ACTIVIDADES a) y b)? (SI; NO)</v>
      </c>
      <c r="D654" s="350"/>
      <c r="E654" s="350"/>
      <c r="F654" s="350"/>
      <c r="G654" s="350"/>
      <c r="H654" s="351"/>
      <c r="I654" s="198" t="str">
        <f>IF(C639="","",(IF(AND(COUNTIFS(X642:X651,"SI",Z642:Z651,"SI")&gt;=$Z$8,COUNTIFS(X642:X651,"SI",AB642:AB651,"SI")&gt;=$Z$8),"SI","NO")))</f>
        <v/>
      </c>
      <c r="J654" s="199"/>
      <c r="K654" s="200"/>
      <c r="L654" s="200"/>
      <c r="M654" s="200"/>
      <c r="N654" s="200"/>
      <c r="P654" s="378" t="str">
        <f>+$P$25</f>
        <v>VALOR PUNTAJE POR EXPERIENCIA DEL PROPONENTE</v>
      </c>
      <c r="Q654" s="379"/>
      <c r="R654" s="379"/>
      <c r="S654" s="380"/>
      <c r="T654" s="201" t="str">
        <f>IF(OR(C639="",'ASIGNACION DE PUNTAJES'!$C$5=""),"",VLOOKUP(B639,'ASIGNACION DE PUNTAJES'!$A$15:$G$69,7,FALSE))</f>
        <v/>
      </c>
      <c r="V654" s="202"/>
    </row>
    <row r="655" spans="1:34" ht="12" thickBot="1" x14ac:dyDescent="0.25"/>
    <row r="656" spans="1:34" ht="36.75" customHeight="1" thickBot="1" x14ac:dyDescent="0.25">
      <c r="B656" s="23">
        <f>1+B639</f>
        <v>39</v>
      </c>
      <c r="C656" s="336" t="s">
        <v>932</v>
      </c>
      <c r="D656" s="337"/>
      <c r="E656" s="337"/>
      <c r="F656" s="337"/>
      <c r="G656" s="337"/>
      <c r="H656" s="337"/>
      <c r="I656" s="338"/>
      <c r="J656" s="24" t="str">
        <f>+IF(C656="","","INTEGRANTES")</f>
        <v/>
      </c>
      <c r="K656" s="339" t="s">
        <v>932</v>
      </c>
      <c r="L656" s="339"/>
      <c r="M656" s="339"/>
      <c r="N656" s="339"/>
      <c r="O656" s="339"/>
      <c r="P656" s="339"/>
      <c r="Q656" s="339"/>
      <c r="R656" s="396" t="str">
        <f>+$R$10</f>
        <v>PROPONENTE No.</v>
      </c>
      <c r="S656" s="397"/>
      <c r="T656" s="25">
        <f>+B656</f>
        <v>39</v>
      </c>
      <c r="U656" s="161" t="str">
        <f>+$U$10</f>
        <v>PFMP</v>
      </c>
      <c r="V656" s="162">
        <f>IF(T670="",0,T670)</f>
        <v>0</v>
      </c>
      <c r="X656" s="325" t="s">
        <v>168</v>
      </c>
      <c r="Z656" s="163" t="str">
        <f>+$Z$10</f>
        <v>EXP. ESPECÍFICA 
A:</v>
      </c>
      <c r="AB656" s="163" t="str">
        <f>+$AB$10</f>
        <v>EXP. ESPECÍFICA 
B:</v>
      </c>
      <c r="AG656" s="1" t="s">
        <v>932</v>
      </c>
    </row>
    <row r="657" spans="1:34" ht="42" customHeight="1" x14ac:dyDescent="0.2">
      <c r="B657" s="331" t="str">
        <f>+$B$11</f>
        <v>ITEM</v>
      </c>
      <c r="C657" s="318" t="str">
        <f>+$C$11</f>
        <v>PROPONENTE 
/ 
INTEGRANTE OFERENTE PLURAL</v>
      </c>
      <c r="D657" s="333" t="str">
        <f>+$D$11</f>
        <v>INFORMACIÓN DEL CONTRATO</v>
      </c>
      <c r="E657" s="334"/>
      <c r="F657" s="334"/>
      <c r="G657" s="335"/>
      <c r="H657" s="318" t="str">
        <f>+H640</f>
        <v>CONSECUTIVO RUP</v>
      </c>
      <c r="I657" s="318" t="str">
        <f>+$I$11</f>
        <v>¿SE ENCUENTRA INSCRITO EN EL RUP Y CUMPLE CÓDIGOS UNSPSC?</v>
      </c>
      <c r="J657" s="318" t="str">
        <f>+$J$11</f>
        <v xml:space="preserve">VALOR EN RUP (SMMLV) </v>
      </c>
      <c r="K657" s="318" t="str">
        <f>+$K$11</f>
        <v>% PARTIC en el RUP</v>
      </c>
      <c r="L657" s="318" t="str">
        <f>+$L$11</f>
        <v>VALOR DEL CONTRATO TERMINADO (SMMLV) en el   RUP</v>
      </c>
      <c r="M657" s="318" t="str">
        <f>+$M$11</f>
        <v>FECHA DE INICIO</v>
      </c>
      <c r="N657" s="318" t="str">
        <f>+$N$11</f>
        <v>FECHA DE TERMINACION</v>
      </c>
      <c r="O657" s="318" t="str">
        <f>+$O$11</f>
        <v>PLAZO CONTRA-TO (Meses)</v>
      </c>
      <c r="P657" s="390" t="str">
        <f>+$P$11</f>
        <v>Tsusp i</v>
      </c>
      <c r="Q657" s="391"/>
      <c r="R657" s="392"/>
      <c r="S657" s="318" t="str">
        <f>+$S$11</f>
        <v>PLAZO i REAL</v>
      </c>
      <c r="T657" s="318" t="str">
        <f>+$T$11</f>
        <v>FACTURA-CION MENSUAL PROPO-NENTE</v>
      </c>
      <c r="U657" s="318" t="str">
        <f>+$U$11</f>
        <v>VALIDACIÓN DE LA EXPERIENCIA GENERAL
(SI/NO)</v>
      </c>
      <c r="V657" s="393" t="str">
        <f>+$V$11</f>
        <v>OBSERVACIONES</v>
      </c>
      <c r="X657" s="326"/>
      <c r="Z657" s="381" t="str">
        <f>+$Z$11</f>
        <v>Interventoria a la ejecución de obras relacionadas con Colocación de capas granulares (tales como bases y/o sub-bases granulares).</v>
      </c>
      <c r="AB657" s="381" t="str">
        <f>+$AB$11</f>
        <v>Interventoria a la Ejecución de obras de subdrenaje y/o drenaje, en carreteras.</v>
      </c>
    </row>
    <row r="658" spans="1:34" ht="38.25" customHeight="1" thickBot="1" x14ac:dyDescent="0.25">
      <c r="B658" s="395"/>
      <c r="C658" s="348"/>
      <c r="D658" s="165" t="str">
        <f>+$D$12</f>
        <v>ENTIDAD</v>
      </c>
      <c r="E658" s="165" t="str">
        <f>+$E$12</f>
        <v>No. DE CONTRATO</v>
      </c>
      <c r="F658" s="165" t="str">
        <f>+$F$12</f>
        <v>OBJETO</v>
      </c>
      <c r="G658" s="165" t="str">
        <f>+$G$12</f>
        <v>CONTRATISTA</v>
      </c>
      <c r="H658" s="348"/>
      <c r="I658" s="348"/>
      <c r="J658" s="348"/>
      <c r="K658" s="348"/>
      <c r="L658" s="348"/>
      <c r="M658" s="348"/>
      <c r="N658" s="348"/>
      <c r="O658" s="348"/>
      <c r="P658" s="166" t="str">
        <f>+P641</f>
        <v>Finicsuspi</v>
      </c>
      <c r="Q658" s="166" t="str">
        <f>+Q641</f>
        <v xml:space="preserve"> Ftermsuspi </v>
      </c>
      <c r="R658" s="166" t="str">
        <f>+R641</f>
        <v>Tsusp i (meses)</v>
      </c>
      <c r="S658" s="348"/>
      <c r="T658" s="348"/>
      <c r="U658" s="348"/>
      <c r="V658" s="394"/>
      <c r="X658" s="327"/>
      <c r="Z658" s="381"/>
      <c r="AB658" s="381"/>
    </row>
    <row r="659" spans="1:34" s="27" customFormat="1" ht="12.75" x14ac:dyDescent="0.2">
      <c r="A659" s="27" t="str">
        <f>+IF(T659="","",B659)</f>
        <v/>
      </c>
      <c r="B659" s="28">
        <v>1</v>
      </c>
      <c r="C659" s="86"/>
      <c r="D659" s="86"/>
      <c r="E659" s="87"/>
      <c r="F659" s="87"/>
      <c r="G659" s="86"/>
      <c r="H659" s="30"/>
      <c r="I659" s="31"/>
      <c r="J659" s="32"/>
      <c r="K659" s="33"/>
      <c r="L659" s="34">
        <f>IF(OR(H659="",I659&lt;&gt;"SI",I659="NO",J659="",J659=0,K659="",K659=0,X659&lt;&gt;"SI"),0,J659*K659)</f>
        <v>0</v>
      </c>
      <c r="M659" s="204"/>
      <c r="N659" s="204"/>
      <c r="O659" s="169" t="str">
        <f>IF(OR(H659="",I659&lt;&gt;"SI",I659="NO",J659="",J659=0,K659="",K659=0,,M659="",N659=""),"",ROUND((((N659-M659)+1)/30),3))</f>
        <v/>
      </c>
      <c r="P659" s="204"/>
      <c r="Q659" s="204"/>
      <c r="R659" s="170">
        <f>IF(OR((Q659-P659)=0,P659="",Q659=""),0,(ROUND((((Q659-P659)+1)/30),3)))</f>
        <v>0</v>
      </c>
      <c r="S659" s="171" t="str">
        <f>IF(O659="","",ROUND(SUM(O659)-SUM(R659),3))</f>
        <v/>
      </c>
      <c r="T659" s="172" t="str">
        <f>+IF(C659="","",IF(OR(S659="",S659&lt;=0,I659="",I659="NO",U659="",U659="NO",X659="NO"),"",ROUND(SUM(L659)/S659,3)))</f>
        <v/>
      </c>
      <c r="U659" s="35"/>
      <c r="V659" s="36"/>
      <c r="W659" s="205"/>
      <c r="X659" s="37" t="str">
        <f t="shared" ref="X659:X668" si="304">+IF(C659="","",IF(AND(H659&lt;&gt;"",I659="SI",J659&lt;&gt;"",J659&gt;0,K659&lt;&gt;"",K659&gt;0,S659&lt;&gt;"",S659&gt;0,U659="SI"),"SI","NO"))</f>
        <v/>
      </c>
      <c r="Z659" s="173"/>
      <c r="AB659" s="173"/>
      <c r="AD659" s="10" t="str">
        <f t="shared" ref="AD659:AD668" si="305">+IF($C$656="","",IF(C659="","",IF(L659&gt;=$H$6,"SI","NO")))</f>
        <v/>
      </c>
      <c r="AE659" s="92" t="str">
        <f>+IF(OR($T$659="",X659="",X659="NO"),"",L659)</f>
        <v/>
      </c>
      <c r="AF659" s="92" t="str">
        <f>+IF(AE659="","",L659/$S$659)</f>
        <v/>
      </c>
      <c r="AG659" s="174">
        <f>0.1+B656</f>
        <v>39.1</v>
      </c>
      <c r="AH659" s="27" t="s">
        <v>932</v>
      </c>
    </row>
    <row r="660" spans="1:34" s="27" customFormat="1" ht="12.75" x14ac:dyDescent="0.2">
      <c r="A660" s="27" t="str">
        <f t="shared" ref="A660:A668" si="306">+IF(T660="","",B660)</f>
        <v/>
      </c>
      <c r="B660" s="38">
        <v>2</v>
      </c>
      <c r="C660" s="39"/>
      <c r="D660" s="39"/>
      <c r="E660" s="46"/>
      <c r="F660" s="46"/>
      <c r="G660" s="39"/>
      <c r="H660" s="40"/>
      <c r="I660" s="41"/>
      <c r="J660" s="42"/>
      <c r="K660" s="43"/>
      <c r="L660" s="44">
        <f t="shared" ref="L660:L668" si="307">IF(OR(H660="",I660&lt;&gt;"SI",I660="NO",J660="",J660=0,K660="",K660=0,X660&lt;&gt;"SI"),0,J660*K660)</f>
        <v>0</v>
      </c>
      <c r="M660" s="206"/>
      <c r="N660" s="206"/>
      <c r="O660" s="207" t="str">
        <f t="shared" ref="O660:O668" si="308">IF(OR(H660="",I660&lt;&gt;"SI",I660="NO",J660="",J660=0,K660="",K660=0,,M660="",N660=""),"",ROUND((((N660-M660)+1)/30),3))</f>
        <v/>
      </c>
      <c r="P660" s="206"/>
      <c r="Q660" s="206"/>
      <c r="R660" s="177">
        <f t="shared" ref="R660:R668" si="309">IF(OR((Q660-P660)=0,P660="",Q660=""),0,(ROUND((((Q660-P660)+1)/30),3)))</f>
        <v>0</v>
      </c>
      <c r="S660" s="178" t="str">
        <f t="shared" ref="S660:S668" si="310">IF(O660="","",ROUND(SUM(O660)-SUM(R660),3))</f>
        <v/>
      </c>
      <c r="T660" s="208" t="str">
        <f t="shared" ref="T660:T668" si="311">+IF(C660="","",IF(OR(S660="",S660&lt;=0,I660="",I660="NO",U660="",U660="NO",X660="NO"),"",ROUND(SUM(L660)/S660,3)))</f>
        <v/>
      </c>
      <c r="U660" s="41"/>
      <c r="V660" s="209"/>
      <c r="W660" s="205"/>
      <c r="X660" s="37" t="str">
        <f t="shared" si="304"/>
        <v/>
      </c>
      <c r="Z660" s="173"/>
      <c r="AB660" s="173"/>
      <c r="AD660" s="10" t="str">
        <f t="shared" si="305"/>
        <v/>
      </c>
      <c r="AE660" s="92" t="str">
        <f>+IF(OR($T$660="",X660="",X660="NO"),"",L660)</f>
        <v/>
      </c>
      <c r="AF660" s="92" t="str">
        <f>+IF(AE660="","",L660/$S$660)</f>
        <v/>
      </c>
      <c r="AG660" s="174">
        <f>0.2+B656</f>
        <v>39.200000000000003</v>
      </c>
      <c r="AH660" s="27" t="s">
        <v>932</v>
      </c>
    </row>
    <row r="661" spans="1:34" s="27" customFormat="1" ht="12.75" x14ac:dyDescent="0.2">
      <c r="A661" s="27" t="str">
        <f t="shared" si="306"/>
        <v/>
      </c>
      <c r="B661" s="38">
        <v>3</v>
      </c>
      <c r="C661" s="39"/>
      <c r="D661" s="39"/>
      <c r="E661" s="46"/>
      <c r="F661" s="46"/>
      <c r="G661" s="39"/>
      <c r="H661" s="40"/>
      <c r="I661" s="41"/>
      <c r="J661" s="42"/>
      <c r="K661" s="43"/>
      <c r="L661" s="44">
        <f t="shared" si="307"/>
        <v>0</v>
      </c>
      <c r="M661" s="206"/>
      <c r="N661" s="206"/>
      <c r="O661" s="207" t="str">
        <f t="shared" si="308"/>
        <v/>
      </c>
      <c r="P661" s="206"/>
      <c r="Q661" s="206"/>
      <c r="R661" s="177">
        <f t="shared" si="309"/>
        <v>0</v>
      </c>
      <c r="S661" s="178" t="str">
        <f t="shared" si="310"/>
        <v/>
      </c>
      <c r="T661" s="208" t="str">
        <f t="shared" si="311"/>
        <v/>
      </c>
      <c r="U661" s="41"/>
      <c r="V661" s="45"/>
      <c r="W661" s="205"/>
      <c r="X661" s="37" t="str">
        <f t="shared" si="304"/>
        <v/>
      </c>
      <c r="Z661" s="173"/>
      <c r="AB661" s="173"/>
      <c r="AD661" s="10" t="str">
        <f t="shared" si="305"/>
        <v/>
      </c>
      <c r="AE661" s="92" t="str">
        <f>+IF(OR($T$661="",X661="",X661="NO"),"",L661)</f>
        <v/>
      </c>
      <c r="AF661" s="92" t="str">
        <f>+IF(AE661="","",L661/$S$661)</f>
        <v/>
      </c>
      <c r="AG661" s="174">
        <f>0.3+B656</f>
        <v>39.299999999999997</v>
      </c>
      <c r="AH661" s="27" t="s">
        <v>932</v>
      </c>
    </row>
    <row r="662" spans="1:34" s="27" customFormat="1" ht="12.75" x14ac:dyDescent="0.2">
      <c r="A662" s="27" t="str">
        <f t="shared" si="306"/>
        <v/>
      </c>
      <c r="B662" s="38">
        <v>4</v>
      </c>
      <c r="C662" s="39"/>
      <c r="D662" s="39"/>
      <c r="E662" s="46"/>
      <c r="F662" s="46"/>
      <c r="G662" s="39"/>
      <c r="H662" s="40"/>
      <c r="I662" s="41"/>
      <c r="J662" s="42"/>
      <c r="K662" s="43"/>
      <c r="L662" s="44">
        <f t="shared" si="307"/>
        <v>0</v>
      </c>
      <c r="M662" s="206"/>
      <c r="N662" s="206"/>
      <c r="O662" s="207" t="str">
        <f t="shared" si="308"/>
        <v/>
      </c>
      <c r="P662" s="206"/>
      <c r="Q662" s="206"/>
      <c r="R662" s="177">
        <f t="shared" si="309"/>
        <v>0</v>
      </c>
      <c r="S662" s="178" t="str">
        <f t="shared" si="310"/>
        <v/>
      </c>
      <c r="T662" s="208" t="str">
        <f t="shared" si="311"/>
        <v/>
      </c>
      <c r="U662" s="41"/>
      <c r="V662" s="45"/>
      <c r="W662" s="210"/>
      <c r="X662" s="37" t="str">
        <f t="shared" si="304"/>
        <v/>
      </c>
      <c r="Z662" s="180"/>
      <c r="AB662" s="173"/>
      <c r="AD662" s="10" t="str">
        <f t="shared" si="305"/>
        <v/>
      </c>
      <c r="AE662" s="92" t="str">
        <f>+IF(OR($T$662="",X662="",X662="NO"),"",L662)</f>
        <v/>
      </c>
      <c r="AF662" s="92" t="str">
        <f>+IF(AE662="","",L662/$S$662)</f>
        <v/>
      </c>
      <c r="AG662" s="174"/>
    </row>
    <row r="663" spans="1:34" s="27" customFormat="1" ht="12.75" x14ac:dyDescent="0.2">
      <c r="A663" s="27" t="str">
        <f t="shared" si="306"/>
        <v/>
      </c>
      <c r="B663" s="38">
        <v>5</v>
      </c>
      <c r="C663" s="39"/>
      <c r="D663" s="39"/>
      <c r="E663" s="46"/>
      <c r="F663" s="46"/>
      <c r="G663" s="39"/>
      <c r="H663" s="40"/>
      <c r="I663" s="41"/>
      <c r="J663" s="42"/>
      <c r="K663" s="43"/>
      <c r="L663" s="44">
        <f t="shared" si="307"/>
        <v>0</v>
      </c>
      <c r="M663" s="206"/>
      <c r="N663" s="206"/>
      <c r="O663" s="207" t="str">
        <f t="shared" si="308"/>
        <v/>
      </c>
      <c r="P663" s="206"/>
      <c r="Q663" s="206"/>
      <c r="R663" s="177">
        <f t="shared" si="309"/>
        <v>0</v>
      </c>
      <c r="S663" s="178" t="str">
        <f t="shared" si="310"/>
        <v/>
      </c>
      <c r="T663" s="208" t="str">
        <f t="shared" si="311"/>
        <v/>
      </c>
      <c r="U663" s="41"/>
      <c r="V663" s="45"/>
      <c r="X663" s="37" t="str">
        <f t="shared" si="304"/>
        <v/>
      </c>
      <c r="Z663" s="181"/>
      <c r="AB663" s="173"/>
      <c r="AD663" s="10" t="str">
        <f t="shared" si="305"/>
        <v/>
      </c>
      <c r="AE663" s="92" t="str">
        <f>+IF(OR($T$663="",X663="",X663="NO"),"",L663)</f>
        <v/>
      </c>
      <c r="AF663" s="92" t="str">
        <f>+IF(AE663="","",L663/$S$663)</f>
        <v/>
      </c>
      <c r="AG663" s="174"/>
    </row>
    <row r="664" spans="1:34" s="27" customFormat="1" ht="12.75" x14ac:dyDescent="0.2">
      <c r="A664" s="27" t="str">
        <f t="shared" si="306"/>
        <v/>
      </c>
      <c r="B664" s="38">
        <v>6</v>
      </c>
      <c r="C664" s="39"/>
      <c r="D664" s="39"/>
      <c r="E664" s="46"/>
      <c r="F664" s="46"/>
      <c r="G664" s="39"/>
      <c r="H664" s="40"/>
      <c r="I664" s="41"/>
      <c r="J664" s="42"/>
      <c r="K664" s="43"/>
      <c r="L664" s="44">
        <f t="shared" si="307"/>
        <v>0</v>
      </c>
      <c r="M664" s="206"/>
      <c r="N664" s="206"/>
      <c r="O664" s="207" t="str">
        <f t="shared" si="308"/>
        <v/>
      </c>
      <c r="P664" s="206"/>
      <c r="Q664" s="206"/>
      <c r="R664" s="177">
        <f t="shared" si="309"/>
        <v>0</v>
      </c>
      <c r="S664" s="178" t="str">
        <f t="shared" si="310"/>
        <v/>
      </c>
      <c r="T664" s="208" t="str">
        <f t="shared" si="311"/>
        <v/>
      </c>
      <c r="U664" s="41"/>
      <c r="V664" s="45"/>
      <c r="X664" s="37" t="str">
        <f t="shared" si="304"/>
        <v/>
      </c>
      <c r="Z664" s="181"/>
      <c r="AB664" s="173"/>
      <c r="AD664" s="10" t="str">
        <f t="shared" si="305"/>
        <v/>
      </c>
      <c r="AE664" s="92" t="str">
        <f>+IF(OR($T$664="",X664="",X664="NO"),"",L664)</f>
        <v/>
      </c>
      <c r="AF664" s="92" t="str">
        <f>+IF(AE664="","",L664/$S$664)</f>
        <v/>
      </c>
      <c r="AG664" s="174"/>
    </row>
    <row r="665" spans="1:34" s="27" customFormat="1" ht="12.75" x14ac:dyDescent="0.2">
      <c r="A665" s="27" t="str">
        <f t="shared" si="306"/>
        <v/>
      </c>
      <c r="B665" s="38">
        <v>7</v>
      </c>
      <c r="C665" s="39"/>
      <c r="D665" s="39"/>
      <c r="E665" s="46"/>
      <c r="F665" s="46"/>
      <c r="G665" s="39"/>
      <c r="H665" s="40"/>
      <c r="I665" s="41"/>
      <c r="J665" s="42"/>
      <c r="K665" s="43"/>
      <c r="L665" s="44">
        <f t="shared" si="307"/>
        <v>0</v>
      </c>
      <c r="M665" s="206"/>
      <c r="N665" s="206"/>
      <c r="O665" s="207" t="str">
        <f t="shared" si="308"/>
        <v/>
      </c>
      <c r="P665" s="206"/>
      <c r="Q665" s="206"/>
      <c r="R665" s="177">
        <f t="shared" si="309"/>
        <v>0</v>
      </c>
      <c r="S665" s="178" t="str">
        <f t="shared" si="310"/>
        <v/>
      </c>
      <c r="T665" s="208" t="str">
        <f t="shared" si="311"/>
        <v/>
      </c>
      <c r="U665" s="41"/>
      <c r="V665" s="45"/>
      <c r="X665" s="37" t="str">
        <f t="shared" si="304"/>
        <v/>
      </c>
      <c r="Z665" s="181"/>
      <c r="AB665" s="173"/>
      <c r="AD665" s="10" t="str">
        <f t="shared" si="305"/>
        <v/>
      </c>
      <c r="AE665" s="92" t="str">
        <f>+IF(OR($T$665="",X665="",X665="NO"),"",L665)</f>
        <v/>
      </c>
      <c r="AF665" s="92" t="str">
        <f>+IF(AE665="","",L665/$S$665)</f>
        <v/>
      </c>
      <c r="AG665" s="174"/>
    </row>
    <row r="666" spans="1:34" s="27" customFormat="1" ht="12.75" x14ac:dyDescent="0.2">
      <c r="A666" s="27" t="str">
        <f t="shared" si="306"/>
        <v/>
      </c>
      <c r="B666" s="38">
        <v>8</v>
      </c>
      <c r="C666" s="39"/>
      <c r="D666" s="39"/>
      <c r="E666" s="46"/>
      <c r="F666" s="46"/>
      <c r="G666" s="39"/>
      <c r="H666" s="40"/>
      <c r="I666" s="41"/>
      <c r="J666" s="42"/>
      <c r="K666" s="43"/>
      <c r="L666" s="44">
        <f t="shared" si="307"/>
        <v>0</v>
      </c>
      <c r="M666" s="206"/>
      <c r="N666" s="206"/>
      <c r="O666" s="207" t="str">
        <f t="shared" si="308"/>
        <v/>
      </c>
      <c r="P666" s="206"/>
      <c r="Q666" s="206"/>
      <c r="R666" s="177">
        <f t="shared" si="309"/>
        <v>0</v>
      </c>
      <c r="S666" s="178" t="str">
        <f t="shared" si="310"/>
        <v/>
      </c>
      <c r="T666" s="208" t="str">
        <f t="shared" si="311"/>
        <v/>
      </c>
      <c r="U666" s="41"/>
      <c r="V666" s="45"/>
      <c r="X666" s="37" t="str">
        <f t="shared" si="304"/>
        <v/>
      </c>
      <c r="Z666" s="181"/>
      <c r="AB666" s="173"/>
      <c r="AD666" s="10" t="str">
        <f t="shared" si="305"/>
        <v/>
      </c>
      <c r="AE666" s="92" t="str">
        <f>+IF(OR($T$666="",X666="",X666="NO"),"",L666)</f>
        <v/>
      </c>
      <c r="AF666" s="92" t="str">
        <f>+IF(AE666="","",L666/$S$666)</f>
        <v/>
      </c>
      <c r="AG666" s="174"/>
    </row>
    <row r="667" spans="1:34" s="27" customFormat="1" ht="12.75" x14ac:dyDescent="0.2">
      <c r="A667" s="27" t="str">
        <f t="shared" si="306"/>
        <v/>
      </c>
      <c r="B667" s="38">
        <v>9</v>
      </c>
      <c r="C667" s="39"/>
      <c r="D667" s="39"/>
      <c r="E667" s="46"/>
      <c r="F667" s="46"/>
      <c r="G667" s="39"/>
      <c r="H667" s="40"/>
      <c r="I667" s="41"/>
      <c r="J667" s="42"/>
      <c r="K667" s="43"/>
      <c r="L667" s="44">
        <f t="shared" si="307"/>
        <v>0</v>
      </c>
      <c r="M667" s="206"/>
      <c r="N667" s="206"/>
      <c r="O667" s="207" t="str">
        <f t="shared" si="308"/>
        <v/>
      </c>
      <c r="P667" s="206"/>
      <c r="Q667" s="206"/>
      <c r="R667" s="177">
        <f t="shared" si="309"/>
        <v>0</v>
      </c>
      <c r="S667" s="178" t="str">
        <f t="shared" si="310"/>
        <v/>
      </c>
      <c r="T667" s="208" t="str">
        <f t="shared" si="311"/>
        <v/>
      </c>
      <c r="U667" s="41"/>
      <c r="V667" s="45"/>
      <c r="X667" s="37" t="str">
        <f t="shared" si="304"/>
        <v/>
      </c>
      <c r="Z667" s="181"/>
      <c r="AB667" s="173"/>
      <c r="AD667" s="10" t="str">
        <f t="shared" si="305"/>
        <v/>
      </c>
      <c r="AE667" s="92" t="str">
        <f>+IF(OR($T$667="",X667="",X667="NO"),"",L667)</f>
        <v/>
      </c>
      <c r="AF667" s="92" t="str">
        <f>+IF(AE667="","",L667/$S$667)</f>
        <v/>
      </c>
      <c r="AG667" s="174"/>
    </row>
    <row r="668" spans="1:34" s="27" customFormat="1" ht="13.5" thickBot="1" x14ac:dyDescent="0.25">
      <c r="A668" s="27" t="str">
        <f t="shared" si="306"/>
        <v/>
      </c>
      <c r="B668" s="47">
        <v>10</v>
      </c>
      <c r="C668" s="48"/>
      <c r="D668" s="48"/>
      <c r="E668" s="49"/>
      <c r="F668" s="49"/>
      <c r="G668" s="48"/>
      <c r="H668" s="50"/>
      <c r="I668" s="51"/>
      <c r="J668" s="14"/>
      <c r="K668" s="52"/>
      <c r="L668" s="53">
        <f t="shared" si="307"/>
        <v>0</v>
      </c>
      <c r="M668" s="211"/>
      <c r="N668" s="211"/>
      <c r="O668" s="212" t="str">
        <f t="shared" si="308"/>
        <v/>
      </c>
      <c r="P668" s="211"/>
      <c r="Q668" s="211"/>
      <c r="R668" s="184">
        <f t="shared" si="309"/>
        <v>0</v>
      </c>
      <c r="S668" s="185" t="str">
        <f t="shared" si="310"/>
        <v/>
      </c>
      <c r="T668" s="213" t="str">
        <f t="shared" si="311"/>
        <v/>
      </c>
      <c r="U668" s="51"/>
      <c r="V668" s="54"/>
      <c r="X668" s="55" t="str">
        <f t="shared" si="304"/>
        <v/>
      </c>
      <c r="Z668" s="187"/>
      <c r="AB668" s="188"/>
      <c r="AD668" s="10" t="str">
        <f t="shared" si="305"/>
        <v/>
      </c>
      <c r="AE668" s="92" t="str">
        <f>+IF(OR($T$668="",X668="",X668="NO"),"",L668)</f>
        <v/>
      </c>
      <c r="AF668" s="92" t="str">
        <f>+IF(AE668="","",L668/$S$668)</f>
        <v/>
      </c>
    </row>
    <row r="669" spans="1:34" ht="36" customHeight="1" x14ac:dyDescent="0.2">
      <c r="B669" s="57" t="str">
        <f>"A"&amp;B656</f>
        <v>A39</v>
      </c>
      <c r="C669" s="382" t="str">
        <f>+$C$23</f>
        <v>¿CADA INTEGRANTE DE PROPONENTE PLURAL APORTAN CONTRATO?  (SI; NO; NA)</v>
      </c>
      <c r="D669" s="383"/>
      <c r="E669" s="383"/>
      <c r="F669" s="383"/>
      <c r="G669" s="383"/>
      <c r="H669" s="384"/>
      <c r="I669" s="217" t="str">
        <f>+IF(AG656="","",IF(AG656=1,"NA",IF(AND(AG656=3,(IF(COUNTIFS(C659:C668,AH659,AE659:AE668,"&gt;0")&gt;=1,1,0)+IF(COUNTIFS(C659:C668,AH660,AE659:AE668,"&gt;0")&gt;=1,1,0)+IF(COUNTIFS(C659:C668,AH661,AE659:AE668,"&gt;0")&gt;=1,1,0))&gt;=AG656),"SI",IF(AND(AG656=2,(IF(COUNTIFS(C659:C668,AH659,AE659:AE668,"&gt;0")&gt;=1,1,0)+IF(COUNTIFS(C659:C668,AH660,AE659:AE668,"&gt;0")&gt;=1,1,0))&gt;=AG656),"SI","NO"))))</f>
        <v/>
      </c>
      <c r="J669" s="59"/>
      <c r="K669" s="27"/>
      <c r="L669" s="27"/>
      <c r="M669" s="27"/>
      <c r="N669" s="27"/>
      <c r="O669" s="27"/>
      <c r="P669" s="385" t="str">
        <f>+$P$23</f>
        <v>FACTURACION MENSUAL TOTAL</v>
      </c>
      <c r="Q669" s="386"/>
      <c r="R669" s="386"/>
      <c r="S669" s="386"/>
      <c r="T669" s="189">
        <f>ROUND(SUM(T659:T668),3)</f>
        <v>0</v>
      </c>
      <c r="U669" s="60"/>
      <c r="V669" s="223"/>
      <c r="W669" s="61"/>
      <c r="X669" s="61"/>
      <c r="Y669" s="61"/>
      <c r="Z669" s="61"/>
      <c r="AA669" s="61"/>
      <c r="AB669" s="61"/>
    </row>
    <row r="670" spans="1:34" ht="38.25" customHeight="1" thickBot="1" x14ac:dyDescent="0.25">
      <c r="B670" s="57" t="str">
        <f>"B"&amp;B656</f>
        <v>B39</v>
      </c>
      <c r="C670" s="387" t="str">
        <f>+C653</f>
        <v>En caso de proponente plural: ¿De la totalidad de los contratos aportados por el proponente plural, el valor ejecutado de uno de ellos deberá ser igual o superior al 30% del P.O.?  (SI; NO; NA)</v>
      </c>
      <c r="D670" s="388"/>
      <c r="E670" s="388"/>
      <c r="F670" s="388"/>
      <c r="G670" s="389"/>
      <c r="H670" s="190">
        <f>+$H$6</f>
        <v>268.14722506074827</v>
      </c>
      <c r="I670" s="191" t="str">
        <f>+IF(AG656="","",IF(AG656=1,"NA",IF(AND(AG656&gt;1,(COUNTIFS(AD659:AD668,"SI",AE659:AE668,"&gt;0"))&gt;=1),"SI","NO")))</f>
        <v/>
      </c>
      <c r="J670" s="192"/>
      <c r="K670" s="193"/>
      <c r="L670" s="194"/>
      <c r="M670" s="194"/>
      <c r="N670" s="194"/>
      <c r="O670" s="194"/>
      <c r="P670" s="387" t="str">
        <f>+$P$24</f>
        <v>PROMEDIO FACTURACIÓN MENSUAL DEL PROPONENTE (PFMP)</v>
      </c>
      <c r="Q670" s="388"/>
      <c r="R670" s="388"/>
      <c r="S670" s="388"/>
      <c r="T670" s="195">
        <f t="array" ref="T670">IF(T669=0,0,ROUND(T669/(SUM(IF(FREQUENCY(A659:A668,A659:A668)&gt;0,1))),3))</f>
        <v>0</v>
      </c>
      <c r="U670" s="214"/>
      <c r="V670" s="223"/>
      <c r="W670" s="61"/>
      <c r="X670" s="61"/>
      <c r="Y670" s="61"/>
      <c r="Z670" s="61"/>
      <c r="AA670" s="61"/>
      <c r="AB670" s="61"/>
    </row>
    <row r="671" spans="1:34" ht="21" customHeight="1" thickBot="1" x14ac:dyDescent="0.25">
      <c r="B671" s="197" t="str">
        <f>"C"&amp;B656</f>
        <v>C39</v>
      </c>
      <c r="C671" s="349" t="str">
        <f>+$C$25</f>
        <v>PROPONENTE CUMPLE CON LAS ACTIVIDADES a) y b)? (SI; NO)</v>
      </c>
      <c r="D671" s="350"/>
      <c r="E671" s="350"/>
      <c r="F671" s="350"/>
      <c r="G671" s="350"/>
      <c r="H671" s="351"/>
      <c r="I671" s="198" t="str">
        <f>IF(C656="","",(IF(AND(COUNTIFS(X659:X668,"SI",Z659:Z668,"SI")&gt;=$Z$8,COUNTIFS(X659:X668,"SI",AB659:AB668,"SI")&gt;=$Z$8),"SI","NO")))</f>
        <v/>
      </c>
      <c r="J671" s="199"/>
      <c r="K671" s="200"/>
      <c r="L671" s="200"/>
      <c r="M671" s="200"/>
      <c r="N671" s="200"/>
      <c r="P671" s="378" t="str">
        <f>+$P$25</f>
        <v>VALOR PUNTAJE POR EXPERIENCIA DEL PROPONENTE</v>
      </c>
      <c r="Q671" s="379"/>
      <c r="R671" s="379"/>
      <c r="S671" s="380"/>
      <c r="T671" s="201" t="str">
        <f>IF(OR(C656="",'ASIGNACION DE PUNTAJES'!$C$5=""),"",VLOOKUP(B656,'ASIGNACION DE PUNTAJES'!$A$15:$G$69,7,FALSE))</f>
        <v/>
      </c>
      <c r="V671" s="202"/>
    </row>
    <row r="672" spans="1:34" ht="12" thickBot="1" x14ac:dyDescent="0.25"/>
    <row r="673" spans="1:34" ht="36.75" customHeight="1" thickBot="1" x14ac:dyDescent="0.25">
      <c r="B673" s="23">
        <f>1+B656</f>
        <v>40</v>
      </c>
      <c r="C673" s="336" t="s">
        <v>932</v>
      </c>
      <c r="D673" s="337"/>
      <c r="E673" s="337"/>
      <c r="F673" s="337"/>
      <c r="G673" s="337"/>
      <c r="H673" s="337"/>
      <c r="I673" s="338"/>
      <c r="J673" s="24" t="str">
        <f>+IF(C673="","","INTEGRANTES")</f>
        <v/>
      </c>
      <c r="K673" s="339" t="s">
        <v>932</v>
      </c>
      <c r="L673" s="339"/>
      <c r="M673" s="339"/>
      <c r="N673" s="339"/>
      <c r="O673" s="339"/>
      <c r="P673" s="339"/>
      <c r="Q673" s="339"/>
      <c r="R673" s="396" t="str">
        <f>+$R$10</f>
        <v>PROPONENTE No.</v>
      </c>
      <c r="S673" s="397"/>
      <c r="T673" s="25">
        <f>+B673</f>
        <v>40</v>
      </c>
      <c r="U673" s="161" t="str">
        <f>+$U$10</f>
        <v>PFMP</v>
      </c>
      <c r="V673" s="162">
        <f>IF(T687="",0,T687)</f>
        <v>0</v>
      </c>
      <c r="X673" s="325" t="s">
        <v>168</v>
      </c>
      <c r="Z673" s="163" t="str">
        <f>+$Z$10</f>
        <v>EXP. ESPECÍFICA 
A:</v>
      </c>
      <c r="AB673" s="163" t="str">
        <f>+$AB$10</f>
        <v>EXP. ESPECÍFICA 
B:</v>
      </c>
      <c r="AG673" s="1" t="s">
        <v>932</v>
      </c>
    </row>
    <row r="674" spans="1:34" ht="42" customHeight="1" x14ac:dyDescent="0.2">
      <c r="B674" s="331" t="str">
        <f>+$B$11</f>
        <v>ITEM</v>
      </c>
      <c r="C674" s="318" t="str">
        <f>+$C$11</f>
        <v>PROPONENTE 
/ 
INTEGRANTE OFERENTE PLURAL</v>
      </c>
      <c r="D674" s="333" t="str">
        <f>+$D$11</f>
        <v>INFORMACIÓN DEL CONTRATO</v>
      </c>
      <c r="E674" s="334"/>
      <c r="F674" s="334"/>
      <c r="G674" s="335"/>
      <c r="H674" s="318" t="str">
        <f>+H657</f>
        <v>CONSECUTIVO RUP</v>
      </c>
      <c r="I674" s="318" t="str">
        <f>+$I$11</f>
        <v>¿SE ENCUENTRA INSCRITO EN EL RUP Y CUMPLE CÓDIGOS UNSPSC?</v>
      </c>
      <c r="J674" s="318" t="str">
        <f>+$J$11</f>
        <v xml:space="preserve">VALOR EN RUP (SMMLV) </v>
      </c>
      <c r="K674" s="318" t="str">
        <f>+$K$11</f>
        <v>% PARTIC en el RUP</v>
      </c>
      <c r="L674" s="318" t="str">
        <f>+$L$11</f>
        <v>VALOR DEL CONTRATO TERMINADO (SMMLV) en el   RUP</v>
      </c>
      <c r="M674" s="318" t="str">
        <f>+$M$11</f>
        <v>FECHA DE INICIO</v>
      </c>
      <c r="N674" s="318" t="str">
        <f>+$N$11</f>
        <v>FECHA DE TERMINACION</v>
      </c>
      <c r="O674" s="318" t="str">
        <f>+$O$11</f>
        <v>PLAZO CONTRA-TO (Meses)</v>
      </c>
      <c r="P674" s="390" t="str">
        <f>+$P$11</f>
        <v>Tsusp i</v>
      </c>
      <c r="Q674" s="391"/>
      <c r="R674" s="392"/>
      <c r="S674" s="318" t="str">
        <f>+$S$11</f>
        <v>PLAZO i REAL</v>
      </c>
      <c r="T674" s="318" t="str">
        <f>+$T$11</f>
        <v>FACTURA-CION MENSUAL PROPO-NENTE</v>
      </c>
      <c r="U674" s="318" t="str">
        <f>+$U$11</f>
        <v>VALIDACIÓN DE LA EXPERIENCIA GENERAL
(SI/NO)</v>
      </c>
      <c r="V674" s="393" t="str">
        <f>+$V$11</f>
        <v>OBSERVACIONES</v>
      </c>
      <c r="X674" s="326"/>
      <c r="Z674" s="381" t="str">
        <f>+$Z$11</f>
        <v>Interventoria a la ejecución de obras relacionadas con Colocación de capas granulares (tales como bases y/o sub-bases granulares).</v>
      </c>
      <c r="AB674" s="381" t="str">
        <f>+$AB$11</f>
        <v>Interventoria a la Ejecución de obras de subdrenaje y/o drenaje, en carreteras.</v>
      </c>
    </row>
    <row r="675" spans="1:34" ht="38.25" customHeight="1" thickBot="1" x14ac:dyDescent="0.25">
      <c r="B675" s="395"/>
      <c r="C675" s="348"/>
      <c r="D675" s="165" t="str">
        <f>+$D$12</f>
        <v>ENTIDAD</v>
      </c>
      <c r="E675" s="165" t="str">
        <f>+$E$12</f>
        <v>No. DE CONTRATO</v>
      </c>
      <c r="F675" s="165" t="str">
        <f>+$F$12</f>
        <v>OBJETO</v>
      </c>
      <c r="G675" s="165" t="str">
        <f>+$G$12</f>
        <v>CONTRATISTA</v>
      </c>
      <c r="H675" s="348"/>
      <c r="I675" s="348"/>
      <c r="J675" s="348"/>
      <c r="K675" s="348"/>
      <c r="L675" s="348"/>
      <c r="M675" s="348"/>
      <c r="N675" s="348"/>
      <c r="O675" s="348"/>
      <c r="P675" s="166" t="str">
        <f>+P658</f>
        <v>Finicsuspi</v>
      </c>
      <c r="Q675" s="166" t="str">
        <f>+Q658</f>
        <v xml:space="preserve"> Ftermsuspi </v>
      </c>
      <c r="R675" s="166" t="str">
        <f>+R658</f>
        <v>Tsusp i (meses)</v>
      </c>
      <c r="S675" s="348"/>
      <c r="T675" s="348"/>
      <c r="U675" s="348"/>
      <c r="V675" s="394"/>
      <c r="X675" s="327"/>
      <c r="Z675" s="381"/>
      <c r="AB675" s="381"/>
    </row>
    <row r="676" spans="1:34" s="27" customFormat="1" ht="12.75" x14ac:dyDescent="0.2">
      <c r="A676" s="27" t="str">
        <f>+IF(T676="","",B676)</f>
        <v/>
      </c>
      <c r="B676" s="28">
        <v>1</v>
      </c>
      <c r="C676" s="86"/>
      <c r="D676" s="86"/>
      <c r="E676" s="87"/>
      <c r="F676" s="87"/>
      <c r="G676" s="86"/>
      <c r="H676" s="30"/>
      <c r="I676" s="31"/>
      <c r="J676" s="32"/>
      <c r="K676" s="33"/>
      <c r="L676" s="34">
        <f>IF(OR(H676="",I676&lt;&gt;"SI",I676="NO",J676="",J676=0,K676="",K676=0,X676&lt;&gt;"SI"),0,J676*K676)</f>
        <v>0</v>
      </c>
      <c r="M676" s="204"/>
      <c r="N676" s="204"/>
      <c r="O676" s="169" t="str">
        <f>IF(OR(H676="",I676&lt;&gt;"SI",I676="NO",J676="",J676=0,K676="",K676=0,,M676="",N676=""),"",ROUND((((N676-M676)+1)/30),3))</f>
        <v/>
      </c>
      <c r="P676" s="204"/>
      <c r="Q676" s="204"/>
      <c r="R676" s="170">
        <f>IF(OR((Q676-P676)=0,P676="",Q676=""),0,(ROUND((((Q676-P676)+1)/30),3)))</f>
        <v>0</v>
      </c>
      <c r="S676" s="171" t="str">
        <f>IF(O676="","",ROUND(SUM(O676)-SUM(R676),3))</f>
        <v/>
      </c>
      <c r="T676" s="172" t="str">
        <f>+IF(C676="","",IF(OR(S676="",S676&lt;=0,I676="",I676="NO",U676="",U676="NO",X676="NO"),"",ROUND(SUM(L676)/S676,3)))</f>
        <v/>
      </c>
      <c r="U676" s="35"/>
      <c r="V676" s="36"/>
      <c r="W676" s="205"/>
      <c r="X676" s="37" t="str">
        <f t="shared" ref="X676:X685" si="312">+IF(C676="","",IF(AND(H676&lt;&gt;"",I676="SI",J676&lt;&gt;"",J676&gt;0,K676&lt;&gt;"",K676&gt;0,S676&lt;&gt;"",S676&gt;0,U676="SI"),"SI","NO"))</f>
        <v/>
      </c>
      <c r="Z676" s="173"/>
      <c r="AB676" s="173"/>
      <c r="AD676" s="10" t="str">
        <f t="shared" ref="AD676:AD685" si="313">+IF($C$673="","",IF(C676="","",IF(L676&gt;=$H$6,"SI","NO")))</f>
        <v/>
      </c>
      <c r="AE676" s="92" t="str">
        <f>+IF(OR($T$676="",X676="",X676="NO"),"",L676)</f>
        <v/>
      </c>
      <c r="AF676" s="92" t="str">
        <f>+IF(AE676="","",L676/$S$676)</f>
        <v/>
      </c>
      <c r="AG676" s="174">
        <f>0.1+B673</f>
        <v>40.1</v>
      </c>
      <c r="AH676" s="27" t="s">
        <v>932</v>
      </c>
    </row>
    <row r="677" spans="1:34" s="27" customFormat="1" ht="12.75" x14ac:dyDescent="0.2">
      <c r="A677" s="27" t="str">
        <f t="shared" ref="A677:A685" si="314">+IF(T677="","",B677)</f>
        <v/>
      </c>
      <c r="B677" s="38">
        <v>2</v>
      </c>
      <c r="C677" s="39"/>
      <c r="D677" s="39"/>
      <c r="E677" s="46"/>
      <c r="F677" s="46"/>
      <c r="G677" s="39"/>
      <c r="H677" s="40"/>
      <c r="I677" s="41"/>
      <c r="J677" s="42"/>
      <c r="K677" s="43"/>
      <c r="L677" s="44">
        <f t="shared" ref="L677:L685" si="315">IF(OR(H677="",I677&lt;&gt;"SI",I677="NO",J677="",J677=0,K677="",K677=0,X677&lt;&gt;"SI"),0,J677*K677)</f>
        <v>0</v>
      </c>
      <c r="M677" s="206"/>
      <c r="N677" s="206"/>
      <c r="O677" s="207" t="str">
        <f t="shared" ref="O677:O685" si="316">IF(OR(H677="",I677&lt;&gt;"SI",I677="NO",J677="",J677=0,K677="",K677=0,,M677="",N677=""),"",ROUND((((N677-M677)+1)/30),3))</f>
        <v/>
      </c>
      <c r="P677" s="206"/>
      <c r="Q677" s="206"/>
      <c r="R677" s="177">
        <f t="shared" ref="R677:R685" si="317">IF(OR((Q677-P677)=0,P677="",Q677=""),0,(ROUND((((Q677-P677)+1)/30),3)))</f>
        <v>0</v>
      </c>
      <c r="S677" s="178" t="str">
        <f t="shared" ref="S677:S685" si="318">IF(O677="","",ROUND(SUM(O677)-SUM(R677),3))</f>
        <v/>
      </c>
      <c r="T677" s="208" t="str">
        <f t="shared" ref="T677:T685" si="319">+IF(C677="","",IF(OR(S677="",S677&lt;=0,I677="",I677="NO",U677="",U677="NO",X677="NO"),"",ROUND(SUM(L677)/S677,3)))</f>
        <v/>
      </c>
      <c r="U677" s="41"/>
      <c r="V677" s="209"/>
      <c r="W677" s="205"/>
      <c r="X677" s="37" t="str">
        <f t="shared" si="312"/>
        <v/>
      </c>
      <c r="Z677" s="173"/>
      <c r="AB677" s="173"/>
      <c r="AD677" s="10" t="str">
        <f t="shared" si="313"/>
        <v/>
      </c>
      <c r="AE677" s="92" t="str">
        <f>+IF(OR($T$677="",X677="",X677="NO"),"",L677)</f>
        <v/>
      </c>
      <c r="AF677" s="92" t="str">
        <f>+IF(AE677="","",L677/$S$677)</f>
        <v/>
      </c>
      <c r="AG677" s="174">
        <f>0.2+B673</f>
        <v>40.200000000000003</v>
      </c>
      <c r="AH677" s="27" t="s">
        <v>932</v>
      </c>
    </row>
    <row r="678" spans="1:34" s="27" customFormat="1" ht="12.75" x14ac:dyDescent="0.2">
      <c r="A678" s="27" t="str">
        <f t="shared" si="314"/>
        <v/>
      </c>
      <c r="B678" s="38">
        <v>3</v>
      </c>
      <c r="C678" s="39"/>
      <c r="D678" s="39"/>
      <c r="E678" s="46"/>
      <c r="F678" s="46"/>
      <c r="G678" s="39"/>
      <c r="H678" s="40"/>
      <c r="I678" s="41"/>
      <c r="J678" s="42"/>
      <c r="K678" s="43"/>
      <c r="L678" s="44">
        <f t="shared" si="315"/>
        <v>0</v>
      </c>
      <c r="M678" s="206"/>
      <c r="N678" s="206"/>
      <c r="O678" s="207" t="str">
        <f t="shared" si="316"/>
        <v/>
      </c>
      <c r="P678" s="206"/>
      <c r="Q678" s="206"/>
      <c r="R678" s="177">
        <f t="shared" si="317"/>
        <v>0</v>
      </c>
      <c r="S678" s="178" t="str">
        <f t="shared" si="318"/>
        <v/>
      </c>
      <c r="T678" s="208" t="str">
        <f t="shared" si="319"/>
        <v/>
      </c>
      <c r="U678" s="41"/>
      <c r="V678" s="45"/>
      <c r="W678" s="205"/>
      <c r="X678" s="37" t="str">
        <f t="shared" si="312"/>
        <v/>
      </c>
      <c r="Z678" s="173"/>
      <c r="AB678" s="173"/>
      <c r="AD678" s="10" t="str">
        <f t="shared" si="313"/>
        <v/>
      </c>
      <c r="AE678" s="92" t="str">
        <f>+IF(OR($T$678="",X678="",X678="NO"),"",L678)</f>
        <v/>
      </c>
      <c r="AF678" s="92" t="str">
        <f>+IF(AE678="","",L678/$S$678)</f>
        <v/>
      </c>
      <c r="AG678" s="174">
        <f>0.3+B673</f>
        <v>40.299999999999997</v>
      </c>
      <c r="AH678" s="27" t="s">
        <v>932</v>
      </c>
    </row>
    <row r="679" spans="1:34" s="27" customFormat="1" ht="12.75" x14ac:dyDescent="0.2">
      <c r="A679" s="27" t="str">
        <f t="shared" si="314"/>
        <v/>
      </c>
      <c r="B679" s="38">
        <v>4</v>
      </c>
      <c r="C679" s="39"/>
      <c r="D679" s="39"/>
      <c r="E679" s="46"/>
      <c r="F679" s="46"/>
      <c r="G679" s="39"/>
      <c r="H679" s="40"/>
      <c r="I679" s="41"/>
      <c r="J679" s="42"/>
      <c r="K679" s="43"/>
      <c r="L679" s="44">
        <f t="shared" si="315"/>
        <v>0</v>
      </c>
      <c r="M679" s="206"/>
      <c r="N679" s="206"/>
      <c r="O679" s="207" t="str">
        <f t="shared" si="316"/>
        <v/>
      </c>
      <c r="P679" s="206"/>
      <c r="Q679" s="206"/>
      <c r="R679" s="177">
        <f t="shared" si="317"/>
        <v>0</v>
      </c>
      <c r="S679" s="178" t="str">
        <f t="shared" si="318"/>
        <v/>
      </c>
      <c r="T679" s="208" t="str">
        <f t="shared" si="319"/>
        <v/>
      </c>
      <c r="U679" s="41"/>
      <c r="V679" s="45"/>
      <c r="W679" s="210"/>
      <c r="X679" s="37" t="str">
        <f t="shared" si="312"/>
        <v/>
      </c>
      <c r="Z679" s="180"/>
      <c r="AB679" s="173"/>
      <c r="AD679" s="10" t="str">
        <f t="shared" si="313"/>
        <v/>
      </c>
      <c r="AE679" s="92" t="str">
        <f>+IF(OR($T$679="",X679="",X679="NO"),"",L679)</f>
        <v/>
      </c>
      <c r="AF679" s="92" t="str">
        <f>+IF(AE679="","",L679/$S$679)</f>
        <v/>
      </c>
      <c r="AG679" s="174"/>
    </row>
    <row r="680" spans="1:34" s="27" customFormat="1" ht="12.75" x14ac:dyDescent="0.2">
      <c r="A680" s="27" t="str">
        <f t="shared" si="314"/>
        <v/>
      </c>
      <c r="B680" s="38">
        <v>5</v>
      </c>
      <c r="C680" s="39"/>
      <c r="D680" s="39"/>
      <c r="E680" s="46"/>
      <c r="F680" s="46"/>
      <c r="G680" s="39"/>
      <c r="H680" s="40"/>
      <c r="I680" s="41"/>
      <c r="J680" s="42"/>
      <c r="K680" s="43"/>
      <c r="L680" s="44">
        <f t="shared" si="315"/>
        <v>0</v>
      </c>
      <c r="M680" s="206"/>
      <c r="N680" s="206"/>
      <c r="O680" s="207" t="str">
        <f t="shared" si="316"/>
        <v/>
      </c>
      <c r="P680" s="206"/>
      <c r="Q680" s="206"/>
      <c r="R680" s="177">
        <f t="shared" si="317"/>
        <v>0</v>
      </c>
      <c r="S680" s="178" t="str">
        <f t="shared" si="318"/>
        <v/>
      </c>
      <c r="T680" s="208" t="str">
        <f t="shared" si="319"/>
        <v/>
      </c>
      <c r="U680" s="41"/>
      <c r="V680" s="45"/>
      <c r="X680" s="37" t="str">
        <f t="shared" si="312"/>
        <v/>
      </c>
      <c r="Z680" s="181"/>
      <c r="AB680" s="173"/>
      <c r="AD680" s="10" t="str">
        <f t="shared" si="313"/>
        <v/>
      </c>
      <c r="AE680" s="92" t="str">
        <f>+IF(OR($T$680="",X680="",X680="NO"),"",L680)</f>
        <v/>
      </c>
      <c r="AF680" s="92" t="str">
        <f>+IF(AE680="","",L680/$S$680)</f>
        <v/>
      </c>
      <c r="AG680" s="174"/>
    </row>
    <row r="681" spans="1:34" s="27" customFormat="1" ht="12.75" x14ac:dyDescent="0.2">
      <c r="A681" s="27" t="str">
        <f t="shared" si="314"/>
        <v/>
      </c>
      <c r="B681" s="38">
        <v>6</v>
      </c>
      <c r="C681" s="39"/>
      <c r="D681" s="39"/>
      <c r="E681" s="46"/>
      <c r="F681" s="46"/>
      <c r="G681" s="39"/>
      <c r="H681" s="40"/>
      <c r="I681" s="41"/>
      <c r="J681" s="42"/>
      <c r="K681" s="43"/>
      <c r="L681" s="44">
        <f t="shared" si="315"/>
        <v>0</v>
      </c>
      <c r="M681" s="206"/>
      <c r="N681" s="206"/>
      <c r="O681" s="207" t="str">
        <f t="shared" si="316"/>
        <v/>
      </c>
      <c r="P681" s="206"/>
      <c r="Q681" s="206"/>
      <c r="R681" s="177">
        <f t="shared" si="317"/>
        <v>0</v>
      </c>
      <c r="S681" s="178" t="str">
        <f t="shared" si="318"/>
        <v/>
      </c>
      <c r="T681" s="208" t="str">
        <f t="shared" si="319"/>
        <v/>
      </c>
      <c r="U681" s="41"/>
      <c r="V681" s="45"/>
      <c r="X681" s="37" t="str">
        <f t="shared" si="312"/>
        <v/>
      </c>
      <c r="Z681" s="181"/>
      <c r="AB681" s="173"/>
      <c r="AD681" s="10" t="str">
        <f t="shared" si="313"/>
        <v/>
      </c>
      <c r="AE681" s="92" t="str">
        <f>+IF(OR($T$681="",X681="",X681="NO"),"",L681)</f>
        <v/>
      </c>
      <c r="AF681" s="92" t="str">
        <f>+IF(AE681="","",L681/$S$681)</f>
        <v/>
      </c>
      <c r="AG681" s="174"/>
    </row>
    <row r="682" spans="1:34" s="27" customFormat="1" ht="12.75" x14ac:dyDescent="0.2">
      <c r="A682" s="27" t="str">
        <f t="shared" si="314"/>
        <v/>
      </c>
      <c r="B682" s="38">
        <v>7</v>
      </c>
      <c r="C682" s="39"/>
      <c r="D682" s="39"/>
      <c r="E682" s="46"/>
      <c r="F682" s="46"/>
      <c r="G682" s="39"/>
      <c r="H682" s="40"/>
      <c r="I682" s="41"/>
      <c r="J682" s="42"/>
      <c r="K682" s="43"/>
      <c r="L682" s="44">
        <f t="shared" si="315"/>
        <v>0</v>
      </c>
      <c r="M682" s="206"/>
      <c r="N682" s="206"/>
      <c r="O682" s="207" t="str">
        <f t="shared" si="316"/>
        <v/>
      </c>
      <c r="P682" s="206"/>
      <c r="Q682" s="206"/>
      <c r="R682" s="177">
        <f t="shared" si="317"/>
        <v>0</v>
      </c>
      <c r="S682" s="178" t="str">
        <f t="shared" si="318"/>
        <v/>
      </c>
      <c r="T682" s="208" t="str">
        <f t="shared" si="319"/>
        <v/>
      </c>
      <c r="U682" s="41"/>
      <c r="V682" s="45"/>
      <c r="X682" s="37" t="str">
        <f t="shared" si="312"/>
        <v/>
      </c>
      <c r="Z682" s="181"/>
      <c r="AB682" s="173"/>
      <c r="AD682" s="10" t="str">
        <f t="shared" si="313"/>
        <v/>
      </c>
      <c r="AE682" s="92" t="str">
        <f>+IF(OR($T$682="",X682="",X682="NO"),"",L682)</f>
        <v/>
      </c>
      <c r="AF682" s="92" t="str">
        <f>+IF(AE682="","",L682/$S$682)</f>
        <v/>
      </c>
      <c r="AG682" s="174"/>
    </row>
    <row r="683" spans="1:34" s="27" customFormat="1" ht="12.75" x14ac:dyDescent="0.2">
      <c r="A683" s="27" t="str">
        <f t="shared" si="314"/>
        <v/>
      </c>
      <c r="B683" s="38">
        <v>8</v>
      </c>
      <c r="C683" s="39"/>
      <c r="D683" s="39"/>
      <c r="E683" s="46"/>
      <c r="F683" s="46"/>
      <c r="G683" s="39"/>
      <c r="H683" s="40"/>
      <c r="I683" s="41"/>
      <c r="J683" s="42"/>
      <c r="K683" s="43"/>
      <c r="L683" s="44">
        <f t="shared" si="315"/>
        <v>0</v>
      </c>
      <c r="M683" s="206"/>
      <c r="N683" s="206"/>
      <c r="O683" s="207" t="str">
        <f t="shared" si="316"/>
        <v/>
      </c>
      <c r="P683" s="206"/>
      <c r="Q683" s="206"/>
      <c r="R683" s="177">
        <f t="shared" si="317"/>
        <v>0</v>
      </c>
      <c r="S683" s="178" t="str">
        <f t="shared" si="318"/>
        <v/>
      </c>
      <c r="T683" s="208" t="str">
        <f t="shared" si="319"/>
        <v/>
      </c>
      <c r="U683" s="41"/>
      <c r="V683" s="45"/>
      <c r="X683" s="37" t="str">
        <f t="shared" si="312"/>
        <v/>
      </c>
      <c r="Z683" s="181"/>
      <c r="AB683" s="173"/>
      <c r="AD683" s="10" t="str">
        <f t="shared" si="313"/>
        <v/>
      </c>
      <c r="AE683" s="92" t="str">
        <f>+IF(OR($T$683="",X683="",X683="NO"),"",L683)</f>
        <v/>
      </c>
      <c r="AF683" s="92" t="str">
        <f>+IF(AE683="","",L683/$S$683)</f>
        <v/>
      </c>
      <c r="AG683" s="174"/>
    </row>
    <row r="684" spans="1:34" s="27" customFormat="1" ht="12.75" x14ac:dyDescent="0.2">
      <c r="A684" s="27" t="str">
        <f t="shared" si="314"/>
        <v/>
      </c>
      <c r="B684" s="38">
        <v>9</v>
      </c>
      <c r="C684" s="39"/>
      <c r="D684" s="39"/>
      <c r="E684" s="46"/>
      <c r="F684" s="46"/>
      <c r="G684" s="39"/>
      <c r="H684" s="40"/>
      <c r="I684" s="41"/>
      <c r="J684" s="42"/>
      <c r="K684" s="43"/>
      <c r="L684" s="44">
        <f t="shared" si="315"/>
        <v>0</v>
      </c>
      <c r="M684" s="206"/>
      <c r="N684" s="206"/>
      <c r="O684" s="207" t="str">
        <f t="shared" si="316"/>
        <v/>
      </c>
      <c r="P684" s="206"/>
      <c r="Q684" s="206"/>
      <c r="R684" s="177">
        <f t="shared" si="317"/>
        <v>0</v>
      </c>
      <c r="S684" s="178" t="str">
        <f t="shared" si="318"/>
        <v/>
      </c>
      <c r="T684" s="208" t="str">
        <f t="shared" si="319"/>
        <v/>
      </c>
      <c r="U684" s="41"/>
      <c r="V684" s="45"/>
      <c r="X684" s="37" t="str">
        <f t="shared" si="312"/>
        <v/>
      </c>
      <c r="Z684" s="181"/>
      <c r="AB684" s="173"/>
      <c r="AD684" s="10" t="str">
        <f t="shared" si="313"/>
        <v/>
      </c>
      <c r="AE684" s="92" t="str">
        <f>+IF(OR($T$684="",X684="",X684="NO"),"",L684)</f>
        <v/>
      </c>
      <c r="AF684" s="92" t="str">
        <f>+IF(AE684="","",L684/$S$684)</f>
        <v/>
      </c>
      <c r="AG684" s="174"/>
    </row>
    <row r="685" spans="1:34" s="27" customFormat="1" ht="13.5" thickBot="1" x14ac:dyDescent="0.25">
      <c r="A685" s="27" t="str">
        <f t="shared" si="314"/>
        <v/>
      </c>
      <c r="B685" s="47">
        <v>10</v>
      </c>
      <c r="C685" s="48"/>
      <c r="D685" s="48"/>
      <c r="E685" s="49"/>
      <c r="F685" s="49"/>
      <c r="G685" s="48"/>
      <c r="H685" s="50"/>
      <c r="I685" s="51"/>
      <c r="J685" s="14"/>
      <c r="K685" s="52"/>
      <c r="L685" s="53">
        <f t="shared" si="315"/>
        <v>0</v>
      </c>
      <c r="M685" s="211"/>
      <c r="N685" s="211"/>
      <c r="O685" s="212" t="str">
        <f t="shared" si="316"/>
        <v/>
      </c>
      <c r="P685" s="211"/>
      <c r="Q685" s="211"/>
      <c r="R685" s="184">
        <f t="shared" si="317"/>
        <v>0</v>
      </c>
      <c r="S685" s="185" t="str">
        <f t="shared" si="318"/>
        <v/>
      </c>
      <c r="T685" s="213" t="str">
        <f t="shared" si="319"/>
        <v/>
      </c>
      <c r="U685" s="51"/>
      <c r="V685" s="54"/>
      <c r="X685" s="55" t="str">
        <f t="shared" si="312"/>
        <v/>
      </c>
      <c r="Z685" s="187"/>
      <c r="AB685" s="188"/>
      <c r="AD685" s="10" t="str">
        <f t="shared" si="313"/>
        <v/>
      </c>
      <c r="AE685" s="92" t="str">
        <f>+IF(OR($T$685="",X685="",X685="NO"),"",L685)</f>
        <v/>
      </c>
      <c r="AF685" s="92" t="str">
        <f>+IF(AE685="","",L685/$S$685)</f>
        <v/>
      </c>
    </row>
    <row r="686" spans="1:34" ht="36" customHeight="1" x14ac:dyDescent="0.2">
      <c r="B686" s="57" t="str">
        <f>"A"&amp;B673</f>
        <v>A40</v>
      </c>
      <c r="C686" s="382" t="str">
        <f>+$C$23</f>
        <v>¿CADA INTEGRANTE DE PROPONENTE PLURAL APORTAN CONTRATO?  (SI; NO; NA)</v>
      </c>
      <c r="D686" s="383"/>
      <c r="E686" s="383"/>
      <c r="F686" s="383"/>
      <c r="G686" s="383"/>
      <c r="H686" s="384"/>
      <c r="I686" s="217" t="str">
        <f>+IF(AG673="","",IF(AG673=1,"NA",IF(AND(AG673=3,(IF(COUNTIFS(C676:C685,AH676,AE676:AE685,"&gt;0")&gt;=1,1,0)+IF(COUNTIFS(C676:C685,AH677,AE676:AE685,"&gt;0")&gt;=1,1,0)+IF(COUNTIFS(C676:C685,AH678,AE676:AE685,"&gt;0")&gt;=1,1,0))&gt;=AG673),"SI",IF(AND(AG673=2,(IF(COUNTIFS(C676:C685,AH676,AE676:AE685,"&gt;0")&gt;=1,1,0)+IF(COUNTIFS(C676:C685,AH677,AE676:AE685,"&gt;0")&gt;=1,1,0))&gt;=AG673),"SI","NO"))))</f>
        <v/>
      </c>
      <c r="J686" s="59"/>
      <c r="K686" s="27"/>
      <c r="L686" s="27"/>
      <c r="M686" s="27"/>
      <c r="N686" s="27"/>
      <c r="O686" s="27"/>
      <c r="P686" s="385" t="str">
        <f>+$P$23</f>
        <v>FACTURACION MENSUAL TOTAL</v>
      </c>
      <c r="Q686" s="386"/>
      <c r="R686" s="386"/>
      <c r="S686" s="386"/>
      <c r="T686" s="189">
        <f>ROUND(SUM(T676:T685),3)</f>
        <v>0</v>
      </c>
      <c r="U686" s="60"/>
      <c r="V686" s="1"/>
      <c r="W686" s="61"/>
      <c r="X686" s="61"/>
      <c r="Y686" s="61"/>
      <c r="Z686" s="61"/>
      <c r="AA686" s="61"/>
      <c r="AB686" s="61"/>
    </row>
    <row r="687" spans="1:34" ht="38.25" customHeight="1" thickBot="1" x14ac:dyDescent="0.25">
      <c r="B687" s="57" t="str">
        <f>"B"&amp;B673</f>
        <v>B40</v>
      </c>
      <c r="C687" s="387" t="str">
        <f>+C670</f>
        <v>En caso de proponente plural: ¿De la totalidad de los contratos aportados por el proponente plural, el valor ejecutado de uno de ellos deberá ser igual o superior al 30% del P.O.?  (SI; NO; NA)</v>
      </c>
      <c r="D687" s="388"/>
      <c r="E687" s="388"/>
      <c r="F687" s="388"/>
      <c r="G687" s="389"/>
      <c r="H687" s="190">
        <f>+$H$6</f>
        <v>268.14722506074827</v>
      </c>
      <c r="I687" s="191" t="str">
        <f>+IF(AG673="","",IF(AG673=1,"NA",IF(AND(AG673&gt;1,(COUNTIFS(AD676:AD685,"SI",AE676:AE685,"&gt;0"))&gt;=1),"SI","NO")))</f>
        <v/>
      </c>
      <c r="J687" s="192"/>
      <c r="K687" s="193"/>
      <c r="L687" s="194"/>
      <c r="M687" s="194"/>
      <c r="N687" s="194"/>
      <c r="O687" s="194"/>
      <c r="P687" s="387" t="str">
        <f>+$P$24</f>
        <v>PROMEDIO FACTURACIÓN MENSUAL DEL PROPONENTE (PFMP)</v>
      </c>
      <c r="Q687" s="388"/>
      <c r="R687" s="388"/>
      <c r="S687" s="388"/>
      <c r="T687" s="195">
        <f t="array" ref="T687">IF(T686=0,0,ROUND(T686/(SUM(IF(FREQUENCY(A676:A685,A676:A685)&gt;0,1))),3))</f>
        <v>0</v>
      </c>
      <c r="U687" s="214"/>
      <c r="V687" s="1"/>
      <c r="W687" s="61"/>
      <c r="X687" s="61"/>
      <c r="Y687" s="61"/>
      <c r="Z687" s="61"/>
      <c r="AA687" s="61"/>
      <c r="AB687" s="61"/>
    </row>
    <row r="688" spans="1:34" ht="21" customHeight="1" thickBot="1" x14ac:dyDescent="0.25">
      <c r="B688" s="197" t="str">
        <f>"C"&amp;B673</f>
        <v>C40</v>
      </c>
      <c r="C688" s="349" t="str">
        <f>+$C$25</f>
        <v>PROPONENTE CUMPLE CON LAS ACTIVIDADES a) y b)? (SI; NO)</v>
      </c>
      <c r="D688" s="350"/>
      <c r="E688" s="350"/>
      <c r="F688" s="350"/>
      <c r="G688" s="350"/>
      <c r="H688" s="351"/>
      <c r="I688" s="198" t="str">
        <f>IF(C673="","",(IF(AND(COUNTIFS(X676:X685,"SI",Z676:Z685,"SI")&gt;=$Z$8,COUNTIFS(X676:X685,"SI",AB676:AB685,"SI")&gt;=$Z$8),"SI","NO")))</f>
        <v/>
      </c>
      <c r="J688" s="199"/>
      <c r="K688" s="200"/>
      <c r="L688" s="200"/>
      <c r="M688" s="200"/>
      <c r="N688" s="200"/>
      <c r="P688" s="378" t="str">
        <f>+$P$25</f>
        <v>VALOR PUNTAJE POR EXPERIENCIA DEL PROPONENTE</v>
      </c>
      <c r="Q688" s="379"/>
      <c r="R688" s="379"/>
      <c r="S688" s="380"/>
      <c r="T688" s="201" t="str">
        <f>IF(OR(C673="",'ASIGNACION DE PUNTAJES'!$C$5=""),"",VLOOKUP(B673,'ASIGNACION DE PUNTAJES'!$A$15:$G$69,7,FALSE))</f>
        <v/>
      </c>
      <c r="V688" s="202"/>
    </row>
    <row r="689" spans="1:34" ht="12" thickBot="1" x14ac:dyDescent="0.25"/>
    <row r="690" spans="1:34" ht="36.75" customHeight="1" thickBot="1" x14ac:dyDescent="0.25">
      <c r="B690" s="23">
        <f>1+B673</f>
        <v>41</v>
      </c>
      <c r="C690" s="336" t="s">
        <v>932</v>
      </c>
      <c r="D690" s="337"/>
      <c r="E690" s="337"/>
      <c r="F690" s="337"/>
      <c r="G690" s="337"/>
      <c r="H690" s="337"/>
      <c r="I690" s="338"/>
      <c r="J690" s="24" t="str">
        <f>+IF(C690="","","INTEGRANTES")</f>
        <v/>
      </c>
      <c r="K690" s="339" t="s">
        <v>932</v>
      </c>
      <c r="L690" s="339"/>
      <c r="M690" s="339"/>
      <c r="N690" s="339"/>
      <c r="O690" s="339"/>
      <c r="P690" s="339"/>
      <c r="Q690" s="339"/>
      <c r="R690" s="396" t="str">
        <f>+$R$10</f>
        <v>PROPONENTE No.</v>
      </c>
      <c r="S690" s="397"/>
      <c r="T690" s="25">
        <f>+B690</f>
        <v>41</v>
      </c>
      <c r="U690" s="161" t="str">
        <f>+$U$10</f>
        <v>PFMP</v>
      </c>
      <c r="V690" s="162">
        <f>IF(T704="",0,T704)</f>
        <v>0</v>
      </c>
      <c r="X690" s="325" t="s">
        <v>168</v>
      </c>
      <c r="Z690" s="163" t="str">
        <f>+$Z$10</f>
        <v>EXP. ESPECÍFICA 
A:</v>
      </c>
      <c r="AB690" s="163" t="str">
        <f>+$AB$10</f>
        <v>EXP. ESPECÍFICA 
B:</v>
      </c>
      <c r="AG690" s="1" t="s">
        <v>932</v>
      </c>
    </row>
    <row r="691" spans="1:34" ht="42" customHeight="1" x14ac:dyDescent="0.2">
      <c r="B691" s="331" t="str">
        <f>+$B$11</f>
        <v>ITEM</v>
      </c>
      <c r="C691" s="318" t="str">
        <f>+$C$11</f>
        <v>PROPONENTE 
/ 
INTEGRANTE OFERENTE PLURAL</v>
      </c>
      <c r="D691" s="333" t="str">
        <f>+$D$11</f>
        <v>INFORMACIÓN DEL CONTRATO</v>
      </c>
      <c r="E691" s="334"/>
      <c r="F691" s="334"/>
      <c r="G691" s="335"/>
      <c r="H691" s="318" t="str">
        <f>+H674</f>
        <v>CONSECUTIVO RUP</v>
      </c>
      <c r="I691" s="318" t="str">
        <f>+$I$11</f>
        <v>¿SE ENCUENTRA INSCRITO EN EL RUP Y CUMPLE CÓDIGOS UNSPSC?</v>
      </c>
      <c r="J691" s="318" t="str">
        <f>+$J$11</f>
        <v xml:space="preserve">VALOR EN RUP (SMMLV) </v>
      </c>
      <c r="K691" s="318" t="str">
        <f>+$K$11</f>
        <v>% PARTIC en el RUP</v>
      </c>
      <c r="L691" s="318" t="str">
        <f>+$L$11</f>
        <v>VALOR DEL CONTRATO TERMINADO (SMMLV) en el   RUP</v>
      </c>
      <c r="M691" s="318" t="str">
        <f>+$M$11</f>
        <v>FECHA DE INICIO</v>
      </c>
      <c r="N691" s="318" t="str">
        <f>+$N$11</f>
        <v>FECHA DE TERMINACION</v>
      </c>
      <c r="O691" s="318" t="str">
        <f>+$O$11</f>
        <v>PLAZO CONTRA-TO (Meses)</v>
      </c>
      <c r="P691" s="390" t="str">
        <f>+$P$11</f>
        <v>Tsusp i</v>
      </c>
      <c r="Q691" s="391"/>
      <c r="R691" s="392"/>
      <c r="S691" s="318" t="str">
        <f>+$S$11</f>
        <v>PLAZO i REAL</v>
      </c>
      <c r="T691" s="318" t="str">
        <f>+$T$11</f>
        <v>FACTURA-CION MENSUAL PROPO-NENTE</v>
      </c>
      <c r="U691" s="318" t="str">
        <f>+$U$11</f>
        <v>VALIDACIÓN DE LA EXPERIENCIA GENERAL
(SI/NO)</v>
      </c>
      <c r="V691" s="393" t="str">
        <f>+$V$11</f>
        <v>OBSERVACIONES</v>
      </c>
      <c r="X691" s="326"/>
      <c r="Z691" s="381" t="str">
        <f>+$Z$11</f>
        <v>Interventoria a la ejecución de obras relacionadas con Colocación de capas granulares (tales como bases y/o sub-bases granulares).</v>
      </c>
      <c r="AB691" s="381" t="str">
        <f>+$AB$11</f>
        <v>Interventoria a la Ejecución de obras de subdrenaje y/o drenaje, en carreteras.</v>
      </c>
    </row>
    <row r="692" spans="1:34" ht="38.25" customHeight="1" thickBot="1" x14ac:dyDescent="0.25">
      <c r="B692" s="395"/>
      <c r="C692" s="348"/>
      <c r="D692" s="165" t="str">
        <f>+$D$12</f>
        <v>ENTIDAD</v>
      </c>
      <c r="E692" s="165" t="str">
        <f>+$E$12</f>
        <v>No. DE CONTRATO</v>
      </c>
      <c r="F692" s="165" t="str">
        <f>+$F$12</f>
        <v>OBJETO</v>
      </c>
      <c r="G692" s="165" t="str">
        <f>+$G$12</f>
        <v>CONTRATISTA</v>
      </c>
      <c r="H692" s="348"/>
      <c r="I692" s="348"/>
      <c r="J692" s="348"/>
      <c r="K692" s="348"/>
      <c r="L692" s="348"/>
      <c r="M692" s="348"/>
      <c r="N692" s="348"/>
      <c r="O692" s="348"/>
      <c r="P692" s="166" t="str">
        <f>+P675</f>
        <v>Finicsuspi</v>
      </c>
      <c r="Q692" s="166" t="str">
        <f>+Q675</f>
        <v xml:space="preserve"> Ftermsuspi </v>
      </c>
      <c r="R692" s="166" t="str">
        <f>+R675</f>
        <v>Tsusp i (meses)</v>
      </c>
      <c r="S692" s="348"/>
      <c r="T692" s="348"/>
      <c r="U692" s="348"/>
      <c r="V692" s="394"/>
      <c r="X692" s="327"/>
      <c r="Z692" s="381"/>
      <c r="AB692" s="381"/>
    </row>
    <row r="693" spans="1:34" s="27" customFormat="1" ht="12.75" x14ac:dyDescent="0.2">
      <c r="A693" s="27" t="str">
        <f>+IF(T693="","",B693)</f>
        <v/>
      </c>
      <c r="B693" s="28">
        <v>1</v>
      </c>
      <c r="C693" s="86"/>
      <c r="D693" s="86"/>
      <c r="E693" s="87"/>
      <c r="F693" s="87"/>
      <c r="G693" s="86"/>
      <c r="H693" s="30"/>
      <c r="I693" s="31"/>
      <c r="J693" s="32"/>
      <c r="K693" s="33"/>
      <c r="L693" s="34">
        <f>IF(OR(H693="",I693&lt;&gt;"SI",I693="NO",J693="",J693=0,K693="",K693=0,X693&lt;&gt;"SI"),0,J693*K693)</f>
        <v>0</v>
      </c>
      <c r="M693" s="204"/>
      <c r="N693" s="204"/>
      <c r="O693" s="169" t="str">
        <f>IF(OR(H693="",I693&lt;&gt;"SI",I693="NO",J693="",J693=0,K693="",K693=0,,M693="",N693=""),"",ROUND((((N693-M693)+1)/30),3))</f>
        <v/>
      </c>
      <c r="P693" s="204"/>
      <c r="Q693" s="204"/>
      <c r="R693" s="170">
        <f>IF(OR((Q693-P693)=0,P693="",Q693=""),0,(ROUND((((Q693-P693)+1)/30),3)))</f>
        <v>0</v>
      </c>
      <c r="S693" s="171" t="str">
        <f>IF(O693="","",ROUND(SUM(O693)-SUM(R693),3))</f>
        <v/>
      </c>
      <c r="T693" s="172" t="str">
        <f>+IF(C693="","",IF(OR(S693="",S693&lt;=0,I693="",I693="NO",U693="",U693="NO",X693="NO"),"",ROUND(SUM(L693)/S693,3)))</f>
        <v/>
      </c>
      <c r="U693" s="35"/>
      <c r="V693" s="36"/>
      <c r="W693" s="205"/>
      <c r="X693" s="37" t="str">
        <f t="shared" ref="X693:X702" si="320">+IF(C693="","",IF(AND(H693&lt;&gt;"",I693="SI",J693&lt;&gt;"",J693&gt;0,K693&lt;&gt;"",K693&gt;0,S693&lt;&gt;"",S693&gt;0,U693="SI"),"SI","NO"))</f>
        <v/>
      </c>
      <c r="Z693" s="173"/>
      <c r="AB693" s="173"/>
      <c r="AD693" s="10" t="str">
        <f t="shared" ref="AD693:AD702" si="321">+IF($C$690="","",IF(C693="","",IF(L693&gt;=$H$6,"SI","NO")))</f>
        <v/>
      </c>
      <c r="AE693" s="92" t="str">
        <f>+IF(OR($T$693="",X693="",X693="NO"),"",L693)</f>
        <v/>
      </c>
      <c r="AF693" s="92" t="str">
        <f>+IF(AE693="","",L693/$S$693)</f>
        <v/>
      </c>
      <c r="AG693" s="174">
        <f>0.1+B690</f>
        <v>41.1</v>
      </c>
      <c r="AH693" s="27" t="s">
        <v>932</v>
      </c>
    </row>
    <row r="694" spans="1:34" s="27" customFormat="1" ht="12.75" x14ac:dyDescent="0.2">
      <c r="A694" s="27" t="str">
        <f t="shared" ref="A694:A702" si="322">+IF(T694="","",B694)</f>
        <v/>
      </c>
      <c r="B694" s="38">
        <v>2</v>
      </c>
      <c r="C694" s="39"/>
      <c r="D694" s="39"/>
      <c r="E694" s="46"/>
      <c r="F694" s="46"/>
      <c r="G694" s="39"/>
      <c r="H694" s="40"/>
      <c r="I694" s="41"/>
      <c r="J694" s="42"/>
      <c r="K694" s="43"/>
      <c r="L694" s="44">
        <f t="shared" ref="L694:L702" si="323">IF(OR(H694="",I694&lt;&gt;"SI",I694="NO",J694="",J694=0,K694="",K694=0,X694&lt;&gt;"SI"),0,J694*K694)</f>
        <v>0</v>
      </c>
      <c r="M694" s="206"/>
      <c r="N694" s="206"/>
      <c r="O694" s="207" t="str">
        <f t="shared" ref="O694:O702" si="324">IF(OR(H694="",I694&lt;&gt;"SI",I694="NO",J694="",J694=0,K694="",K694=0,,M694="",N694=""),"",ROUND((((N694-M694)+1)/30),3))</f>
        <v/>
      </c>
      <c r="P694" s="206"/>
      <c r="Q694" s="206"/>
      <c r="R694" s="177">
        <f t="shared" ref="R694:R702" si="325">IF(OR((Q694-P694)=0,P694="",Q694=""),0,(ROUND((((Q694-P694)+1)/30),3)))</f>
        <v>0</v>
      </c>
      <c r="S694" s="178" t="str">
        <f t="shared" ref="S694:S702" si="326">IF(O694="","",ROUND(SUM(O694)-SUM(R694),3))</f>
        <v/>
      </c>
      <c r="T694" s="208" t="str">
        <f t="shared" ref="T694:T702" si="327">+IF(C694="","",IF(OR(S694="",S694&lt;=0,I694="",I694="NO",U694="",U694="NO",X694="NO"),"",ROUND(SUM(L694)/S694,3)))</f>
        <v/>
      </c>
      <c r="U694" s="41"/>
      <c r="V694" s="209"/>
      <c r="W694" s="205"/>
      <c r="X694" s="37" t="str">
        <f t="shared" si="320"/>
        <v/>
      </c>
      <c r="Z694" s="173"/>
      <c r="AB694" s="173"/>
      <c r="AD694" s="10" t="str">
        <f t="shared" si="321"/>
        <v/>
      </c>
      <c r="AE694" s="92" t="str">
        <f>+IF(OR($T$694="",X694="",X694="NO"),"",L694)</f>
        <v/>
      </c>
      <c r="AF694" s="92" t="str">
        <f>+IF(AE694="","",L694/$S$694)</f>
        <v/>
      </c>
      <c r="AG694" s="174">
        <f>0.2+B690</f>
        <v>41.2</v>
      </c>
      <c r="AH694" s="27" t="s">
        <v>932</v>
      </c>
    </row>
    <row r="695" spans="1:34" s="27" customFormat="1" ht="12.75" x14ac:dyDescent="0.2">
      <c r="A695" s="27" t="str">
        <f t="shared" si="322"/>
        <v/>
      </c>
      <c r="B695" s="38">
        <v>3</v>
      </c>
      <c r="C695" s="39"/>
      <c r="D695" s="39"/>
      <c r="E695" s="46"/>
      <c r="F695" s="46"/>
      <c r="G695" s="39"/>
      <c r="H695" s="40"/>
      <c r="I695" s="41"/>
      <c r="J695" s="42"/>
      <c r="K695" s="43"/>
      <c r="L695" s="44">
        <f t="shared" si="323"/>
        <v>0</v>
      </c>
      <c r="M695" s="206"/>
      <c r="N695" s="206"/>
      <c r="O695" s="207" t="str">
        <f t="shared" si="324"/>
        <v/>
      </c>
      <c r="P695" s="206"/>
      <c r="Q695" s="206"/>
      <c r="R695" s="177">
        <f t="shared" si="325"/>
        <v>0</v>
      </c>
      <c r="S695" s="178" t="str">
        <f t="shared" si="326"/>
        <v/>
      </c>
      <c r="T695" s="208" t="str">
        <f t="shared" si="327"/>
        <v/>
      </c>
      <c r="U695" s="41"/>
      <c r="V695" s="45"/>
      <c r="W695" s="205"/>
      <c r="X695" s="37" t="str">
        <f t="shared" si="320"/>
        <v/>
      </c>
      <c r="Z695" s="173"/>
      <c r="AB695" s="173"/>
      <c r="AD695" s="10" t="str">
        <f t="shared" si="321"/>
        <v/>
      </c>
      <c r="AE695" s="92" t="str">
        <f>+IF(OR($T$695="",X695="",X695="NO"),"",L695)</f>
        <v/>
      </c>
      <c r="AF695" s="92" t="str">
        <f>+IF(AE695="","",L695/$S$695)</f>
        <v/>
      </c>
      <c r="AG695" s="174">
        <f>0.3+B690</f>
        <v>41.3</v>
      </c>
      <c r="AH695" s="27" t="s">
        <v>932</v>
      </c>
    </row>
    <row r="696" spans="1:34" s="27" customFormat="1" ht="12.75" x14ac:dyDescent="0.2">
      <c r="A696" s="27" t="str">
        <f t="shared" si="322"/>
        <v/>
      </c>
      <c r="B696" s="38">
        <v>4</v>
      </c>
      <c r="C696" s="39"/>
      <c r="D696" s="39"/>
      <c r="E696" s="46"/>
      <c r="F696" s="46"/>
      <c r="G696" s="39"/>
      <c r="H696" s="40"/>
      <c r="I696" s="41"/>
      <c r="J696" s="42"/>
      <c r="K696" s="43"/>
      <c r="L696" s="44">
        <f t="shared" si="323"/>
        <v>0</v>
      </c>
      <c r="M696" s="206"/>
      <c r="N696" s="206"/>
      <c r="O696" s="207" t="str">
        <f t="shared" si="324"/>
        <v/>
      </c>
      <c r="P696" s="206"/>
      <c r="Q696" s="206"/>
      <c r="R696" s="177">
        <f t="shared" si="325"/>
        <v>0</v>
      </c>
      <c r="S696" s="178" t="str">
        <f t="shared" si="326"/>
        <v/>
      </c>
      <c r="T696" s="208" t="str">
        <f t="shared" si="327"/>
        <v/>
      </c>
      <c r="U696" s="41"/>
      <c r="V696" s="45"/>
      <c r="W696" s="210"/>
      <c r="X696" s="37" t="str">
        <f t="shared" si="320"/>
        <v/>
      </c>
      <c r="Z696" s="180"/>
      <c r="AB696" s="173"/>
      <c r="AD696" s="10" t="str">
        <f t="shared" si="321"/>
        <v/>
      </c>
      <c r="AE696" s="92" t="str">
        <f>+IF(OR($T$696="",X696="",X696="NO"),"",L696)</f>
        <v/>
      </c>
      <c r="AF696" s="92" t="str">
        <f>+IF(AE696="","",L696/$S$696)</f>
        <v/>
      </c>
      <c r="AG696" s="174"/>
    </row>
    <row r="697" spans="1:34" s="27" customFormat="1" ht="12.75" x14ac:dyDescent="0.2">
      <c r="A697" s="27" t="str">
        <f t="shared" si="322"/>
        <v/>
      </c>
      <c r="B697" s="38">
        <v>5</v>
      </c>
      <c r="C697" s="39"/>
      <c r="D697" s="39"/>
      <c r="E697" s="46"/>
      <c r="F697" s="46"/>
      <c r="G697" s="39"/>
      <c r="H697" s="40"/>
      <c r="I697" s="41"/>
      <c r="J697" s="42"/>
      <c r="K697" s="43"/>
      <c r="L697" s="44">
        <f t="shared" si="323"/>
        <v>0</v>
      </c>
      <c r="M697" s="206"/>
      <c r="N697" s="206"/>
      <c r="O697" s="207" t="str">
        <f t="shared" si="324"/>
        <v/>
      </c>
      <c r="P697" s="206"/>
      <c r="Q697" s="206"/>
      <c r="R697" s="177">
        <f t="shared" si="325"/>
        <v>0</v>
      </c>
      <c r="S697" s="178" t="str">
        <f t="shared" si="326"/>
        <v/>
      </c>
      <c r="T697" s="208" t="str">
        <f t="shared" si="327"/>
        <v/>
      </c>
      <c r="U697" s="41"/>
      <c r="V697" s="45"/>
      <c r="X697" s="37" t="str">
        <f t="shared" si="320"/>
        <v/>
      </c>
      <c r="Z697" s="181"/>
      <c r="AB697" s="173"/>
      <c r="AD697" s="10" t="str">
        <f t="shared" si="321"/>
        <v/>
      </c>
      <c r="AE697" s="92" t="str">
        <f>+IF(OR($T$697="",X697="",X697="NO"),"",L697)</f>
        <v/>
      </c>
      <c r="AF697" s="92" t="str">
        <f>+IF(AE697="","",L697/$S$697)</f>
        <v/>
      </c>
      <c r="AG697" s="174"/>
    </row>
    <row r="698" spans="1:34" s="27" customFormat="1" ht="12.75" x14ac:dyDescent="0.2">
      <c r="A698" s="27" t="str">
        <f t="shared" si="322"/>
        <v/>
      </c>
      <c r="B698" s="38">
        <v>6</v>
      </c>
      <c r="C698" s="39"/>
      <c r="D698" s="39"/>
      <c r="E698" s="46"/>
      <c r="F698" s="46"/>
      <c r="G698" s="39"/>
      <c r="H698" s="40"/>
      <c r="I698" s="41"/>
      <c r="J698" s="42"/>
      <c r="K698" s="43"/>
      <c r="L698" s="44">
        <f t="shared" si="323"/>
        <v>0</v>
      </c>
      <c r="M698" s="206"/>
      <c r="N698" s="206"/>
      <c r="O698" s="207" t="str">
        <f t="shared" si="324"/>
        <v/>
      </c>
      <c r="P698" s="206"/>
      <c r="Q698" s="206"/>
      <c r="R698" s="177">
        <f t="shared" si="325"/>
        <v>0</v>
      </c>
      <c r="S698" s="178" t="str">
        <f t="shared" si="326"/>
        <v/>
      </c>
      <c r="T698" s="208" t="str">
        <f t="shared" si="327"/>
        <v/>
      </c>
      <c r="U698" s="41"/>
      <c r="V698" s="45"/>
      <c r="X698" s="37" t="str">
        <f t="shared" si="320"/>
        <v/>
      </c>
      <c r="Z698" s="181"/>
      <c r="AB698" s="173"/>
      <c r="AD698" s="10" t="str">
        <f t="shared" si="321"/>
        <v/>
      </c>
      <c r="AE698" s="92" t="str">
        <f>+IF(OR($T$698="",X698="",X698="NO"),"",L698)</f>
        <v/>
      </c>
      <c r="AF698" s="92" t="str">
        <f>+IF(AE698="","",L698/$S$698)</f>
        <v/>
      </c>
      <c r="AG698" s="174"/>
    </row>
    <row r="699" spans="1:34" s="27" customFormat="1" ht="12.75" x14ac:dyDescent="0.2">
      <c r="A699" s="27" t="str">
        <f t="shared" si="322"/>
        <v/>
      </c>
      <c r="B699" s="38">
        <v>7</v>
      </c>
      <c r="C699" s="39"/>
      <c r="D699" s="39"/>
      <c r="E699" s="46"/>
      <c r="F699" s="46"/>
      <c r="G699" s="39"/>
      <c r="H699" s="40"/>
      <c r="I699" s="41"/>
      <c r="J699" s="42"/>
      <c r="K699" s="43"/>
      <c r="L699" s="44">
        <f t="shared" si="323"/>
        <v>0</v>
      </c>
      <c r="M699" s="206"/>
      <c r="N699" s="206"/>
      <c r="O699" s="207" t="str">
        <f t="shared" si="324"/>
        <v/>
      </c>
      <c r="P699" s="206"/>
      <c r="Q699" s="206"/>
      <c r="R699" s="177">
        <f t="shared" si="325"/>
        <v>0</v>
      </c>
      <c r="S699" s="178" t="str">
        <f t="shared" si="326"/>
        <v/>
      </c>
      <c r="T699" s="208" t="str">
        <f t="shared" si="327"/>
        <v/>
      </c>
      <c r="U699" s="41"/>
      <c r="V699" s="45"/>
      <c r="X699" s="37" t="str">
        <f t="shared" si="320"/>
        <v/>
      </c>
      <c r="Z699" s="181"/>
      <c r="AB699" s="173"/>
      <c r="AD699" s="10" t="str">
        <f t="shared" si="321"/>
        <v/>
      </c>
      <c r="AE699" s="92" t="str">
        <f>+IF(OR($T$699="",X699="",X699="NO"),"",L699)</f>
        <v/>
      </c>
      <c r="AF699" s="92" t="str">
        <f>+IF(AE699="","",L699/$S$699)</f>
        <v/>
      </c>
      <c r="AG699" s="174"/>
    </row>
    <row r="700" spans="1:34" s="27" customFormat="1" ht="12.75" x14ac:dyDescent="0.2">
      <c r="A700" s="27" t="str">
        <f t="shared" si="322"/>
        <v/>
      </c>
      <c r="B700" s="38">
        <v>8</v>
      </c>
      <c r="C700" s="39"/>
      <c r="D700" s="39"/>
      <c r="E700" s="46"/>
      <c r="F700" s="46"/>
      <c r="G700" s="39"/>
      <c r="H700" s="40"/>
      <c r="I700" s="41"/>
      <c r="J700" s="42"/>
      <c r="K700" s="43"/>
      <c r="L700" s="44">
        <f t="shared" si="323"/>
        <v>0</v>
      </c>
      <c r="M700" s="206"/>
      <c r="N700" s="206"/>
      <c r="O700" s="207" t="str">
        <f t="shared" si="324"/>
        <v/>
      </c>
      <c r="P700" s="206"/>
      <c r="Q700" s="206"/>
      <c r="R700" s="177">
        <f t="shared" si="325"/>
        <v>0</v>
      </c>
      <c r="S700" s="178" t="str">
        <f t="shared" si="326"/>
        <v/>
      </c>
      <c r="T700" s="208" t="str">
        <f t="shared" si="327"/>
        <v/>
      </c>
      <c r="U700" s="41"/>
      <c r="V700" s="45"/>
      <c r="X700" s="37" t="str">
        <f t="shared" si="320"/>
        <v/>
      </c>
      <c r="Z700" s="181"/>
      <c r="AB700" s="173"/>
      <c r="AD700" s="10" t="str">
        <f t="shared" si="321"/>
        <v/>
      </c>
      <c r="AE700" s="92" t="str">
        <f>+IF(OR($T$700="",X700="",X700="NO"),"",L700)</f>
        <v/>
      </c>
      <c r="AF700" s="92" t="str">
        <f>+IF(AE700="","",L700/$S$700)</f>
        <v/>
      </c>
      <c r="AG700" s="174"/>
    </row>
    <row r="701" spans="1:34" s="27" customFormat="1" ht="12.75" x14ac:dyDescent="0.2">
      <c r="A701" s="27" t="str">
        <f t="shared" si="322"/>
        <v/>
      </c>
      <c r="B701" s="38">
        <v>9</v>
      </c>
      <c r="C701" s="39"/>
      <c r="D701" s="39"/>
      <c r="E701" s="46"/>
      <c r="F701" s="46"/>
      <c r="G701" s="39"/>
      <c r="H701" s="40"/>
      <c r="I701" s="41"/>
      <c r="J701" s="42"/>
      <c r="K701" s="43"/>
      <c r="L701" s="44">
        <f t="shared" si="323"/>
        <v>0</v>
      </c>
      <c r="M701" s="206"/>
      <c r="N701" s="206"/>
      <c r="O701" s="207" t="str">
        <f t="shared" si="324"/>
        <v/>
      </c>
      <c r="P701" s="206"/>
      <c r="Q701" s="206"/>
      <c r="R701" s="177">
        <f t="shared" si="325"/>
        <v>0</v>
      </c>
      <c r="S701" s="178" t="str">
        <f t="shared" si="326"/>
        <v/>
      </c>
      <c r="T701" s="208" t="str">
        <f t="shared" si="327"/>
        <v/>
      </c>
      <c r="U701" s="41"/>
      <c r="V701" s="45"/>
      <c r="X701" s="37" t="str">
        <f t="shared" si="320"/>
        <v/>
      </c>
      <c r="Z701" s="181"/>
      <c r="AB701" s="173"/>
      <c r="AD701" s="10" t="str">
        <f t="shared" si="321"/>
        <v/>
      </c>
      <c r="AE701" s="92" t="str">
        <f>+IF(OR($T$701="",X701="",X701="NO"),"",L701)</f>
        <v/>
      </c>
      <c r="AF701" s="92" t="str">
        <f>+IF(AE701="","",L701/$S$701)</f>
        <v/>
      </c>
      <c r="AG701" s="174"/>
    </row>
    <row r="702" spans="1:34" s="27" customFormat="1" ht="13.5" thickBot="1" x14ac:dyDescent="0.25">
      <c r="A702" s="27" t="str">
        <f t="shared" si="322"/>
        <v/>
      </c>
      <c r="B702" s="47">
        <v>10</v>
      </c>
      <c r="C702" s="48"/>
      <c r="D702" s="48"/>
      <c r="E702" s="49"/>
      <c r="F702" s="49"/>
      <c r="G702" s="48"/>
      <c r="H702" s="50"/>
      <c r="I702" s="51"/>
      <c r="J702" s="14"/>
      <c r="K702" s="52"/>
      <c r="L702" s="53">
        <f t="shared" si="323"/>
        <v>0</v>
      </c>
      <c r="M702" s="211"/>
      <c r="N702" s="211"/>
      <c r="O702" s="212" t="str">
        <f t="shared" si="324"/>
        <v/>
      </c>
      <c r="P702" s="211"/>
      <c r="Q702" s="211"/>
      <c r="R702" s="184">
        <f t="shared" si="325"/>
        <v>0</v>
      </c>
      <c r="S702" s="185" t="str">
        <f t="shared" si="326"/>
        <v/>
      </c>
      <c r="T702" s="213" t="str">
        <f t="shared" si="327"/>
        <v/>
      </c>
      <c r="U702" s="51"/>
      <c r="V702" s="54"/>
      <c r="X702" s="55" t="str">
        <f t="shared" si="320"/>
        <v/>
      </c>
      <c r="Z702" s="187"/>
      <c r="AB702" s="188"/>
      <c r="AD702" s="10" t="str">
        <f t="shared" si="321"/>
        <v/>
      </c>
      <c r="AE702" s="92" t="str">
        <f>+IF(OR($T$702="",X702="",X702="NO"),"",L702)</f>
        <v/>
      </c>
      <c r="AF702" s="92" t="str">
        <f>+IF(AE702="","",L702/$S$702)</f>
        <v/>
      </c>
    </row>
    <row r="703" spans="1:34" ht="36" customHeight="1" x14ac:dyDescent="0.2">
      <c r="B703" s="57" t="str">
        <f>"A"&amp;B690</f>
        <v>A41</v>
      </c>
      <c r="C703" s="382" t="str">
        <f>+$C$23</f>
        <v>¿CADA INTEGRANTE DE PROPONENTE PLURAL APORTAN CONTRATO?  (SI; NO; NA)</v>
      </c>
      <c r="D703" s="383"/>
      <c r="E703" s="383"/>
      <c r="F703" s="383"/>
      <c r="G703" s="383"/>
      <c r="H703" s="384"/>
      <c r="I703" s="217" t="str">
        <f>+IF(AG690="","",IF(AG690=1,"NA",IF(AND(AG690=3,(IF(COUNTIFS(C693:C702,AH693,AE693:AE702,"&gt;0")&gt;=1,1,0)+IF(COUNTIFS(C693:C702,AH694,AE693:AE702,"&gt;0")&gt;=1,1,0)+IF(COUNTIFS(C693:C702,AH695,AE693:AE702,"&gt;0")&gt;=1,1,0))&gt;=AG690),"SI",IF(AND(AG690=2,(IF(COUNTIFS(C693:C702,AH693,AE693:AE702,"&gt;0")&gt;=1,1,0)+IF(COUNTIFS(C693:C702,AH694,AE693:AE702,"&gt;0")&gt;=1,1,0))&gt;=AG690),"SI","NO"))))</f>
        <v/>
      </c>
      <c r="J703" s="59"/>
      <c r="K703" s="27"/>
      <c r="L703" s="27"/>
      <c r="M703" s="27"/>
      <c r="N703" s="27"/>
      <c r="O703" s="27"/>
      <c r="P703" s="385" t="str">
        <f>+$P$23</f>
        <v>FACTURACION MENSUAL TOTAL</v>
      </c>
      <c r="Q703" s="386"/>
      <c r="R703" s="386"/>
      <c r="S703" s="386"/>
      <c r="T703" s="189">
        <f>ROUND(SUM(T693:T702),3)</f>
        <v>0</v>
      </c>
      <c r="U703" s="60"/>
      <c r="V703" s="1"/>
      <c r="W703" s="61"/>
      <c r="X703" s="61"/>
      <c r="Y703" s="61"/>
      <c r="Z703" s="61"/>
      <c r="AA703" s="61"/>
      <c r="AB703" s="61"/>
    </row>
    <row r="704" spans="1:34" ht="38.25" customHeight="1" thickBot="1" x14ac:dyDescent="0.25">
      <c r="B704" s="57" t="str">
        <f>"B"&amp;B690</f>
        <v>B41</v>
      </c>
      <c r="C704" s="387" t="str">
        <f>+C687</f>
        <v>En caso de proponente plural: ¿De la totalidad de los contratos aportados por el proponente plural, el valor ejecutado de uno de ellos deberá ser igual o superior al 30% del P.O.?  (SI; NO; NA)</v>
      </c>
      <c r="D704" s="388"/>
      <c r="E704" s="388"/>
      <c r="F704" s="388"/>
      <c r="G704" s="389"/>
      <c r="H704" s="190">
        <f>+$H$6</f>
        <v>268.14722506074827</v>
      </c>
      <c r="I704" s="191" t="str">
        <f>+IF(AG690="","",IF(AG690=1,"NA",IF(AND(AG690&gt;1,(COUNTIFS(AD693:AD702,"SI",AE693:AE702,"&gt;0"))&gt;=1),"SI","NO")))</f>
        <v/>
      </c>
      <c r="J704" s="192"/>
      <c r="K704" s="193"/>
      <c r="L704" s="194"/>
      <c r="M704" s="194"/>
      <c r="N704" s="194"/>
      <c r="O704" s="194"/>
      <c r="P704" s="387" t="str">
        <f>+$P$24</f>
        <v>PROMEDIO FACTURACIÓN MENSUAL DEL PROPONENTE (PFMP)</v>
      </c>
      <c r="Q704" s="388"/>
      <c r="R704" s="388"/>
      <c r="S704" s="388"/>
      <c r="T704" s="195">
        <f t="array" ref="T704">IF(T703=0,0,ROUND(T703/(SUM(IF(FREQUENCY(A693:A702,A693:A702)&gt;0,1))),3))</f>
        <v>0</v>
      </c>
      <c r="U704" s="214"/>
      <c r="V704" s="1"/>
      <c r="W704" s="61"/>
      <c r="X704" s="61"/>
      <c r="Y704" s="61"/>
      <c r="Z704" s="61"/>
      <c r="AA704" s="61"/>
      <c r="AB704" s="61"/>
    </row>
    <row r="705" spans="1:34" ht="21" customHeight="1" thickBot="1" x14ac:dyDescent="0.25">
      <c r="B705" s="197" t="str">
        <f>"C"&amp;B690</f>
        <v>C41</v>
      </c>
      <c r="C705" s="349" t="str">
        <f>+$C$25</f>
        <v>PROPONENTE CUMPLE CON LAS ACTIVIDADES a) y b)? (SI; NO)</v>
      </c>
      <c r="D705" s="350"/>
      <c r="E705" s="350"/>
      <c r="F705" s="350"/>
      <c r="G705" s="350"/>
      <c r="H705" s="351"/>
      <c r="I705" s="198" t="str">
        <f>IF(C690="","",(IF(AND(COUNTIFS(X693:X702,"SI",Z693:Z702,"SI")&gt;=$Z$8,COUNTIFS(X693:X702,"SI",AB693:AB702,"SI")&gt;=$Z$8),"SI","NO")))</f>
        <v/>
      </c>
      <c r="J705" s="199"/>
      <c r="K705" s="200"/>
      <c r="L705" s="200"/>
      <c r="M705" s="200"/>
      <c r="N705" s="200"/>
      <c r="P705" s="378" t="str">
        <f>+$P$25</f>
        <v>VALOR PUNTAJE POR EXPERIENCIA DEL PROPONENTE</v>
      </c>
      <c r="Q705" s="379"/>
      <c r="R705" s="379"/>
      <c r="S705" s="380"/>
      <c r="T705" s="201" t="str">
        <f>IF(OR(C690="",'ASIGNACION DE PUNTAJES'!$C$5=""),"",VLOOKUP(B690,'ASIGNACION DE PUNTAJES'!$A$15:$G$69,7,FALSE))</f>
        <v/>
      </c>
      <c r="V705" s="202"/>
    </row>
    <row r="706" spans="1:34" ht="12" thickBot="1" x14ac:dyDescent="0.25"/>
    <row r="707" spans="1:34" ht="36.75" customHeight="1" thickBot="1" x14ac:dyDescent="0.25">
      <c r="B707" s="23">
        <f>1+B690</f>
        <v>42</v>
      </c>
      <c r="C707" s="336" t="s">
        <v>932</v>
      </c>
      <c r="D707" s="337"/>
      <c r="E707" s="337"/>
      <c r="F707" s="337"/>
      <c r="G707" s="337"/>
      <c r="H707" s="337"/>
      <c r="I707" s="338"/>
      <c r="J707" s="24" t="str">
        <f>+IF(C707="","","INTEGRANTES")</f>
        <v/>
      </c>
      <c r="K707" s="339" t="s">
        <v>932</v>
      </c>
      <c r="L707" s="339"/>
      <c r="M707" s="339"/>
      <c r="N707" s="339"/>
      <c r="O707" s="339"/>
      <c r="P707" s="339"/>
      <c r="Q707" s="339"/>
      <c r="R707" s="396" t="str">
        <f>+$R$10</f>
        <v>PROPONENTE No.</v>
      </c>
      <c r="S707" s="397"/>
      <c r="T707" s="25">
        <f>+B707</f>
        <v>42</v>
      </c>
      <c r="U707" s="161" t="str">
        <f>+$U$10</f>
        <v>PFMP</v>
      </c>
      <c r="V707" s="162">
        <f>IF(T721="",0,T721)</f>
        <v>0</v>
      </c>
      <c r="X707" s="325" t="s">
        <v>168</v>
      </c>
      <c r="Z707" s="163" t="str">
        <f>+$Z$10</f>
        <v>EXP. ESPECÍFICA 
A:</v>
      </c>
      <c r="AB707" s="163" t="str">
        <f>+$AB$10</f>
        <v>EXP. ESPECÍFICA 
B:</v>
      </c>
      <c r="AG707" s="1" t="s">
        <v>932</v>
      </c>
    </row>
    <row r="708" spans="1:34" ht="42" customHeight="1" x14ac:dyDescent="0.2">
      <c r="B708" s="331" t="str">
        <f>+$B$11</f>
        <v>ITEM</v>
      </c>
      <c r="C708" s="318" t="str">
        <f>+$C$11</f>
        <v>PROPONENTE 
/ 
INTEGRANTE OFERENTE PLURAL</v>
      </c>
      <c r="D708" s="333" t="str">
        <f>+$D$11</f>
        <v>INFORMACIÓN DEL CONTRATO</v>
      </c>
      <c r="E708" s="334"/>
      <c r="F708" s="334"/>
      <c r="G708" s="335"/>
      <c r="H708" s="318" t="str">
        <f>+H691</f>
        <v>CONSECUTIVO RUP</v>
      </c>
      <c r="I708" s="318" t="str">
        <f>+$I$11</f>
        <v>¿SE ENCUENTRA INSCRITO EN EL RUP Y CUMPLE CÓDIGOS UNSPSC?</v>
      </c>
      <c r="J708" s="318" t="str">
        <f>+$J$11</f>
        <v xml:space="preserve">VALOR EN RUP (SMMLV) </v>
      </c>
      <c r="K708" s="318" t="str">
        <f>+$K$11</f>
        <v>% PARTIC en el RUP</v>
      </c>
      <c r="L708" s="318" t="str">
        <f>+$L$11</f>
        <v>VALOR DEL CONTRATO TERMINADO (SMMLV) en el   RUP</v>
      </c>
      <c r="M708" s="318" t="str">
        <f>+$M$11</f>
        <v>FECHA DE INICIO</v>
      </c>
      <c r="N708" s="318" t="str">
        <f>+$N$11</f>
        <v>FECHA DE TERMINACION</v>
      </c>
      <c r="O708" s="318" t="str">
        <f>+$O$11</f>
        <v>PLAZO CONTRA-TO (Meses)</v>
      </c>
      <c r="P708" s="390" t="str">
        <f>+$P$11</f>
        <v>Tsusp i</v>
      </c>
      <c r="Q708" s="391"/>
      <c r="R708" s="392"/>
      <c r="S708" s="318" t="str">
        <f>+$S$11</f>
        <v>PLAZO i REAL</v>
      </c>
      <c r="T708" s="318" t="str">
        <f>+$T$11</f>
        <v>FACTURA-CION MENSUAL PROPO-NENTE</v>
      </c>
      <c r="U708" s="318" t="str">
        <f>+$U$11</f>
        <v>VALIDACIÓN DE LA EXPERIENCIA GENERAL
(SI/NO)</v>
      </c>
      <c r="V708" s="393" t="str">
        <f>+$V$11</f>
        <v>OBSERVACIONES</v>
      </c>
      <c r="X708" s="326"/>
      <c r="Z708" s="381" t="str">
        <f>+$Z$11</f>
        <v>Interventoria a la ejecución de obras relacionadas con Colocación de capas granulares (tales como bases y/o sub-bases granulares).</v>
      </c>
      <c r="AB708" s="381" t="str">
        <f>+$AB$11</f>
        <v>Interventoria a la Ejecución de obras de subdrenaje y/o drenaje, en carreteras.</v>
      </c>
    </row>
    <row r="709" spans="1:34" ht="38.25" customHeight="1" thickBot="1" x14ac:dyDescent="0.25">
      <c r="B709" s="395"/>
      <c r="C709" s="348"/>
      <c r="D709" s="165" t="str">
        <f>+$D$12</f>
        <v>ENTIDAD</v>
      </c>
      <c r="E709" s="165" t="str">
        <f>+$E$12</f>
        <v>No. DE CONTRATO</v>
      </c>
      <c r="F709" s="165" t="str">
        <f>+$F$12</f>
        <v>OBJETO</v>
      </c>
      <c r="G709" s="165" t="str">
        <f>+$G$12</f>
        <v>CONTRATISTA</v>
      </c>
      <c r="H709" s="348"/>
      <c r="I709" s="348"/>
      <c r="J709" s="348"/>
      <c r="K709" s="348"/>
      <c r="L709" s="348"/>
      <c r="M709" s="348"/>
      <c r="N709" s="348"/>
      <c r="O709" s="348"/>
      <c r="P709" s="166" t="str">
        <f>+P692</f>
        <v>Finicsuspi</v>
      </c>
      <c r="Q709" s="166" t="str">
        <f>+Q692</f>
        <v xml:space="preserve"> Ftermsuspi </v>
      </c>
      <c r="R709" s="166" t="str">
        <f>+R692</f>
        <v>Tsusp i (meses)</v>
      </c>
      <c r="S709" s="348"/>
      <c r="T709" s="348"/>
      <c r="U709" s="348"/>
      <c r="V709" s="394"/>
      <c r="X709" s="327"/>
      <c r="Z709" s="381"/>
      <c r="AB709" s="381"/>
    </row>
    <row r="710" spans="1:34" s="27" customFormat="1" ht="12.75" x14ac:dyDescent="0.2">
      <c r="A710" s="27" t="str">
        <f>+IF(T710="","",B710)</f>
        <v/>
      </c>
      <c r="B710" s="28">
        <v>1</v>
      </c>
      <c r="C710" s="86"/>
      <c r="D710" s="86"/>
      <c r="E710" s="87"/>
      <c r="F710" s="87"/>
      <c r="G710" s="86"/>
      <c r="H710" s="30"/>
      <c r="I710" s="31"/>
      <c r="J710" s="32"/>
      <c r="K710" s="33"/>
      <c r="L710" s="34">
        <f>IF(OR(H710="",I710&lt;&gt;"SI",I710="NO",J710="",J710=0,K710="",K710=0,X710&lt;&gt;"SI"),0,J710*K710)</f>
        <v>0</v>
      </c>
      <c r="M710" s="204"/>
      <c r="N710" s="204"/>
      <c r="O710" s="169" t="str">
        <f>IF(OR(H710="",I710&lt;&gt;"SI",I710="NO",J710="",J710=0,K710="",K710=0,,M710="",N710=""),"",ROUND((((N710-M710)+1)/30),3))</f>
        <v/>
      </c>
      <c r="P710" s="204"/>
      <c r="Q710" s="204"/>
      <c r="R710" s="170">
        <f>IF(OR((Q710-P710)=0,P710="",Q710=""),0,(ROUND((((Q710-P710)+1)/30),3)))</f>
        <v>0</v>
      </c>
      <c r="S710" s="171" t="str">
        <f>IF(O710="","",ROUND(SUM(O710)-SUM(R710),3))</f>
        <v/>
      </c>
      <c r="T710" s="172" t="str">
        <f>+IF(C710="","",IF(OR(S710="",S710&lt;=0,I710="",I710="NO",U710="",U710="NO",X710="NO"),"",ROUND(SUM(L710)/S710,3)))</f>
        <v/>
      </c>
      <c r="U710" s="35"/>
      <c r="V710" s="36"/>
      <c r="W710" s="205"/>
      <c r="X710" s="37" t="str">
        <f t="shared" ref="X710:X719" si="328">+IF(C710="","",IF(AND(H710&lt;&gt;"",I710="SI",J710&lt;&gt;"",J710&gt;0,K710&lt;&gt;"",K710&gt;0,S710&lt;&gt;"",S710&gt;0,U710="SI"),"SI","NO"))</f>
        <v/>
      </c>
      <c r="Z710" s="173"/>
      <c r="AB710" s="173"/>
      <c r="AD710" s="10" t="str">
        <f t="shared" ref="AD710:AD719" si="329">+IF($C$707="","",IF(C710="","",IF(L710&gt;=$H$6,"SI","NO")))</f>
        <v/>
      </c>
      <c r="AE710" s="92" t="str">
        <f>+IF(OR($T$710="",X710="",X710="NO"),"",L710)</f>
        <v/>
      </c>
      <c r="AF710" s="92" t="str">
        <f>+IF(AE710="","",L710/$S$710)</f>
        <v/>
      </c>
      <c r="AG710" s="174">
        <f>0.1+B707</f>
        <v>42.1</v>
      </c>
      <c r="AH710" s="27" t="s">
        <v>932</v>
      </c>
    </row>
    <row r="711" spans="1:34" s="27" customFormat="1" ht="12.75" x14ac:dyDescent="0.2">
      <c r="A711" s="27" t="str">
        <f t="shared" ref="A711:A719" si="330">+IF(T711="","",B711)</f>
        <v/>
      </c>
      <c r="B711" s="38">
        <v>2</v>
      </c>
      <c r="C711" s="39"/>
      <c r="D711" s="39"/>
      <c r="E711" s="46"/>
      <c r="F711" s="46"/>
      <c r="G711" s="39"/>
      <c r="H711" s="40"/>
      <c r="I711" s="41"/>
      <c r="J711" s="42"/>
      <c r="K711" s="43"/>
      <c r="L711" s="44">
        <f t="shared" ref="L711:L719" si="331">IF(OR(H711="",I711&lt;&gt;"SI",I711="NO",J711="",J711=0,K711="",K711=0,X711&lt;&gt;"SI"),0,J711*K711)</f>
        <v>0</v>
      </c>
      <c r="M711" s="206"/>
      <c r="N711" s="206"/>
      <c r="O711" s="207" t="str">
        <f t="shared" ref="O711:O719" si="332">IF(OR(H711="",I711&lt;&gt;"SI",I711="NO",J711="",J711=0,K711="",K711=0,,M711="",N711=""),"",ROUND((((N711-M711)+1)/30),3))</f>
        <v/>
      </c>
      <c r="P711" s="206"/>
      <c r="Q711" s="206"/>
      <c r="R711" s="177">
        <f t="shared" ref="R711:R719" si="333">IF(OR((Q711-P711)=0,P711="",Q711=""),0,(ROUND((((Q711-P711)+1)/30),3)))</f>
        <v>0</v>
      </c>
      <c r="S711" s="178" t="str">
        <f t="shared" ref="S711:S719" si="334">IF(O711="","",ROUND(SUM(O711)-SUM(R711),3))</f>
        <v/>
      </c>
      <c r="T711" s="208" t="str">
        <f t="shared" ref="T711:T719" si="335">+IF(C711="","",IF(OR(S711="",S711&lt;=0,I711="",I711="NO",U711="",U711="NO",X711="NO"),"",ROUND(SUM(L711)/S711,3)))</f>
        <v/>
      </c>
      <c r="U711" s="41"/>
      <c r="V711" s="209"/>
      <c r="W711" s="205"/>
      <c r="X711" s="37" t="str">
        <f t="shared" si="328"/>
        <v/>
      </c>
      <c r="Z711" s="173"/>
      <c r="AB711" s="173"/>
      <c r="AD711" s="10" t="str">
        <f t="shared" si="329"/>
        <v/>
      </c>
      <c r="AE711" s="92" t="str">
        <f>+IF(OR($T$711="",X711="",X711="NO"),"",L711)</f>
        <v/>
      </c>
      <c r="AF711" s="92" t="str">
        <f>+IF(AE711="","",L711/$S$711)</f>
        <v/>
      </c>
      <c r="AG711" s="174">
        <f>0.2+B707</f>
        <v>42.2</v>
      </c>
      <c r="AH711" s="27" t="s">
        <v>932</v>
      </c>
    </row>
    <row r="712" spans="1:34" s="27" customFormat="1" ht="12.75" x14ac:dyDescent="0.2">
      <c r="A712" s="27" t="str">
        <f t="shared" si="330"/>
        <v/>
      </c>
      <c r="B712" s="38">
        <v>3</v>
      </c>
      <c r="C712" s="39"/>
      <c r="D712" s="39"/>
      <c r="E712" s="46"/>
      <c r="F712" s="46"/>
      <c r="G712" s="39"/>
      <c r="H712" s="40"/>
      <c r="I712" s="41"/>
      <c r="J712" s="42"/>
      <c r="K712" s="43"/>
      <c r="L712" s="44">
        <f t="shared" si="331"/>
        <v>0</v>
      </c>
      <c r="M712" s="206"/>
      <c r="N712" s="206"/>
      <c r="O712" s="207" t="str">
        <f t="shared" si="332"/>
        <v/>
      </c>
      <c r="P712" s="206"/>
      <c r="Q712" s="206"/>
      <c r="R712" s="177">
        <f t="shared" si="333"/>
        <v>0</v>
      </c>
      <c r="S712" s="178" t="str">
        <f t="shared" si="334"/>
        <v/>
      </c>
      <c r="T712" s="208" t="str">
        <f t="shared" si="335"/>
        <v/>
      </c>
      <c r="U712" s="41"/>
      <c r="V712" s="45"/>
      <c r="W712" s="205"/>
      <c r="X712" s="37" t="str">
        <f t="shared" si="328"/>
        <v/>
      </c>
      <c r="Z712" s="173"/>
      <c r="AB712" s="173"/>
      <c r="AD712" s="10" t="str">
        <f t="shared" si="329"/>
        <v/>
      </c>
      <c r="AE712" s="92" t="str">
        <f>+IF(OR($T$712="",X712="",X712="NO"),"",L712)</f>
        <v/>
      </c>
      <c r="AF712" s="92" t="str">
        <f>+IF(AE712="","",L712/$S$712)</f>
        <v/>
      </c>
      <c r="AG712" s="174">
        <f>0.3+B707</f>
        <v>42.3</v>
      </c>
      <c r="AH712" s="27" t="s">
        <v>932</v>
      </c>
    </row>
    <row r="713" spans="1:34" s="27" customFormat="1" ht="12.75" x14ac:dyDescent="0.2">
      <c r="A713" s="27" t="str">
        <f t="shared" si="330"/>
        <v/>
      </c>
      <c r="B713" s="38">
        <v>4</v>
      </c>
      <c r="C713" s="39"/>
      <c r="D713" s="39"/>
      <c r="E713" s="46"/>
      <c r="F713" s="46"/>
      <c r="G713" s="39"/>
      <c r="H713" s="40"/>
      <c r="I713" s="41"/>
      <c r="J713" s="42"/>
      <c r="K713" s="43"/>
      <c r="L713" s="44">
        <f t="shared" si="331"/>
        <v>0</v>
      </c>
      <c r="M713" s="206"/>
      <c r="N713" s="206"/>
      <c r="O713" s="207" t="str">
        <f t="shared" si="332"/>
        <v/>
      </c>
      <c r="P713" s="206"/>
      <c r="Q713" s="206"/>
      <c r="R713" s="177">
        <f t="shared" si="333"/>
        <v>0</v>
      </c>
      <c r="S713" s="178" t="str">
        <f t="shared" si="334"/>
        <v/>
      </c>
      <c r="T713" s="208" t="str">
        <f t="shared" si="335"/>
        <v/>
      </c>
      <c r="U713" s="41"/>
      <c r="V713" s="45"/>
      <c r="W713" s="210"/>
      <c r="X713" s="37" t="str">
        <f t="shared" si="328"/>
        <v/>
      </c>
      <c r="Z713" s="180"/>
      <c r="AB713" s="173"/>
      <c r="AD713" s="10" t="str">
        <f t="shared" si="329"/>
        <v/>
      </c>
      <c r="AE713" s="92" t="str">
        <f>+IF(OR($T$713="",X713="",X713="NO"),"",L713)</f>
        <v/>
      </c>
      <c r="AF713" s="92" t="str">
        <f>+IF(AE713="","",L713/$S$713)</f>
        <v/>
      </c>
      <c r="AG713" s="174"/>
    </row>
    <row r="714" spans="1:34" s="27" customFormat="1" ht="12.75" x14ac:dyDescent="0.2">
      <c r="A714" s="27" t="str">
        <f t="shared" si="330"/>
        <v/>
      </c>
      <c r="B714" s="38">
        <v>5</v>
      </c>
      <c r="C714" s="39"/>
      <c r="D714" s="39"/>
      <c r="E714" s="46"/>
      <c r="F714" s="46"/>
      <c r="G714" s="39"/>
      <c r="H714" s="40"/>
      <c r="I714" s="41"/>
      <c r="J714" s="42"/>
      <c r="K714" s="43"/>
      <c r="L714" s="44">
        <f t="shared" si="331"/>
        <v>0</v>
      </c>
      <c r="M714" s="206"/>
      <c r="N714" s="206"/>
      <c r="O714" s="207" t="str">
        <f t="shared" si="332"/>
        <v/>
      </c>
      <c r="P714" s="206"/>
      <c r="Q714" s="206"/>
      <c r="R714" s="177">
        <f t="shared" si="333"/>
        <v>0</v>
      </c>
      <c r="S714" s="178" t="str">
        <f t="shared" si="334"/>
        <v/>
      </c>
      <c r="T714" s="208" t="str">
        <f t="shared" si="335"/>
        <v/>
      </c>
      <c r="U714" s="41"/>
      <c r="V714" s="45"/>
      <c r="X714" s="37" t="str">
        <f t="shared" si="328"/>
        <v/>
      </c>
      <c r="Z714" s="181"/>
      <c r="AB714" s="173"/>
      <c r="AD714" s="10" t="str">
        <f t="shared" si="329"/>
        <v/>
      </c>
      <c r="AE714" s="92" t="str">
        <f>+IF(OR($T$714="",X714="",X714="NO"),"",L714)</f>
        <v/>
      </c>
      <c r="AF714" s="92" t="str">
        <f>+IF(AE714="","",L714/$S$714)</f>
        <v/>
      </c>
      <c r="AG714" s="174"/>
    </row>
    <row r="715" spans="1:34" s="27" customFormat="1" ht="12.75" x14ac:dyDescent="0.2">
      <c r="A715" s="27" t="str">
        <f t="shared" si="330"/>
        <v/>
      </c>
      <c r="B715" s="38">
        <v>6</v>
      </c>
      <c r="C715" s="39"/>
      <c r="D715" s="39"/>
      <c r="E715" s="46"/>
      <c r="F715" s="46"/>
      <c r="G715" s="39"/>
      <c r="H715" s="40"/>
      <c r="I715" s="41"/>
      <c r="J715" s="42"/>
      <c r="K715" s="43"/>
      <c r="L715" s="44">
        <f t="shared" si="331"/>
        <v>0</v>
      </c>
      <c r="M715" s="206"/>
      <c r="N715" s="206"/>
      <c r="O715" s="207" t="str">
        <f t="shared" si="332"/>
        <v/>
      </c>
      <c r="P715" s="206"/>
      <c r="Q715" s="206"/>
      <c r="R715" s="177">
        <f t="shared" si="333"/>
        <v>0</v>
      </c>
      <c r="S715" s="178" t="str">
        <f t="shared" si="334"/>
        <v/>
      </c>
      <c r="T715" s="208" t="str">
        <f t="shared" si="335"/>
        <v/>
      </c>
      <c r="U715" s="41"/>
      <c r="V715" s="45"/>
      <c r="X715" s="37" t="str">
        <f t="shared" si="328"/>
        <v/>
      </c>
      <c r="Z715" s="181"/>
      <c r="AB715" s="173"/>
      <c r="AD715" s="10" t="str">
        <f t="shared" si="329"/>
        <v/>
      </c>
      <c r="AE715" s="92" t="str">
        <f>+IF(OR($T$715="",X715="",X715="NO"),"",L715)</f>
        <v/>
      </c>
      <c r="AF715" s="92" t="str">
        <f>+IF(AE715="","",L715/$S$715)</f>
        <v/>
      </c>
      <c r="AG715" s="174"/>
    </row>
    <row r="716" spans="1:34" s="27" customFormat="1" ht="12.75" x14ac:dyDescent="0.2">
      <c r="A716" s="27" t="str">
        <f t="shared" si="330"/>
        <v/>
      </c>
      <c r="B716" s="38">
        <v>7</v>
      </c>
      <c r="C716" s="39"/>
      <c r="D716" s="39"/>
      <c r="E716" s="46"/>
      <c r="F716" s="46"/>
      <c r="G716" s="39"/>
      <c r="H716" s="40"/>
      <c r="I716" s="41"/>
      <c r="J716" s="42"/>
      <c r="K716" s="43"/>
      <c r="L716" s="44">
        <f t="shared" si="331"/>
        <v>0</v>
      </c>
      <c r="M716" s="206"/>
      <c r="N716" s="206"/>
      <c r="O716" s="207" t="str">
        <f t="shared" si="332"/>
        <v/>
      </c>
      <c r="P716" s="206"/>
      <c r="Q716" s="206"/>
      <c r="R716" s="177">
        <f t="shared" si="333"/>
        <v>0</v>
      </c>
      <c r="S716" s="178" t="str">
        <f t="shared" si="334"/>
        <v/>
      </c>
      <c r="T716" s="208" t="str">
        <f t="shared" si="335"/>
        <v/>
      </c>
      <c r="U716" s="41"/>
      <c r="V716" s="45"/>
      <c r="X716" s="37" t="str">
        <f t="shared" si="328"/>
        <v/>
      </c>
      <c r="Z716" s="181"/>
      <c r="AB716" s="173"/>
      <c r="AD716" s="10" t="str">
        <f t="shared" si="329"/>
        <v/>
      </c>
      <c r="AE716" s="92" t="str">
        <f>+IF(OR($T$716="",X716="",X716="NO"),"",L716)</f>
        <v/>
      </c>
      <c r="AF716" s="92" t="str">
        <f>+IF(AE716="","",L716/$S$716)</f>
        <v/>
      </c>
      <c r="AG716" s="174"/>
    </row>
    <row r="717" spans="1:34" s="27" customFormat="1" ht="12.75" x14ac:dyDescent="0.2">
      <c r="A717" s="27" t="str">
        <f t="shared" si="330"/>
        <v/>
      </c>
      <c r="B717" s="38">
        <v>8</v>
      </c>
      <c r="C717" s="39"/>
      <c r="D717" s="39"/>
      <c r="E717" s="46"/>
      <c r="F717" s="46"/>
      <c r="G717" s="39"/>
      <c r="H717" s="40"/>
      <c r="I717" s="41"/>
      <c r="J717" s="42"/>
      <c r="K717" s="43"/>
      <c r="L717" s="44">
        <f t="shared" si="331"/>
        <v>0</v>
      </c>
      <c r="M717" s="206"/>
      <c r="N717" s="206"/>
      <c r="O717" s="207" t="str">
        <f t="shared" si="332"/>
        <v/>
      </c>
      <c r="P717" s="206"/>
      <c r="Q717" s="206"/>
      <c r="R717" s="177">
        <f t="shared" si="333"/>
        <v>0</v>
      </c>
      <c r="S717" s="178" t="str">
        <f t="shared" si="334"/>
        <v/>
      </c>
      <c r="T717" s="208" t="str">
        <f t="shared" si="335"/>
        <v/>
      </c>
      <c r="U717" s="41"/>
      <c r="V717" s="45"/>
      <c r="X717" s="37" t="str">
        <f t="shared" si="328"/>
        <v/>
      </c>
      <c r="Z717" s="181"/>
      <c r="AB717" s="173"/>
      <c r="AD717" s="10" t="str">
        <f t="shared" si="329"/>
        <v/>
      </c>
      <c r="AE717" s="92" t="str">
        <f>+IF(OR($T$717="",X717="",X717="NO"),"",L717)</f>
        <v/>
      </c>
      <c r="AF717" s="92" t="str">
        <f>+IF(AE717="","",L717/$S$717)</f>
        <v/>
      </c>
      <c r="AG717" s="174"/>
    </row>
    <row r="718" spans="1:34" s="27" customFormat="1" ht="12.75" x14ac:dyDescent="0.2">
      <c r="A718" s="27" t="str">
        <f t="shared" si="330"/>
        <v/>
      </c>
      <c r="B718" s="38">
        <v>9</v>
      </c>
      <c r="C718" s="39"/>
      <c r="D718" s="39"/>
      <c r="E718" s="46"/>
      <c r="F718" s="46"/>
      <c r="G718" s="39"/>
      <c r="H718" s="40"/>
      <c r="I718" s="41"/>
      <c r="J718" s="42"/>
      <c r="K718" s="43"/>
      <c r="L718" s="44">
        <f t="shared" si="331"/>
        <v>0</v>
      </c>
      <c r="M718" s="206"/>
      <c r="N718" s="206"/>
      <c r="O718" s="207" t="str">
        <f t="shared" si="332"/>
        <v/>
      </c>
      <c r="P718" s="206"/>
      <c r="Q718" s="206"/>
      <c r="R718" s="177">
        <f t="shared" si="333"/>
        <v>0</v>
      </c>
      <c r="S718" s="178" t="str">
        <f t="shared" si="334"/>
        <v/>
      </c>
      <c r="T718" s="208" t="str">
        <f t="shared" si="335"/>
        <v/>
      </c>
      <c r="U718" s="41"/>
      <c r="V718" s="45"/>
      <c r="X718" s="37" t="str">
        <f t="shared" si="328"/>
        <v/>
      </c>
      <c r="Z718" s="181"/>
      <c r="AB718" s="173"/>
      <c r="AD718" s="10" t="str">
        <f t="shared" si="329"/>
        <v/>
      </c>
      <c r="AE718" s="92" t="str">
        <f>+IF(OR($T$718="",X718="",X718="NO"),"",L718)</f>
        <v/>
      </c>
      <c r="AF718" s="92" t="str">
        <f>+IF(AE718="","",L718/$S$718)</f>
        <v/>
      </c>
      <c r="AG718" s="174"/>
    </row>
    <row r="719" spans="1:34" s="27" customFormat="1" ht="13.5" thickBot="1" x14ac:dyDescent="0.25">
      <c r="A719" s="27" t="str">
        <f t="shared" si="330"/>
        <v/>
      </c>
      <c r="B719" s="47">
        <v>10</v>
      </c>
      <c r="C719" s="48"/>
      <c r="D719" s="48"/>
      <c r="E719" s="49"/>
      <c r="F719" s="49"/>
      <c r="G719" s="48"/>
      <c r="H719" s="50"/>
      <c r="I719" s="51"/>
      <c r="J719" s="14"/>
      <c r="K719" s="52"/>
      <c r="L719" s="53">
        <f t="shared" si="331"/>
        <v>0</v>
      </c>
      <c r="M719" s="211"/>
      <c r="N719" s="211"/>
      <c r="O719" s="212" t="str">
        <f t="shared" si="332"/>
        <v/>
      </c>
      <c r="P719" s="211"/>
      <c r="Q719" s="211"/>
      <c r="R719" s="184">
        <f t="shared" si="333"/>
        <v>0</v>
      </c>
      <c r="S719" s="185" t="str">
        <f t="shared" si="334"/>
        <v/>
      </c>
      <c r="T719" s="213" t="str">
        <f t="shared" si="335"/>
        <v/>
      </c>
      <c r="U719" s="51"/>
      <c r="V719" s="54"/>
      <c r="X719" s="55" t="str">
        <f t="shared" si="328"/>
        <v/>
      </c>
      <c r="Z719" s="187"/>
      <c r="AB719" s="188"/>
      <c r="AD719" s="10" t="str">
        <f t="shared" si="329"/>
        <v/>
      </c>
      <c r="AE719" s="92" t="str">
        <f>+IF(OR($T$719="",X719="",X719="NO"),"",L719)</f>
        <v/>
      </c>
      <c r="AF719" s="92" t="str">
        <f>+IF(AE719="","",L719/$S$719)</f>
        <v/>
      </c>
    </row>
    <row r="720" spans="1:34" ht="36" customHeight="1" x14ac:dyDescent="0.2">
      <c r="B720" s="57" t="str">
        <f>"A"&amp;B707</f>
        <v>A42</v>
      </c>
      <c r="C720" s="382" t="str">
        <f>+$C$23</f>
        <v>¿CADA INTEGRANTE DE PROPONENTE PLURAL APORTAN CONTRATO?  (SI; NO; NA)</v>
      </c>
      <c r="D720" s="383"/>
      <c r="E720" s="383"/>
      <c r="F720" s="383"/>
      <c r="G720" s="383"/>
      <c r="H720" s="384"/>
      <c r="I720" s="217" t="str">
        <f>+IF(AG707="","",IF(AG707=1,"NA",IF(AND(AG707=3,(IF(COUNTIFS(C710:C719,AH710,AE710:AE719,"&gt;0")&gt;=1,1,0)+IF(COUNTIFS(C710:C719,AH711,AE710:AE719,"&gt;0")&gt;=1,1,0)+IF(COUNTIFS(C710:C719,AH712,AE710:AE719,"&gt;0")&gt;=1,1,0))&gt;=AG707),"SI",IF(AND(AG707=2,(IF(COUNTIFS(C710:C719,AH710,AE710:AE719,"&gt;0")&gt;=1,1,0)+IF(COUNTIFS(C710:C719,AH711,AE710:AE719,"&gt;0")&gt;=1,1,0))&gt;=AG707),"SI","NO"))))</f>
        <v/>
      </c>
      <c r="J720" s="59"/>
      <c r="K720" s="27"/>
      <c r="L720" s="27"/>
      <c r="M720" s="27"/>
      <c r="N720" s="27"/>
      <c r="O720" s="27"/>
      <c r="P720" s="385" t="str">
        <f>+$P$23</f>
        <v>FACTURACION MENSUAL TOTAL</v>
      </c>
      <c r="Q720" s="386"/>
      <c r="R720" s="386"/>
      <c r="S720" s="386"/>
      <c r="T720" s="189">
        <f>ROUND(SUM(T710:T719),3)</f>
        <v>0</v>
      </c>
      <c r="U720" s="60"/>
      <c r="V720" s="1"/>
      <c r="W720" s="61"/>
      <c r="X720" s="61"/>
      <c r="Y720" s="61"/>
      <c r="Z720" s="61"/>
      <c r="AA720" s="61"/>
      <c r="AB720" s="61"/>
    </row>
    <row r="721" spans="1:34" ht="38.25" customHeight="1" thickBot="1" x14ac:dyDescent="0.25">
      <c r="B721" s="57" t="str">
        <f>"B"&amp;B707</f>
        <v>B42</v>
      </c>
      <c r="C721" s="387" t="str">
        <f>+C704</f>
        <v>En caso de proponente plural: ¿De la totalidad de los contratos aportados por el proponente plural, el valor ejecutado de uno de ellos deberá ser igual o superior al 30% del P.O.?  (SI; NO; NA)</v>
      </c>
      <c r="D721" s="388"/>
      <c r="E721" s="388"/>
      <c r="F721" s="388"/>
      <c r="G721" s="389"/>
      <c r="H721" s="190">
        <f>+$H$6</f>
        <v>268.14722506074827</v>
      </c>
      <c r="I721" s="191" t="str">
        <f>+IF(AG707="","",IF(AG707=1,"NA",IF(AND(AG707&gt;1,(COUNTIFS(AD710:AD719,"SI",AE710:AE719,"&gt;0"))&gt;=1),"SI","NO")))</f>
        <v/>
      </c>
      <c r="J721" s="192"/>
      <c r="K721" s="193"/>
      <c r="L721" s="194"/>
      <c r="M721" s="194"/>
      <c r="N721" s="194"/>
      <c r="O721" s="194"/>
      <c r="P721" s="387" t="str">
        <f>+$P$24</f>
        <v>PROMEDIO FACTURACIÓN MENSUAL DEL PROPONENTE (PFMP)</v>
      </c>
      <c r="Q721" s="388"/>
      <c r="R721" s="388"/>
      <c r="S721" s="388"/>
      <c r="T721" s="195">
        <f t="array" ref="T721">IF(T720=0,0,ROUND(T720/(SUM(IF(FREQUENCY(A710:A719,A710:A719)&gt;0,1))),3))</f>
        <v>0</v>
      </c>
      <c r="U721" s="214"/>
      <c r="V721" s="1"/>
      <c r="W721" s="61"/>
      <c r="X721" s="61"/>
      <c r="Y721" s="61"/>
      <c r="Z721" s="61"/>
      <c r="AA721" s="61"/>
      <c r="AB721" s="61"/>
    </row>
    <row r="722" spans="1:34" ht="21" customHeight="1" thickBot="1" x14ac:dyDescent="0.25">
      <c r="B722" s="197" t="str">
        <f>"C"&amp;B707</f>
        <v>C42</v>
      </c>
      <c r="C722" s="349" t="str">
        <f>+$C$25</f>
        <v>PROPONENTE CUMPLE CON LAS ACTIVIDADES a) y b)? (SI; NO)</v>
      </c>
      <c r="D722" s="350"/>
      <c r="E722" s="350"/>
      <c r="F722" s="350"/>
      <c r="G722" s="350"/>
      <c r="H722" s="351"/>
      <c r="I722" s="198" t="str">
        <f>IF(C707="","",(IF(AND(COUNTIFS(X710:X719,"SI",Z710:Z719,"SI")&gt;=$Z$8,COUNTIFS(X710:X719,"SI",AB710:AB719,"SI")&gt;=$Z$8),"SI","NO")))</f>
        <v/>
      </c>
      <c r="J722" s="199"/>
      <c r="K722" s="200"/>
      <c r="L722" s="200"/>
      <c r="M722" s="200"/>
      <c r="N722" s="200"/>
      <c r="P722" s="378" t="str">
        <f>+$P$25</f>
        <v>VALOR PUNTAJE POR EXPERIENCIA DEL PROPONENTE</v>
      </c>
      <c r="Q722" s="379"/>
      <c r="R722" s="379"/>
      <c r="S722" s="380"/>
      <c r="T722" s="201" t="str">
        <f>IF(OR(C707="",'ASIGNACION DE PUNTAJES'!$C$5=""),"",VLOOKUP(B707,'ASIGNACION DE PUNTAJES'!$A$15:$G$69,7,FALSE))</f>
        <v/>
      </c>
      <c r="V722" s="202"/>
    </row>
    <row r="723" spans="1:34" ht="12" thickBot="1" x14ac:dyDescent="0.25"/>
    <row r="724" spans="1:34" ht="36.75" customHeight="1" thickBot="1" x14ac:dyDescent="0.25">
      <c r="B724" s="23">
        <f>1+B707</f>
        <v>43</v>
      </c>
      <c r="C724" s="336" t="s">
        <v>932</v>
      </c>
      <c r="D724" s="337"/>
      <c r="E724" s="337"/>
      <c r="F724" s="337"/>
      <c r="G724" s="337"/>
      <c r="H724" s="337"/>
      <c r="I724" s="338"/>
      <c r="J724" s="24" t="str">
        <f>+IF(C724="","","INTEGRANTES")</f>
        <v/>
      </c>
      <c r="K724" s="339" t="s">
        <v>932</v>
      </c>
      <c r="L724" s="339"/>
      <c r="M724" s="339"/>
      <c r="N724" s="339"/>
      <c r="O724" s="339"/>
      <c r="P724" s="339"/>
      <c r="Q724" s="339"/>
      <c r="R724" s="396" t="str">
        <f>+$R$10</f>
        <v>PROPONENTE No.</v>
      </c>
      <c r="S724" s="397"/>
      <c r="T724" s="25">
        <f>+B724</f>
        <v>43</v>
      </c>
      <c r="U724" s="161" t="str">
        <f>+$U$10</f>
        <v>PFMP</v>
      </c>
      <c r="V724" s="162">
        <f>IF(T738="",0,T738)</f>
        <v>0</v>
      </c>
      <c r="X724" s="325" t="s">
        <v>168</v>
      </c>
      <c r="Z724" s="163" t="str">
        <f>+$Z$10</f>
        <v>EXP. ESPECÍFICA 
A:</v>
      </c>
      <c r="AB724" s="163" t="str">
        <f>+$AB$10</f>
        <v>EXP. ESPECÍFICA 
B:</v>
      </c>
      <c r="AG724" s="1" t="s">
        <v>932</v>
      </c>
    </row>
    <row r="725" spans="1:34" ht="42" customHeight="1" x14ac:dyDescent="0.2">
      <c r="B725" s="331" t="str">
        <f>+$B$11</f>
        <v>ITEM</v>
      </c>
      <c r="C725" s="318" t="str">
        <f>+$C$11</f>
        <v>PROPONENTE 
/ 
INTEGRANTE OFERENTE PLURAL</v>
      </c>
      <c r="D725" s="333" t="str">
        <f>+$D$11</f>
        <v>INFORMACIÓN DEL CONTRATO</v>
      </c>
      <c r="E725" s="334"/>
      <c r="F725" s="334"/>
      <c r="G725" s="335"/>
      <c r="H725" s="318" t="str">
        <f>+H708</f>
        <v>CONSECUTIVO RUP</v>
      </c>
      <c r="I725" s="318" t="str">
        <f>+$I$11</f>
        <v>¿SE ENCUENTRA INSCRITO EN EL RUP Y CUMPLE CÓDIGOS UNSPSC?</v>
      </c>
      <c r="J725" s="318" t="str">
        <f>+$J$11</f>
        <v xml:space="preserve">VALOR EN RUP (SMMLV) </v>
      </c>
      <c r="K725" s="318" t="str">
        <f>+$K$11</f>
        <v>% PARTIC en el RUP</v>
      </c>
      <c r="L725" s="318" t="str">
        <f>+$L$11</f>
        <v>VALOR DEL CONTRATO TERMINADO (SMMLV) en el   RUP</v>
      </c>
      <c r="M725" s="318" t="str">
        <f>+$M$11</f>
        <v>FECHA DE INICIO</v>
      </c>
      <c r="N725" s="318" t="str">
        <f>+$N$11</f>
        <v>FECHA DE TERMINACION</v>
      </c>
      <c r="O725" s="318" t="str">
        <f>+$O$11</f>
        <v>PLAZO CONTRA-TO (Meses)</v>
      </c>
      <c r="P725" s="390" t="str">
        <f>+$P$11</f>
        <v>Tsusp i</v>
      </c>
      <c r="Q725" s="391"/>
      <c r="R725" s="392"/>
      <c r="S725" s="318" t="str">
        <f>+$S$11</f>
        <v>PLAZO i REAL</v>
      </c>
      <c r="T725" s="318" t="str">
        <f>+$T$11</f>
        <v>FACTURA-CION MENSUAL PROPO-NENTE</v>
      </c>
      <c r="U725" s="318" t="str">
        <f>+$U$11</f>
        <v>VALIDACIÓN DE LA EXPERIENCIA GENERAL
(SI/NO)</v>
      </c>
      <c r="V725" s="393" t="str">
        <f>+$V$11</f>
        <v>OBSERVACIONES</v>
      </c>
      <c r="X725" s="326"/>
      <c r="Z725" s="381" t="str">
        <f>+$Z$11</f>
        <v>Interventoria a la ejecución de obras relacionadas con Colocación de capas granulares (tales como bases y/o sub-bases granulares).</v>
      </c>
      <c r="AB725" s="381" t="str">
        <f>+$AB$11</f>
        <v>Interventoria a la Ejecución de obras de subdrenaje y/o drenaje, en carreteras.</v>
      </c>
    </row>
    <row r="726" spans="1:34" ht="38.25" customHeight="1" thickBot="1" x14ac:dyDescent="0.25">
      <c r="B726" s="395"/>
      <c r="C726" s="348"/>
      <c r="D726" s="165" t="str">
        <f>+$D$12</f>
        <v>ENTIDAD</v>
      </c>
      <c r="E726" s="165" t="str">
        <f>+$E$12</f>
        <v>No. DE CONTRATO</v>
      </c>
      <c r="F726" s="165" t="str">
        <f>+$F$12</f>
        <v>OBJETO</v>
      </c>
      <c r="G726" s="165" t="str">
        <f>+$G$12</f>
        <v>CONTRATISTA</v>
      </c>
      <c r="H726" s="348"/>
      <c r="I726" s="348"/>
      <c r="J726" s="348"/>
      <c r="K726" s="348"/>
      <c r="L726" s="348"/>
      <c r="M726" s="348"/>
      <c r="N726" s="348"/>
      <c r="O726" s="348"/>
      <c r="P726" s="166" t="str">
        <f>+P709</f>
        <v>Finicsuspi</v>
      </c>
      <c r="Q726" s="166" t="str">
        <f>+Q709</f>
        <v xml:space="preserve"> Ftermsuspi </v>
      </c>
      <c r="R726" s="166" t="str">
        <f>+R709</f>
        <v>Tsusp i (meses)</v>
      </c>
      <c r="S726" s="348"/>
      <c r="T726" s="348"/>
      <c r="U726" s="348"/>
      <c r="V726" s="394"/>
      <c r="X726" s="327"/>
      <c r="Z726" s="381"/>
      <c r="AB726" s="381"/>
    </row>
    <row r="727" spans="1:34" s="27" customFormat="1" ht="12.75" x14ac:dyDescent="0.2">
      <c r="A727" s="27" t="str">
        <f>+IF(T727="","",B727)</f>
        <v/>
      </c>
      <c r="B727" s="28">
        <v>1</v>
      </c>
      <c r="C727" s="86"/>
      <c r="D727" s="86"/>
      <c r="E727" s="87"/>
      <c r="F727" s="87"/>
      <c r="G727" s="86"/>
      <c r="H727" s="30"/>
      <c r="I727" s="31"/>
      <c r="J727" s="32"/>
      <c r="K727" s="33"/>
      <c r="L727" s="34">
        <f>IF(OR(H727="",I727&lt;&gt;"SI",I727="NO",J727="",J727=0,K727="",K727=0,X727&lt;&gt;"SI"),0,J727*K727)</f>
        <v>0</v>
      </c>
      <c r="M727" s="204"/>
      <c r="N727" s="204"/>
      <c r="O727" s="169" t="str">
        <f>IF(OR(H727="",I727&lt;&gt;"SI",I727="NO",J727="",J727=0,K727="",K727=0,,M727="",N727=""),"",ROUND((((N727-M727)+1)/30),3))</f>
        <v/>
      </c>
      <c r="P727" s="204"/>
      <c r="Q727" s="204"/>
      <c r="R727" s="170">
        <f>IF(OR((Q727-P727)=0,P727="",Q727=""),0,(ROUND((((Q727-P727)+1)/30),3)))</f>
        <v>0</v>
      </c>
      <c r="S727" s="171" t="str">
        <f>IF(O727="","",ROUND(SUM(O727)-SUM(R727),3))</f>
        <v/>
      </c>
      <c r="T727" s="172" t="str">
        <f>+IF(C727="","",IF(OR(S727="",S727&lt;=0,I727="",I727="NO",U727="",U727="NO",X727="NO"),"",ROUND(SUM(L727)/S727,3)))</f>
        <v/>
      </c>
      <c r="U727" s="35"/>
      <c r="V727" s="36"/>
      <c r="W727" s="205"/>
      <c r="X727" s="37" t="str">
        <f t="shared" ref="X727:X736" si="336">+IF(C727="","",IF(AND(H727&lt;&gt;"",I727="SI",J727&lt;&gt;"",J727&gt;0,K727&lt;&gt;"",K727&gt;0,S727&lt;&gt;"",S727&gt;0,U727="SI"),"SI","NO"))</f>
        <v/>
      </c>
      <c r="Z727" s="173"/>
      <c r="AB727" s="173"/>
      <c r="AD727" s="10" t="str">
        <f t="shared" ref="AD727:AD736" si="337">+IF($C$724="","",IF(C727="","",IF(L727&gt;=$H$6,"SI","NO")))</f>
        <v/>
      </c>
      <c r="AE727" s="92" t="str">
        <f>+IF(OR($T$727="",X727="",X727="NO"),"",L727)</f>
        <v/>
      </c>
      <c r="AF727" s="92" t="str">
        <f>+IF(AE727="","",L727/$S$727)</f>
        <v/>
      </c>
      <c r="AG727" s="174">
        <f>0.1+B724</f>
        <v>43.1</v>
      </c>
      <c r="AH727" s="27" t="s">
        <v>932</v>
      </c>
    </row>
    <row r="728" spans="1:34" s="27" customFormat="1" ht="12.75" x14ac:dyDescent="0.2">
      <c r="A728" s="27" t="str">
        <f t="shared" ref="A728:A736" si="338">+IF(T728="","",B728)</f>
        <v/>
      </c>
      <c r="B728" s="38">
        <v>2</v>
      </c>
      <c r="C728" s="39"/>
      <c r="D728" s="39"/>
      <c r="E728" s="46"/>
      <c r="F728" s="46"/>
      <c r="G728" s="39"/>
      <c r="H728" s="40"/>
      <c r="I728" s="41"/>
      <c r="J728" s="42"/>
      <c r="K728" s="43"/>
      <c r="L728" s="44">
        <f t="shared" ref="L728:L736" si="339">IF(OR(H728="",I728&lt;&gt;"SI",I728="NO",J728="",J728=0,K728="",K728=0,X728&lt;&gt;"SI"),0,J728*K728)</f>
        <v>0</v>
      </c>
      <c r="M728" s="206"/>
      <c r="N728" s="206"/>
      <c r="O728" s="207" t="str">
        <f t="shared" ref="O728:O736" si="340">IF(OR(H728="",I728&lt;&gt;"SI",I728="NO",J728="",J728=0,K728="",K728=0,,M728="",N728=""),"",ROUND((((N728-M728)+1)/30),3))</f>
        <v/>
      </c>
      <c r="P728" s="206"/>
      <c r="Q728" s="206"/>
      <c r="R728" s="177">
        <f t="shared" ref="R728:R736" si="341">IF(OR((Q728-P728)=0,P728="",Q728=""),0,(ROUND((((Q728-P728)+1)/30),3)))</f>
        <v>0</v>
      </c>
      <c r="S728" s="178" t="str">
        <f t="shared" ref="S728:S736" si="342">IF(O728="","",ROUND(SUM(O728)-SUM(R728),3))</f>
        <v/>
      </c>
      <c r="T728" s="208" t="str">
        <f t="shared" ref="T728:T736" si="343">+IF(C728="","",IF(OR(S728="",S728&lt;=0,I728="",I728="NO",U728="",U728="NO",X728="NO"),"",ROUND(SUM(L728)/S728,3)))</f>
        <v/>
      </c>
      <c r="U728" s="41"/>
      <c r="V728" s="209"/>
      <c r="W728" s="205"/>
      <c r="X728" s="37" t="str">
        <f t="shared" si="336"/>
        <v/>
      </c>
      <c r="Z728" s="173"/>
      <c r="AB728" s="173"/>
      <c r="AD728" s="10" t="str">
        <f t="shared" si="337"/>
        <v/>
      </c>
      <c r="AE728" s="92" t="str">
        <f>+IF(OR($T$728="",X728="",X728="NO"),"",L728)</f>
        <v/>
      </c>
      <c r="AF728" s="92" t="str">
        <f>+IF(AE728="","",L728/$S$728)</f>
        <v/>
      </c>
      <c r="AG728" s="174">
        <f>0.2+B724</f>
        <v>43.2</v>
      </c>
      <c r="AH728" s="27" t="s">
        <v>932</v>
      </c>
    </row>
    <row r="729" spans="1:34" s="27" customFormat="1" ht="12.75" x14ac:dyDescent="0.2">
      <c r="A729" s="27" t="str">
        <f t="shared" si="338"/>
        <v/>
      </c>
      <c r="B729" s="38">
        <v>3</v>
      </c>
      <c r="C729" s="39"/>
      <c r="D729" s="39"/>
      <c r="E729" s="46"/>
      <c r="F729" s="46"/>
      <c r="G729" s="39"/>
      <c r="H729" s="40"/>
      <c r="I729" s="41"/>
      <c r="J729" s="42"/>
      <c r="K729" s="43"/>
      <c r="L729" s="44">
        <f t="shared" si="339"/>
        <v>0</v>
      </c>
      <c r="M729" s="206"/>
      <c r="N729" s="206"/>
      <c r="O729" s="207" t="str">
        <f t="shared" si="340"/>
        <v/>
      </c>
      <c r="P729" s="206"/>
      <c r="Q729" s="206"/>
      <c r="R729" s="177">
        <f t="shared" si="341"/>
        <v>0</v>
      </c>
      <c r="S729" s="178" t="str">
        <f t="shared" si="342"/>
        <v/>
      </c>
      <c r="T729" s="208" t="str">
        <f t="shared" si="343"/>
        <v/>
      </c>
      <c r="U729" s="41"/>
      <c r="V729" s="45"/>
      <c r="W729" s="205"/>
      <c r="X729" s="37" t="str">
        <f t="shared" si="336"/>
        <v/>
      </c>
      <c r="Z729" s="173"/>
      <c r="AB729" s="173"/>
      <c r="AD729" s="10" t="str">
        <f t="shared" si="337"/>
        <v/>
      </c>
      <c r="AE729" s="92" t="str">
        <f>+IF(OR($T$729="",X729="",X729="NO"),"",L729)</f>
        <v/>
      </c>
      <c r="AF729" s="92" t="str">
        <f>+IF(AE729="","",L729/$S$729)</f>
        <v/>
      </c>
      <c r="AG729" s="174">
        <f>0.3+B724</f>
        <v>43.3</v>
      </c>
      <c r="AH729" s="27" t="s">
        <v>932</v>
      </c>
    </row>
    <row r="730" spans="1:34" s="27" customFormat="1" ht="12.75" x14ac:dyDescent="0.2">
      <c r="A730" s="27" t="str">
        <f t="shared" si="338"/>
        <v/>
      </c>
      <c r="B730" s="38">
        <v>4</v>
      </c>
      <c r="C730" s="39"/>
      <c r="D730" s="39"/>
      <c r="E730" s="46"/>
      <c r="F730" s="46"/>
      <c r="G730" s="39"/>
      <c r="H730" s="40"/>
      <c r="I730" s="41"/>
      <c r="J730" s="42"/>
      <c r="K730" s="43"/>
      <c r="L730" s="44">
        <f t="shared" si="339"/>
        <v>0</v>
      </c>
      <c r="M730" s="206"/>
      <c r="N730" s="206"/>
      <c r="O730" s="207" t="str">
        <f t="shared" si="340"/>
        <v/>
      </c>
      <c r="P730" s="206"/>
      <c r="Q730" s="206"/>
      <c r="R730" s="177">
        <f t="shared" si="341"/>
        <v>0</v>
      </c>
      <c r="S730" s="178" t="str">
        <f t="shared" si="342"/>
        <v/>
      </c>
      <c r="T730" s="208" t="str">
        <f t="shared" si="343"/>
        <v/>
      </c>
      <c r="U730" s="41"/>
      <c r="V730" s="45"/>
      <c r="W730" s="210"/>
      <c r="X730" s="37" t="str">
        <f t="shared" si="336"/>
        <v/>
      </c>
      <c r="Z730" s="180"/>
      <c r="AB730" s="173"/>
      <c r="AD730" s="10" t="str">
        <f t="shared" si="337"/>
        <v/>
      </c>
      <c r="AE730" s="92" t="str">
        <f>+IF(OR($T$730="",X730="",X730="NO"),"",L730)</f>
        <v/>
      </c>
      <c r="AF730" s="92" t="str">
        <f>+IF(AE730="","",L730/$S$730)</f>
        <v/>
      </c>
      <c r="AG730" s="174"/>
    </row>
    <row r="731" spans="1:34" s="27" customFormat="1" ht="12.75" x14ac:dyDescent="0.2">
      <c r="A731" s="27" t="str">
        <f t="shared" si="338"/>
        <v/>
      </c>
      <c r="B731" s="38">
        <v>5</v>
      </c>
      <c r="C731" s="39"/>
      <c r="D731" s="39"/>
      <c r="E731" s="46"/>
      <c r="F731" s="46"/>
      <c r="G731" s="39"/>
      <c r="H731" s="40"/>
      <c r="I731" s="41"/>
      <c r="J731" s="42"/>
      <c r="K731" s="43"/>
      <c r="L731" s="44">
        <f t="shared" si="339"/>
        <v>0</v>
      </c>
      <c r="M731" s="206"/>
      <c r="N731" s="206"/>
      <c r="O731" s="207" t="str">
        <f t="shared" si="340"/>
        <v/>
      </c>
      <c r="P731" s="206"/>
      <c r="Q731" s="206"/>
      <c r="R731" s="177">
        <f t="shared" si="341"/>
        <v>0</v>
      </c>
      <c r="S731" s="178" t="str">
        <f t="shared" si="342"/>
        <v/>
      </c>
      <c r="T731" s="208" t="str">
        <f t="shared" si="343"/>
        <v/>
      </c>
      <c r="U731" s="41"/>
      <c r="V731" s="45"/>
      <c r="X731" s="37" t="str">
        <f t="shared" si="336"/>
        <v/>
      </c>
      <c r="Z731" s="181"/>
      <c r="AB731" s="173"/>
      <c r="AD731" s="10" t="str">
        <f t="shared" si="337"/>
        <v/>
      </c>
      <c r="AE731" s="92" t="str">
        <f>+IF(OR($T$731="",X731="",X731="NO"),"",L731)</f>
        <v/>
      </c>
      <c r="AF731" s="92" t="str">
        <f>+IF(AE731="","",L731/$S$731)</f>
        <v/>
      </c>
      <c r="AG731" s="174"/>
    </row>
    <row r="732" spans="1:34" s="27" customFormat="1" ht="12.75" x14ac:dyDescent="0.2">
      <c r="A732" s="27" t="str">
        <f t="shared" si="338"/>
        <v/>
      </c>
      <c r="B732" s="38">
        <v>6</v>
      </c>
      <c r="C732" s="39"/>
      <c r="D732" s="39"/>
      <c r="E732" s="46"/>
      <c r="F732" s="46"/>
      <c r="G732" s="39"/>
      <c r="H732" s="40"/>
      <c r="I732" s="41"/>
      <c r="J732" s="42"/>
      <c r="K732" s="43"/>
      <c r="L732" s="44">
        <f t="shared" si="339"/>
        <v>0</v>
      </c>
      <c r="M732" s="206"/>
      <c r="N732" s="206"/>
      <c r="O732" s="207" t="str">
        <f t="shared" si="340"/>
        <v/>
      </c>
      <c r="P732" s="206"/>
      <c r="Q732" s="206"/>
      <c r="R732" s="177">
        <f t="shared" si="341"/>
        <v>0</v>
      </c>
      <c r="S732" s="178" t="str">
        <f t="shared" si="342"/>
        <v/>
      </c>
      <c r="T732" s="208" t="str">
        <f t="shared" si="343"/>
        <v/>
      </c>
      <c r="U732" s="41"/>
      <c r="V732" s="45"/>
      <c r="X732" s="37" t="str">
        <f t="shared" si="336"/>
        <v/>
      </c>
      <c r="Z732" s="181"/>
      <c r="AB732" s="173"/>
      <c r="AD732" s="10" t="str">
        <f t="shared" si="337"/>
        <v/>
      </c>
      <c r="AE732" s="92" t="str">
        <f>+IF(OR($T$732="",X732="",X732="NO"),"",L732)</f>
        <v/>
      </c>
      <c r="AF732" s="92" t="str">
        <f>+IF(AE732="","",L732/$S$732)</f>
        <v/>
      </c>
      <c r="AG732" s="174"/>
    </row>
    <row r="733" spans="1:34" s="27" customFormat="1" ht="12.75" x14ac:dyDescent="0.2">
      <c r="A733" s="27" t="str">
        <f t="shared" si="338"/>
        <v/>
      </c>
      <c r="B733" s="38">
        <v>7</v>
      </c>
      <c r="C733" s="39"/>
      <c r="D733" s="39"/>
      <c r="E733" s="46"/>
      <c r="F733" s="46"/>
      <c r="G733" s="39"/>
      <c r="H733" s="40"/>
      <c r="I733" s="41"/>
      <c r="J733" s="42"/>
      <c r="K733" s="43"/>
      <c r="L733" s="44">
        <f t="shared" si="339"/>
        <v>0</v>
      </c>
      <c r="M733" s="206"/>
      <c r="N733" s="206"/>
      <c r="O733" s="207" t="str">
        <f t="shared" si="340"/>
        <v/>
      </c>
      <c r="P733" s="206"/>
      <c r="Q733" s="206"/>
      <c r="R733" s="177">
        <f t="shared" si="341"/>
        <v>0</v>
      </c>
      <c r="S733" s="178" t="str">
        <f t="shared" si="342"/>
        <v/>
      </c>
      <c r="T733" s="208" t="str">
        <f t="shared" si="343"/>
        <v/>
      </c>
      <c r="U733" s="41"/>
      <c r="V733" s="45"/>
      <c r="X733" s="37" t="str">
        <f t="shared" si="336"/>
        <v/>
      </c>
      <c r="Z733" s="181"/>
      <c r="AB733" s="173"/>
      <c r="AD733" s="10" t="str">
        <f t="shared" si="337"/>
        <v/>
      </c>
      <c r="AE733" s="92" t="str">
        <f>+IF(OR($T$733="",X733="",X733="NO"),"",L733)</f>
        <v/>
      </c>
      <c r="AF733" s="92" t="str">
        <f>+IF(AE733="","",L733/$S$733)</f>
        <v/>
      </c>
      <c r="AG733" s="174"/>
    </row>
    <row r="734" spans="1:34" s="27" customFormat="1" ht="12.75" x14ac:dyDescent="0.2">
      <c r="A734" s="27" t="str">
        <f t="shared" si="338"/>
        <v/>
      </c>
      <c r="B734" s="38">
        <v>8</v>
      </c>
      <c r="C734" s="39"/>
      <c r="D734" s="39"/>
      <c r="E734" s="46"/>
      <c r="F734" s="46"/>
      <c r="G734" s="39"/>
      <c r="H734" s="40"/>
      <c r="I734" s="41"/>
      <c r="J734" s="42"/>
      <c r="K734" s="43"/>
      <c r="L734" s="44">
        <f t="shared" si="339"/>
        <v>0</v>
      </c>
      <c r="M734" s="206"/>
      <c r="N734" s="206"/>
      <c r="O734" s="207" t="str">
        <f t="shared" si="340"/>
        <v/>
      </c>
      <c r="P734" s="206"/>
      <c r="Q734" s="206"/>
      <c r="R734" s="177">
        <f t="shared" si="341"/>
        <v>0</v>
      </c>
      <c r="S734" s="178" t="str">
        <f t="shared" si="342"/>
        <v/>
      </c>
      <c r="T734" s="208" t="str">
        <f t="shared" si="343"/>
        <v/>
      </c>
      <c r="U734" s="41"/>
      <c r="V734" s="45"/>
      <c r="X734" s="37" t="str">
        <f t="shared" si="336"/>
        <v/>
      </c>
      <c r="Z734" s="181"/>
      <c r="AB734" s="173"/>
      <c r="AD734" s="10" t="str">
        <f t="shared" si="337"/>
        <v/>
      </c>
      <c r="AE734" s="92" t="str">
        <f>+IF(OR($T$734="",X734="",X734="NO"),"",L734)</f>
        <v/>
      </c>
      <c r="AF734" s="92" t="str">
        <f>+IF(AE734="","",L734/$S$734)</f>
        <v/>
      </c>
      <c r="AG734" s="174"/>
    </row>
    <row r="735" spans="1:34" s="27" customFormat="1" ht="12.75" x14ac:dyDescent="0.2">
      <c r="A735" s="27" t="str">
        <f t="shared" si="338"/>
        <v/>
      </c>
      <c r="B735" s="38">
        <v>9</v>
      </c>
      <c r="C735" s="39"/>
      <c r="D735" s="39"/>
      <c r="E735" s="46"/>
      <c r="F735" s="46"/>
      <c r="G735" s="39"/>
      <c r="H735" s="40"/>
      <c r="I735" s="41"/>
      <c r="J735" s="42"/>
      <c r="K735" s="43"/>
      <c r="L735" s="44">
        <f t="shared" si="339"/>
        <v>0</v>
      </c>
      <c r="M735" s="206"/>
      <c r="N735" s="206"/>
      <c r="O735" s="207" t="str">
        <f t="shared" si="340"/>
        <v/>
      </c>
      <c r="P735" s="206"/>
      <c r="Q735" s="206"/>
      <c r="R735" s="177">
        <f t="shared" si="341"/>
        <v>0</v>
      </c>
      <c r="S735" s="178" t="str">
        <f t="shared" si="342"/>
        <v/>
      </c>
      <c r="T735" s="208" t="str">
        <f t="shared" si="343"/>
        <v/>
      </c>
      <c r="U735" s="41"/>
      <c r="V735" s="45"/>
      <c r="X735" s="37" t="str">
        <f t="shared" si="336"/>
        <v/>
      </c>
      <c r="Z735" s="181"/>
      <c r="AB735" s="173"/>
      <c r="AD735" s="10" t="str">
        <f t="shared" si="337"/>
        <v/>
      </c>
      <c r="AE735" s="92" t="str">
        <f>+IF(OR($T$735="",X735="",X735="NO"),"",L735)</f>
        <v/>
      </c>
      <c r="AF735" s="92" t="str">
        <f>+IF(AE735="","",L735/$S$735)</f>
        <v/>
      </c>
      <c r="AG735" s="174"/>
    </row>
    <row r="736" spans="1:34" s="27" customFormat="1" ht="13.5" thickBot="1" x14ac:dyDescent="0.25">
      <c r="A736" s="27" t="str">
        <f t="shared" si="338"/>
        <v/>
      </c>
      <c r="B736" s="47">
        <v>10</v>
      </c>
      <c r="C736" s="48"/>
      <c r="D736" s="48"/>
      <c r="E736" s="49"/>
      <c r="F736" s="49"/>
      <c r="G736" s="48"/>
      <c r="H736" s="50"/>
      <c r="I736" s="51"/>
      <c r="J736" s="14"/>
      <c r="K736" s="52"/>
      <c r="L736" s="53">
        <f t="shared" si="339"/>
        <v>0</v>
      </c>
      <c r="M736" s="211"/>
      <c r="N736" s="211"/>
      <c r="O736" s="212" t="str">
        <f t="shared" si="340"/>
        <v/>
      </c>
      <c r="P736" s="211"/>
      <c r="Q736" s="211"/>
      <c r="R736" s="184">
        <f t="shared" si="341"/>
        <v>0</v>
      </c>
      <c r="S736" s="185" t="str">
        <f t="shared" si="342"/>
        <v/>
      </c>
      <c r="T736" s="213" t="str">
        <f t="shared" si="343"/>
        <v/>
      </c>
      <c r="U736" s="51"/>
      <c r="V736" s="54"/>
      <c r="X736" s="55" t="str">
        <f t="shared" si="336"/>
        <v/>
      </c>
      <c r="Z736" s="187"/>
      <c r="AB736" s="188"/>
      <c r="AD736" s="10" t="str">
        <f t="shared" si="337"/>
        <v/>
      </c>
      <c r="AE736" s="92" t="str">
        <f>+IF(OR($T$736="",X736="",X736="NO"),"",L736)</f>
        <v/>
      </c>
      <c r="AF736" s="92" t="str">
        <f>+IF(AE736="","",L736/$S$736)</f>
        <v/>
      </c>
    </row>
    <row r="737" spans="1:34" ht="36" customHeight="1" x14ac:dyDescent="0.2">
      <c r="B737" s="57" t="str">
        <f>"A"&amp;B724</f>
        <v>A43</v>
      </c>
      <c r="C737" s="382" t="str">
        <f>+$C$23</f>
        <v>¿CADA INTEGRANTE DE PROPONENTE PLURAL APORTAN CONTRATO?  (SI; NO; NA)</v>
      </c>
      <c r="D737" s="383"/>
      <c r="E737" s="383"/>
      <c r="F737" s="383"/>
      <c r="G737" s="383"/>
      <c r="H737" s="384"/>
      <c r="I737" s="217" t="str">
        <f>+IF(AG724="","",IF(AG724=1,"NA",IF(AND(AG724=3,(IF(COUNTIFS(C727:C736,AH727,AE727:AE736,"&gt;0")&gt;=1,1,0)+IF(COUNTIFS(C727:C736,AH728,AE727:AE736,"&gt;0")&gt;=1,1,0)+IF(COUNTIFS(C727:C736,AH729,AE727:AE736,"&gt;0")&gt;=1,1,0))&gt;=AG724),"SI",IF(AND(AG724=2,(IF(COUNTIFS(C727:C736,AH727,AE727:AE736,"&gt;0")&gt;=1,1,0)+IF(COUNTIFS(C727:C736,AH728,AE727:AE736,"&gt;0")&gt;=1,1,0))&gt;=AG724),"SI","NO"))))</f>
        <v/>
      </c>
      <c r="J737" s="59"/>
      <c r="K737" s="27"/>
      <c r="L737" s="27"/>
      <c r="M737" s="27"/>
      <c r="N737" s="27"/>
      <c r="O737" s="27"/>
      <c r="P737" s="385" t="str">
        <f>+$P$23</f>
        <v>FACTURACION MENSUAL TOTAL</v>
      </c>
      <c r="Q737" s="386"/>
      <c r="R737" s="386"/>
      <c r="S737" s="386"/>
      <c r="T737" s="189">
        <f>ROUND(SUM(T727:T736),3)</f>
        <v>0</v>
      </c>
      <c r="U737" s="60"/>
      <c r="V737" s="1"/>
      <c r="W737" s="61"/>
      <c r="X737" s="61"/>
      <c r="Y737" s="61"/>
      <c r="Z737" s="61"/>
      <c r="AA737" s="61"/>
      <c r="AB737" s="61"/>
    </row>
    <row r="738" spans="1:34" ht="38.25" customHeight="1" thickBot="1" x14ac:dyDescent="0.25">
      <c r="B738" s="57" t="str">
        <f>"B"&amp;B724</f>
        <v>B43</v>
      </c>
      <c r="C738" s="387" t="str">
        <f>+C721</f>
        <v>En caso de proponente plural: ¿De la totalidad de los contratos aportados por el proponente plural, el valor ejecutado de uno de ellos deberá ser igual o superior al 30% del P.O.?  (SI; NO; NA)</v>
      </c>
      <c r="D738" s="388"/>
      <c r="E738" s="388"/>
      <c r="F738" s="388"/>
      <c r="G738" s="389"/>
      <c r="H738" s="190">
        <f>+$H$6</f>
        <v>268.14722506074827</v>
      </c>
      <c r="I738" s="191" t="str">
        <f>+IF(AG724="","",IF(AG724=1,"NA",IF(AND(AG724&gt;1,(COUNTIFS(AD727:AD736,"SI",AE727:AE736,"&gt;0"))&gt;=1),"SI","NO")))</f>
        <v/>
      </c>
      <c r="J738" s="192"/>
      <c r="K738" s="193"/>
      <c r="L738" s="194"/>
      <c r="M738" s="194"/>
      <c r="N738" s="194"/>
      <c r="O738" s="194"/>
      <c r="P738" s="387" t="str">
        <f>+$P$24</f>
        <v>PROMEDIO FACTURACIÓN MENSUAL DEL PROPONENTE (PFMP)</v>
      </c>
      <c r="Q738" s="388"/>
      <c r="R738" s="388"/>
      <c r="S738" s="388"/>
      <c r="T738" s="195">
        <f t="array" ref="T738">IF(T737=0,0,ROUND(T737/(SUM(IF(FREQUENCY(A727:A736,A727:A736)&gt;0,1))),3))</f>
        <v>0</v>
      </c>
      <c r="U738" s="214"/>
      <c r="V738" s="1"/>
      <c r="W738" s="61"/>
      <c r="X738" s="61"/>
      <c r="Y738" s="61"/>
      <c r="Z738" s="61"/>
      <c r="AA738" s="61"/>
      <c r="AB738" s="61"/>
    </row>
    <row r="739" spans="1:34" ht="21" customHeight="1" thickBot="1" x14ac:dyDescent="0.25">
      <c r="B739" s="197" t="str">
        <f>"C"&amp;B724</f>
        <v>C43</v>
      </c>
      <c r="C739" s="349" t="str">
        <f>+$C$25</f>
        <v>PROPONENTE CUMPLE CON LAS ACTIVIDADES a) y b)? (SI; NO)</v>
      </c>
      <c r="D739" s="350"/>
      <c r="E739" s="350"/>
      <c r="F739" s="350"/>
      <c r="G739" s="350"/>
      <c r="H739" s="351"/>
      <c r="I739" s="198" t="str">
        <f>IF(C724="","",(IF(AND(COUNTIFS(X727:X736,"SI",Z727:Z736,"SI")&gt;=$Z$8,COUNTIFS(X727:X736,"SI",AB727:AB736,"SI")&gt;=$Z$8),"SI","NO")))</f>
        <v/>
      </c>
      <c r="J739" s="199"/>
      <c r="K739" s="200"/>
      <c r="L739" s="200"/>
      <c r="M739" s="200"/>
      <c r="N739" s="200"/>
      <c r="P739" s="378" t="str">
        <f>+$P$25</f>
        <v>VALOR PUNTAJE POR EXPERIENCIA DEL PROPONENTE</v>
      </c>
      <c r="Q739" s="379"/>
      <c r="R739" s="379"/>
      <c r="S739" s="380"/>
      <c r="T739" s="201" t="str">
        <f>IF(OR(C724="",'ASIGNACION DE PUNTAJES'!$C$5=""),"",VLOOKUP(B724,'ASIGNACION DE PUNTAJES'!$A$15:$G$69,7,FALSE))</f>
        <v/>
      </c>
      <c r="V739" s="202"/>
    </row>
    <row r="740" spans="1:34" ht="12" thickBot="1" x14ac:dyDescent="0.25"/>
    <row r="741" spans="1:34" ht="36.75" customHeight="1" thickBot="1" x14ac:dyDescent="0.25">
      <c r="B741" s="23">
        <f>1+B724</f>
        <v>44</v>
      </c>
      <c r="C741" s="336" t="s">
        <v>932</v>
      </c>
      <c r="D741" s="337"/>
      <c r="E741" s="337"/>
      <c r="F741" s="337"/>
      <c r="G741" s="337"/>
      <c r="H741" s="337"/>
      <c r="I741" s="338"/>
      <c r="J741" s="24" t="str">
        <f>+IF(C741="","","INTEGRANTES")</f>
        <v/>
      </c>
      <c r="K741" s="339" t="s">
        <v>932</v>
      </c>
      <c r="L741" s="339"/>
      <c r="M741" s="339"/>
      <c r="N741" s="339"/>
      <c r="O741" s="339"/>
      <c r="P741" s="339"/>
      <c r="Q741" s="339"/>
      <c r="R741" s="396" t="str">
        <f>+$R$10</f>
        <v>PROPONENTE No.</v>
      </c>
      <c r="S741" s="397"/>
      <c r="T741" s="25">
        <f>+B741</f>
        <v>44</v>
      </c>
      <c r="U741" s="161" t="str">
        <f>+$U$10</f>
        <v>PFMP</v>
      </c>
      <c r="V741" s="162">
        <f>IF(T755="",0,T755)</f>
        <v>0</v>
      </c>
      <c r="X741" s="325" t="s">
        <v>168</v>
      </c>
      <c r="Z741" s="163" t="str">
        <f>+$Z$10</f>
        <v>EXP. ESPECÍFICA 
A:</v>
      </c>
      <c r="AB741" s="163" t="str">
        <f>+$AB$10</f>
        <v>EXP. ESPECÍFICA 
B:</v>
      </c>
      <c r="AG741" s="1" t="s">
        <v>932</v>
      </c>
    </row>
    <row r="742" spans="1:34" ht="42" customHeight="1" x14ac:dyDescent="0.2">
      <c r="B742" s="331" t="str">
        <f>+$B$11</f>
        <v>ITEM</v>
      </c>
      <c r="C742" s="318" t="str">
        <f>+$C$11</f>
        <v>PROPONENTE 
/ 
INTEGRANTE OFERENTE PLURAL</v>
      </c>
      <c r="D742" s="333" t="str">
        <f>+$D$11</f>
        <v>INFORMACIÓN DEL CONTRATO</v>
      </c>
      <c r="E742" s="334"/>
      <c r="F742" s="334"/>
      <c r="G742" s="335"/>
      <c r="H742" s="318" t="str">
        <f>+H725</f>
        <v>CONSECUTIVO RUP</v>
      </c>
      <c r="I742" s="318" t="str">
        <f>+$I$11</f>
        <v>¿SE ENCUENTRA INSCRITO EN EL RUP Y CUMPLE CÓDIGOS UNSPSC?</v>
      </c>
      <c r="J742" s="318" t="str">
        <f>+$J$11</f>
        <v xml:space="preserve">VALOR EN RUP (SMMLV) </v>
      </c>
      <c r="K742" s="318" t="str">
        <f>+$K$11</f>
        <v>% PARTIC en el RUP</v>
      </c>
      <c r="L742" s="318" t="str">
        <f>+$L$11</f>
        <v>VALOR DEL CONTRATO TERMINADO (SMMLV) en el   RUP</v>
      </c>
      <c r="M742" s="318" t="str">
        <f>+$M$11</f>
        <v>FECHA DE INICIO</v>
      </c>
      <c r="N742" s="318" t="str">
        <f>+$N$11</f>
        <v>FECHA DE TERMINACION</v>
      </c>
      <c r="O742" s="318" t="str">
        <f>+$O$11</f>
        <v>PLAZO CONTRA-TO (Meses)</v>
      </c>
      <c r="P742" s="390" t="str">
        <f>+$P$11</f>
        <v>Tsusp i</v>
      </c>
      <c r="Q742" s="391"/>
      <c r="R742" s="392"/>
      <c r="S742" s="318" t="str">
        <f>+$S$11</f>
        <v>PLAZO i REAL</v>
      </c>
      <c r="T742" s="318" t="str">
        <f>+$T$11</f>
        <v>FACTURA-CION MENSUAL PROPO-NENTE</v>
      </c>
      <c r="U742" s="318" t="str">
        <f>+$U$11</f>
        <v>VALIDACIÓN DE LA EXPERIENCIA GENERAL
(SI/NO)</v>
      </c>
      <c r="V742" s="393" t="str">
        <f>+$V$11</f>
        <v>OBSERVACIONES</v>
      </c>
      <c r="X742" s="326"/>
      <c r="Z742" s="381" t="str">
        <f>+$Z$11</f>
        <v>Interventoria a la ejecución de obras relacionadas con Colocación de capas granulares (tales como bases y/o sub-bases granulares).</v>
      </c>
      <c r="AB742" s="381" t="str">
        <f>+$AB$11</f>
        <v>Interventoria a la Ejecución de obras de subdrenaje y/o drenaje, en carreteras.</v>
      </c>
    </row>
    <row r="743" spans="1:34" ht="38.25" customHeight="1" thickBot="1" x14ac:dyDescent="0.25">
      <c r="B743" s="395"/>
      <c r="C743" s="348"/>
      <c r="D743" s="165" t="str">
        <f>+$D$12</f>
        <v>ENTIDAD</v>
      </c>
      <c r="E743" s="165" t="str">
        <f>+$E$12</f>
        <v>No. DE CONTRATO</v>
      </c>
      <c r="F743" s="165" t="str">
        <f>+$F$12</f>
        <v>OBJETO</v>
      </c>
      <c r="G743" s="165" t="str">
        <f>+$G$12</f>
        <v>CONTRATISTA</v>
      </c>
      <c r="H743" s="348"/>
      <c r="I743" s="348"/>
      <c r="J743" s="348"/>
      <c r="K743" s="348"/>
      <c r="L743" s="348"/>
      <c r="M743" s="348"/>
      <c r="N743" s="348"/>
      <c r="O743" s="348"/>
      <c r="P743" s="166" t="str">
        <f>+P726</f>
        <v>Finicsuspi</v>
      </c>
      <c r="Q743" s="166" t="str">
        <f>+Q726</f>
        <v xml:space="preserve"> Ftermsuspi </v>
      </c>
      <c r="R743" s="166" t="str">
        <f>+R726</f>
        <v>Tsusp i (meses)</v>
      </c>
      <c r="S743" s="348"/>
      <c r="T743" s="348"/>
      <c r="U743" s="348"/>
      <c r="V743" s="394"/>
      <c r="X743" s="327"/>
      <c r="Z743" s="381"/>
      <c r="AB743" s="381"/>
    </row>
    <row r="744" spans="1:34" s="27" customFormat="1" ht="12.75" x14ac:dyDescent="0.2">
      <c r="A744" s="27" t="str">
        <f>+IF(T744="","",B744)</f>
        <v/>
      </c>
      <c r="B744" s="28">
        <v>1</v>
      </c>
      <c r="C744" s="86"/>
      <c r="D744" s="86"/>
      <c r="E744" s="87"/>
      <c r="F744" s="87"/>
      <c r="G744" s="86"/>
      <c r="H744" s="30"/>
      <c r="I744" s="31"/>
      <c r="J744" s="32"/>
      <c r="K744" s="33"/>
      <c r="L744" s="34">
        <f>IF(OR(H744="",I744&lt;&gt;"SI",I744="NO",J744="",J744=0,K744="",K744=0,X744&lt;&gt;"SI"),0,J744*K744)</f>
        <v>0</v>
      </c>
      <c r="M744" s="204"/>
      <c r="N744" s="204"/>
      <c r="O744" s="169" t="str">
        <f>IF(OR(H744="",I744&lt;&gt;"SI",I744="NO",J744="",J744=0,K744="",K744=0,,M744="",N744=""),"",ROUND((((N744-M744)+1)/30),3))</f>
        <v/>
      </c>
      <c r="P744" s="204"/>
      <c r="Q744" s="204"/>
      <c r="R744" s="170">
        <f>IF(OR((Q744-P744)=0,P744="",Q744=""),0,(ROUND((((Q744-P744)+1)/30),3)))</f>
        <v>0</v>
      </c>
      <c r="S744" s="171" t="str">
        <f>IF(O744="","",ROUND(SUM(O744)-SUM(R744),3))</f>
        <v/>
      </c>
      <c r="T744" s="172" t="str">
        <f>+IF(C744="","",IF(OR(S744="",S744&lt;=0,I744="",I744="NO",U744="",U744="NO",X744="NO"),"",ROUND(SUM(L744)/S744,3)))</f>
        <v/>
      </c>
      <c r="U744" s="35"/>
      <c r="V744" s="36"/>
      <c r="W744" s="205"/>
      <c r="X744" s="37" t="str">
        <f t="shared" ref="X744:X753" si="344">+IF(C744="","",IF(AND(H744&lt;&gt;"",I744="SI",J744&lt;&gt;"",J744&gt;0,K744&lt;&gt;"",K744&gt;0,S744&lt;&gt;"",S744&gt;0,U744="SI"),"SI","NO"))</f>
        <v/>
      </c>
      <c r="Z744" s="173"/>
      <c r="AB744" s="173"/>
      <c r="AD744" s="10" t="str">
        <f t="shared" ref="AD744:AD753" si="345">+IF($C$741="","",IF(C744="","",IF(L744&gt;=$H$6,"SI","NO")))</f>
        <v/>
      </c>
      <c r="AE744" s="92" t="str">
        <f>+IF(OR($T$744="",X744="",X744="NO"),"",L744)</f>
        <v/>
      </c>
      <c r="AF744" s="92" t="str">
        <f>+IF(AE744="","",L744/$S$744)</f>
        <v/>
      </c>
      <c r="AG744" s="174">
        <f>0.1+B741</f>
        <v>44.1</v>
      </c>
      <c r="AH744" s="27" t="s">
        <v>932</v>
      </c>
    </row>
    <row r="745" spans="1:34" s="27" customFormat="1" ht="12.75" x14ac:dyDescent="0.2">
      <c r="A745" s="27" t="str">
        <f t="shared" ref="A745:A753" si="346">+IF(T745="","",B745)</f>
        <v/>
      </c>
      <c r="B745" s="38">
        <v>2</v>
      </c>
      <c r="C745" s="39"/>
      <c r="D745" s="39"/>
      <c r="E745" s="46"/>
      <c r="F745" s="46"/>
      <c r="G745" s="39"/>
      <c r="H745" s="40"/>
      <c r="I745" s="41"/>
      <c r="J745" s="42"/>
      <c r="K745" s="43"/>
      <c r="L745" s="44">
        <f t="shared" ref="L745:L753" si="347">IF(OR(H745="",I745&lt;&gt;"SI",I745="NO",J745="",J745=0,K745="",K745=0,X745&lt;&gt;"SI"),0,J745*K745)</f>
        <v>0</v>
      </c>
      <c r="M745" s="206"/>
      <c r="N745" s="206"/>
      <c r="O745" s="207" t="str">
        <f t="shared" ref="O745:O753" si="348">IF(OR(H745="",I745&lt;&gt;"SI",I745="NO",J745="",J745=0,K745="",K745=0,,M745="",N745=""),"",ROUND((((N745-M745)+1)/30),3))</f>
        <v/>
      </c>
      <c r="P745" s="206"/>
      <c r="Q745" s="206"/>
      <c r="R745" s="177">
        <f t="shared" ref="R745:R753" si="349">IF(OR((Q745-P745)=0,P745="",Q745=""),0,(ROUND((((Q745-P745)+1)/30),3)))</f>
        <v>0</v>
      </c>
      <c r="S745" s="178" t="str">
        <f t="shared" ref="S745:S753" si="350">IF(O745="","",ROUND(SUM(O745)-SUM(R745),3))</f>
        <v/>
      </c>
      <c r="T745" s="208" t="str">
        <f t="shared" ref="T745:T753" si="351">+IF(C745="","",IF(OR(S745="",S745&lt;=0,I745="",I745="NO",U745="",U745="NO",X745="NO"),"",ROUND(SUM(L745)/S745,3)))</f>
        <v/>
      </c>
      <c r="U745" s="41"/>
      <c r="V745" s="209"/>
      <c r="W745" s="205"/>
      <c r="X745" s="37" t="str">
        <f t="shared" si="344"/>
        <v/>
      </c>
      <c r="Z745" s="173"/>
      <c r="AB745" s="173"/>
      <c r="AD745" s="10" t="str">
        <f t="shared" si="345"/>
        <v/>
      </c>
      <c r="AE745" s="92" t="str">
        <f>+IF(OR($T$745="",X745="",X745="NO"),"",L745)</f>
        <v/>
      </c>
      <c r="AF745" s="92" t="str">
        <f>+IF(AE745="","",L745/$S$745)</f>
        <v/>
      </c>
      <c r="AG745" s="174">
        <f>0.2+B741</f>
        <v>44.2</v>
      </c>
      <c r="AH745" s="27" t="s">
        <v>932</v>
      </c>
    </row>
    <row r="746" spans="1:34" s="27" customFormat="1" ht="12.75" x14ac:dyDescent="0.2">
      <c r="A746" s="27" t="str">
        <f t="shared" si="346"/>
        <v/>
      </c>
      <c r="B746" s="38">
        <v>3</v>
      </c>
      <c r="C746" s="39"/>
      <c r="D746" s="39"/>
      <c r="E746" s="46"/>
      <c r="F746" s="46"/>
      <c r="G746" s="39"/>
      <c r="H746" s="40"/>
      <c r="I746" s="41"/>
      <c r="J746" s="42"/>
      <c r="K746" s="43"/>
      <c r="L746" s="44">
        <f t="shared" si="347"/>
        <v>0</v>
      </c>
      <c r="M746" s="206"/>
      <c r="N746" s="206"/>
      <c r="O746" s="207" t="str">
        <f t="shared" si="348"/>
        <v/>
      </c>
      <c r="P746" s="206"/>
      <c r="Q746" s="206"/>
      <c r="R746" s="177">
        <f t="shared" si="349"/>
        <v>0</v>
      </c>
      <c r="S746" s="178" t="str">
        <f t="shared" si="350"/>
        <v/>
      </c>
      <c r="T746" s="208" t="str">
        <f t="shared" si="351"/>
        <v/>
      </c>
      <c r="U746" s="41"/>
      <c r="V746" s="45"/>
      <c r="W746" s="205"/>
      <c r="X746" s="37" t="str">
        <f t="shared" si="344"/>
        <v/>
      </c>
      <c r="Z746" s="173"/>
      <c r="AB746" s="173"/>
      <c r="AD746" s="10" t="str">
        <f t="shared" si="345"/>
        <v/>
      </c>
      <c r="AE746" s="92" t="str">
        <f>+IF(OR($T$746="",X746="",X746="NO"),"",L746)</f>
        <v/>
      </c>
      <c r="AF746" s="92" t="str">
        <f>+IF(AE746="","",L746/$S$746)</f>
        <v/>
      </c>
      <c r="AG746" s="174">
        <f>0.3+B741</f>
        <v>44.3</v>
      </c>
      <c r="AH746" s="27" t="s">
        <v>932</v>
      </c>
    </row>
    <row r="747" spans="1:34" s="27" customFormat="1" ht="12.75" x14ac:dyDescent="0.2">
      <c r="A747" s="27" t="str">
        <f t="shared" si="346"/>
        <v/>
      </c>
      <c r="B747" s="38">
        <v>4</v>
      </c>
      <c r="C747" s="39"/>
      <c r="D747" s="39"/>
      <c r="E747" s="46"/>
      <c r="F747" s="46"/>
      <c r="G747" s="39"/>
      <c r="H747" s="40"/>
      <c r="I747" s="41"/>
      <c r="J747" s="42"/>
      <c r="K747" s="43"/>
      <c r="L747" s="44">
        <f t="shared" si="347"/>
        <v>0</v>
      </c>
      <c r="M747" s="206"/>
      <c r="N747" s="206"/>
      <c r="O747" s="207" t="str">
        <f t="shared" si="348"/>
        <v/>
      </c>
      <c r="P747" s="206"/>
      <c r="Q747" s="206"/>
      <c r="R747" s="177">
        <f t="shared" si="349"/>
        <v>0</v>
      </c>
      <c r="S747" s="178" t="str">
        <f t="shared" si="350"/>
        <v/>
      </c>
      <c r="T747" s="208" t="str">
        <f t="shared" si="351"/>
        <v/>
      </c>
      <c r="U747" s="41"/>
      <c r="V747" s="45"/>
      <c r="W747" s="210"/>
      <c r="X747" s="37" t="str">
        <f t="shared" si="344"/>
        <v/>
      </c>
      <c r="Z747" s="180"/>
      <c r="AB747" s="173"/>
      <c r="AD747" s="10" t="str">
        <f t="shared" si="345"/>
        <v/>
      </c>
      <c r="AE747" s="92" t="str">
        <f>+IF(OR($T$747="",X747="",X747="NO"),"",L747)</f>
        <v/>
      </c>
      <c r="AF747" s="92" t="str">
        <f>+IF(AE747="","",L747/$S$747)</f>
        <v/>
      </c>
      <c r="AG747" s="174"/>
    </row>
    <row r="748" spans="1:34" s="27" customFormat="1" ht="12.75" x14ac:dyDescent="0.2">
      <c r="A748" s="27" t="str">
        <f t="shared" si="346"/>
        <v/>
      </c>
      <c r="B748" s="38">
        <v>5</v>
      </c>
      <c r="C748" s="39"/>
      <c r="D748" s="39"/>
      <c r="E748" s="46"/>
      <c r="F748" s="46"/>
      <c r="G748" s="39"/>
      <c r="H748" s="40"/>
      <c r="I748" s="41"/>
      <c r="J748" s="42"/>
      <c r="K748" s="43"/>
      <c r="L748" s="44">
        <f t="shared" si="347"/>
        <v>0</v>
      </c>
      <c r="M748" s="206"/>
      <c r="N748" s="206"/>
      <c r="O748" s="207" t="str">
        <f t="shared" si="348"/>
        <v/>
      </c>
      <c r="P748" s="206"/>
      <c r="Q748" s="206"/>
      <c r="R748" s="177">
        <f t="shared" si="349"/>
        <v>0</v>
      </c>
      <c r="S748" s="178" t="str">
        <f t="shared" si="350"/>
        <v/>
      </c>
      <c r="T748" s="208" t="str">
        <f t="shared" si="351"/>
        <v/>
      </c>
      <c r="U748" s="41"/>
      <c r="V748" s="45"/>
      <c r="X748" s="37" t="str">
        <f t="shared" si="344"/>
        <v/>
      </c>
      <c r="Z748" s="181"/>
      <c r="AB748" s="173"/>
      <c r="AD748" s="10" t="str">
        <f t="shared" si="345"/>
        <v/>
      </c>
      <c r="AE748" s="92" t="str">
        <f>+IF(OR($T$748="",X748="",X748="NO"),"",L748)</f>
        <v/>
      </c>
      <c r="AF748" s="92" t="str">
        <f>+IF(AE748="","",L748/$S$748)</f>
        <v/>
      </c>
      <c r="AG748" s="174"/>
    </row>
    <row r="749" spans="1:34" s="27" customFormat="1" ht="12.75" x14ac:dyDescent="0.2">
      <c r="A749" s="27" t="str">
        <f t="shared" si="346"/>
        <v/>
      </c>
      <c r="B749" s="38">
        <v>6</v>
      </c>
      <c r="C749" s="39"/>
      <c r="D749" s="39"/>
      <c r="E749" s="46"/>
      <c r="F749" s="46"/>
      <c r="G749" s="39"/>
      <c r="H749" s="40"/>
      <c r="I749" s="41"/>
      <c r="J749" s="42"/>
      <c r="K749" s="43"/>
      <c r="L749" s="44">
        <f t="shared" si="347"/>
        <v>0</v>
      </c>
      <c r="M749" s="206"/>
      <c r="N749" s="206"/>
      <c r="O749" s="207" t="str">
        <f t="shared" si="348"/>
        <v/>
      </c>
      <c r="P749" s="206"/>
      <c r="Q749" s="206"/>
      <c r="R749" s="177">
        <f t="shared" si="349"/>
        <v>0</v>
      </c>
      <c r="S749" s="178" t="str">
        <f t="shared" si="350"/>
        <v/>
      </c>
      <c r="T749" s="208" t="str">
        <f t="shared" si="351"/>
        <v/>
      </c>
      <c r="U749" s="41"/>
      <c r="V749" s="45"/>
      <c r="X749" s="37" t="str">
        <f t="shared" si="344"/>
        <v/>
      </c>
      <c r="Z749" s="181"/>
      <c r="AB749" s="173"/>
      <c r="AD749" s="10" t="str">
        <f t="shared" si="345"/>
        <v/>
      </c>
      <c r="AE749" s="92" t="str">
        <f>+IF(OR($T$749="",X749="",X749="NO"),"",L749)</f>
        <v/>
      </c>
      <c r="AF749" s="92" t="str">
        <f>+IF(AE749="","",L749/$S$749)</f>
        <v/>
      </c>
      <c r="AG749" s="174"/>
    </row>
    <row r="750" spans="1:34" s="27" customFormat="1" ht="12.75" x14ac:dyDescent="0.2">
      <c r="A750" s="27" t="str">
        <f t="shared" si="346"/>
        <v/>
      </c>
      <c r="B750" s="38">
        <v>7</v>
      </c>
      <c r="C750" s="39"/>
      <c r="D750" s="39"/>
      <c r="E750" s="46"/>
      <c r="F750" s="46"/>
      <c r="G750" s="39"/>
      <c r="H750" s="40"/>
      <c r="I750" s="41"/>
      <c r="J750" s="42"/>
      <c r="K750" s="43"/>
      <c r="L750" s="44">
        <f t="shared" si="347"/>
        <v>0</v>
      </c>
      <c r="M750" s="206"/>
      <c r="N750" s="206"/>
      <c r="O750" s="207" t="str">
        <f t="shared" si="348"/>
        <v/>
      </c>
      <c r="P750" s="206"/>
      <c r="Q750" s="206"/>
      <c r="R750" s="177">
        <f t="shared" si="349"/>
        <v>0</v>
      </c>
      <c r="S750" s="178" t="str">
        <f t="shared" si="350"/>
        <v/>
      </c>
      <c r="T750" s="208" t="str">
        <f t="shared" si="351"/>
        <v/>
      </c>
      <c r="U750" s="41"/>
      <c r="V750" s="45"/>
      <c r="X750" s="37" t="str">
        <f t="shared" si="344"/>
        <v/>
      </c>
      <c r="Z750" s="181"/>
      <c r="AB750" s="173"/>
      <c r="AD750" s="10" t="str">
        <f t="shared" si="345"/>
        <v/>
      </c>
      <c r="AE750" s="92" t="str">
        <f>+IF(OR($T$750="",X750="",X750="NO"),"",L750)</f>
        <v/>
      </c>
      <c r="AF750" s="92" t="str">
        <f>+IF(AE750="","",L750/$S$750)</f>
        <v/>
      </c>
      <c r="AG750" s="174"/>
    </row>
    <row r="751" spans="1:34" s="27" customFormat="1" ht="12.75" x14ac:dyDescent="0.2">
      <c r="A751" s="27" t="str">
        <f t="shared" si="346"/>
        <v/>
      </c>
      <c r="B751" s="38">
        <v>8</v>
      </c>
      <c r="C751" s="39"/>
      <c r="D751" s="39"/>
      <c r="E751" s="46"/>
      <c r="F751" s="46"/>
      <c r="G751" s="39"/>
      <c r="H751" s="40"/>
      <c r="I751" s="41"/>
      <c r="J751" s="42"/>
      <c r="K751" s="43"/>
      <c r="L751" s="44">
        <f t="shared" si="347"/>
        <v>0</v>
      </c>
      <c r="M751" s="206"/>
      <c r="N751" s="206"/>
      <c r="O751" s="207" t="str">
        <f t="shared" si="348"/>
        <v/>
      </c>
      <c r="P751" s="206"/>
      <c r="Q751" s="206"/>
      <c r="R751" s="177">
        <f t="shared" si="349"/>
        <v>0</v>
      </c>
      <c r="S751" s="178" t="str">
        <f t="shared" si="350"/>
        <v/>
      </c>
      <c r="T751" s="208" t="str">
        <f t="shared" si="351"/>
        <v/>
      </c>
      <c r="U751" s="41"/>
      <c r="V751" s="45"/>
      <c r="X751" s="37" t="str">
        <f t="shared" si="344"/>
        <v/>
      </c>
      <c r="Z751" s="181"/>
      <c r="AB751" s="173"/>
      <c r="AD751" s="10" t="str">
        <f t="shared" si="345"/>
        <v/>
      </c>
      <c r="AE751" s="92" t="str">
        <f>+IF(OR($T$751="",X751="",X751="NO"),"",L751)</f>
        <v/>
      </c>
      <c r="AF751" s="92" t="str">
        <f>+IF(AE751="","",L751/$S$751)</f>
        <v/>
      </c>
      <c r="AG751" s="174"/>
    </row>
    <row r="752" spans="1:34" s="27" customFormat="1" ht="12.75" x14ac:dyDescent="0.2">
      <c r="A752" s="27" t="str">
        <f t="shared" si="346"/>
        <v/>
      </c>
      <c r="B752" s="38">
        <v>9</v>
      </c>
      <c r="C752" s="39"/>
      <c r="D752" s="39"/>
      <c r="E752" s="46"/>
      <c r="F752" s="46"/>
      <c r="G752" s="39"/>
      <c r="H752" s="40"/>
      <c r="I752" s="41"/>
      <c r="J752" s="42"/>
      <c r="K752" s="43"/>
      <c r="L752" s="44">
        <f t="shared" si="347"/>
        <v>0</v>
      </c>
      <c r="M752" s="206"/>
      <c r="N752" s="206"/>
      <c r="O752" s="207" t="str">
        <f t="shared" si="348"/>
        <v/>
      </c>
      <c r="P752" s="206"/>
      <c r="Q752" s="206"/>
      <c r="R752" s="177">
        <f t="shared" si="349"/>
        <v>0</v>
      </c>
      <c r="S752" s="178" t="str">
        <f t="shared" si="350"/>
        <v/>
      </c>
      <c r="T752" s="208" t="str">
        <f t="shared" si="351"/>
        <v/>
      </c>
      <c r="U752" s="41"/>
      <c r="V752" s="45"/>
      <c r="X752" s="37" t="str">
        <f t="shared" si="344"/>
        <v/>
      </c>
      <c r="Z752" s="181"/>
      <c r="AB752" s="173"/>
      <c r="AD752" s="10" t="str">
        <f t="shared" si="345"/>
        <v/>
      </c>
      <c r="AE752" s="92" t="str">
        <f>+IF(OR($T$752="",X752="",X752="NO"),"",L752)</f>
        <v/>
      </c>
      <c r="AF752" s="92" t="str">
        <f>+IF(AE752="","",L752/$S$752)</f>
        <v/>
      </c>
      <c r="AG752" s="174"/>
    </row>
    <row r="753" spans="1:34" s="27" customFormat="1" ht="13.5" thickBot="1" x14ac:dyDescent="0.25">
      <c r="A753" s="27" t="str">
        <f t="shared" si="346"/>
        <v/>
      </c>
      <c r="B753" s="47">
        <v>10</v>
      </c>
      <c r="C753" s="48"/>
      <c r="D753" s="48"/>
      <c r="E753" s="49"/>
      <c r="F753" s="49"/>
      <c r="G753" s="48"/>
      <c r="H753" s="50"/>
      <c r="I753" s="51"/>
      <c r="J753" s="14"/>
      <c r="K753" s="52"/>
      <c r="L753" s="53">
        <f t="shared" si="347"/>
        <v>0</v>
      </c>
      <c r="M753" s="211"/>
      <c r="N753" s="211"/>
      <c r="O753" s="212" t="str">
        <f t="shared" si="348"/>
        <v/>
      </c>
      <c r="P753" s="211"/>
      <c r="Q753" s="211"/>
      <c r="R753" s="184">
        <f t="shared" si="349"/>
        <v>0</v>
      </c>
      <c r="S753" s="185" t="str">
        <f t="shared" si="350"/>
        <v/>
      </c>
      <c r="T753" s="213" t="str">
        <f t="shared" si="351"/>
        <v/>
      </c>
      <c r="U753" s="51"/>
      <c r="V753" s="54"/>
      <c r="X753" s="55" t="str">
        <f t="shared" si="344"/>
        <v/>
      </c>
      <c r="Z753" s="187"/>
      <c r="AB753" s="188"/>
      <c r="AD753" s="10" t="str">
        <f t="shared" si="345"/>
        <v/>
      </c>
      <c r="AE753" s="92" t="str">
        <f>+IF(OR($T$753="",X753="",X753="NO"),"",L753)</f>
        <v/>
      </c>
      <c r="AF753" s="92" t="str">
        <f>+IF(AE753="","",L753/$S$753)</f>
        <v/>
      </c>
    </row>
    <row r="754" spans="1:34" ht="36" customHeight="1" x14ac:dyDescent="0.2">
      <c r="B754" s="57" t="str">
        <f>"A"&amp;B741</f>
        <v>A44</v>
      </c>
      <c r="C754" s="382" t="str">
        <f>+$C$23</f>
        <v>¿CADA INTEGRANTE DE PROPONENTE PLURAL APORTAN CONTRATO?  (SI; NO; NA)</v>
      </c>
      <c r="D754" s="383"/>
      <c r="E754" s="383"/>
      <c r="F754" s="383"/>
      <c r="G754" s="383"/>
      <c r="H754" s="384"/>
      <c r="I754" s="217" t="str">
        <f>+IF(AG741="","",IF(AG741=1,"NA",IF(AND(AG741=3,(IF(COUNTIFS(C744:C753,AH744,AE744:AE753,"&gt;0")&gt;=1,1,0)+IF(COUNTIFS(C744:C753,AH745,AE744:AE753,"&gt;0")&gt;=1,1,0)+IF(COUNTIFS(C744:C753,AH746,AE744:AE753,"&gt;0")&gt;=1,1,0))&gt;=AG741),"SI",IF(AND(AG741=2,(IF(COUNTIFS(C744:C753,AH744,AE744:AE753,"&gt;0")&gt;=1,1,0)+IF(COUNTIFS(C744:C753,AH745,AE744:AE753,"&gt;0")&gt;=1,1,0))&gt;=AG741),"SI","NO"))))</f>
        <v/>
      </c>
      <c r="J754" s="59"/>
      <c r="K754" s="27"/>
      <c r="L754" s="27"/>
      <c r="M754" s="27"/>
      <c r="N754" s="27"/>
      <c r="O754" s="27"/>
      <c r="P754" s="385" t="str">
        <f>+$P$23</f>
        <v>FACTURACION MENSUAL TOTAL</v>
      </c>
      <c r="Q754" s="386"/>
      <c r="R754" s="386"/>
      <c r="S754" s="386"/>
      <c r="T754" s="189">
        <f>ROUND(SUM(T744:T753),3)</f>
        <v>0</v>
      </c>
      <c r="U754" s="60"/>
      <c r="V754" s="1"/>
      <c r="W754" s="61"/>
      <c r="X754" s="61"/>
      <c r="Y754" s="61"/>
      <c r="Z754" s="61"/>
      <c r="AA754" s="61"/>
      <c r="AB754" s="61"/>
    </row>
    <row r="755" spans="1:34" ht="38.25" customHeight="1" thickBot="1" x14ac:dyDescent="0.25">
      <c r="B755" s="57" t="str">
        <f>"B"&amp;B741</f>
        <v>B44</v>
      </c>
      <c r="C755" s="387" t="str">
        <f>+C738</f>
        <v>En caso de proponente plural: ¿De la totalidad de los contratos aportados por el proponente plural, el valor ejecutado de uno de ellos deberá ser igual o superior al 30% del P.O.?  (SI; NO; NA)</v>
      </c>
      <c r="D755" s="388"/>
      <c r="E755" s="388"/>
      <c r="F755" s="388"/>
      <c r="G755" s="389"/>
      <c r="H755" s="190">
        <f>+$H$6</f>
        <v>268.14722506074827</v>
      </c>
      <c r="I755" s="191" t="str">
        <f>+IF(AG741="","",IF(AG741=1,"NA",IF(AND(AG741&gt;1,(COUNTIFS(AD744:AD753,"SI",AE744:AE753,"&gt;0"))&gt;=1),"SI","NO")))</f>
        <v/>
      </c>
      <c r="J755" s="192"/>
      <c r="K755" s="193"/>
      <c r="L755" s="194"/>
      <c r="M755" s="194"/>
      <c r="N755" s="194"/>
      <c r="O755" s="194"/>
      <c r="P755" s="387" t="str">
        <f>+$P$24</f>
        <v>PROMEDIO FACTURACIÓN MENSUAL DEL PROPONENTE (PFMP)</v>
      </c>
      <c r="Q755" s="388"/>
      <c r="R755" s="388"/>
      <c r="S755" s="388"/>
      <c r="T755" s="195">
        <f t="array" ref="T755">IF(T754=0,0,ROUND(T754/(SUM(IF(FREQUENCY(A744:A753,A744:A753)&gt;0,1))),3))</f>
        <v>0</v>
      </c>
      <c r="U755" s="214"/>
      <c r="V755" s="1"/>
      <c r="W755" s="61"/>
      <c r="X755" s="61"/>
      <c r="Y755" s="61"/>
      <c r="Z755" s="61"/>
      <c r="AA755" s="61"/>
      <c r="AB755" s="61"/>
    </row>
    <row r="756" spans="1:34" ht="21" customHeight="1" thickBot="1" x14ac:dyDescent="0.25">
      <c r="B756" s="197" t="str">
        <f>"C"&amp;B741</f>
        <v>C44</v>
      </c>
      <c r="C756" s="349" t="str">
        <f>+$C$25</f>
        <v>PROPONENTE CUMPLE CON LAS ACTIVIDADES a) y b)? (SI; NO)</v>
      </c>
      <c r="D756" s="350"/>
      <c r="E756" s="350"/>
      <c r="F756" s="350"/>
      <c r="G756" s="350"/>
      <c r="H756" s="351"/>
      <c r="I756" s="198" t="str">
        <f>IF(C741="","",(IF(AND(COUNTIFS(X744:X753,"SI",Z744:Z753,"SI")&gt;=$Z$8,COUNTIFS(X744:X753,"SI",AB744:AB753,"SI")&gt;=$Z$8),"SI","NO")))</f>
        <v/>
      </c>
      <c r="J756" s="199"/>
      <c r="K756" s="200"/>
      <c r="L756" s="200"/>
      <c r="M756" s="200"/>
      <c r="N756" s="200"/>
      <c r="P756" s="378" t="str">
        <f>+$P$25</f>
        <v>VALOR PUNTAJE POR EXPERIENCIA DEL PROPONENTE</v>
      </c>
      <c r="Q756" s="379"/>
      <c r="R756" s="379"/>
      <c r="S756" s="380"/>
      <c r="T756" s="201" t="str">
        <f>IF(OR(C741="",'ASIGNACION DE PUNTAJES'!$C$5=""),"",VLOOKUP(B741,'ASIGNACION DE PUNTAJES'!$A$15:$G$69,7,FALSE))</f>
        <v/>
      </c>
      <c r="V756" s="202"/>
    </row>
    <row r="757" spans="1:34" ht="12" thickBot="1" x14ac:dyDescent="0.25"/>
    <row r="758" spans="1:34" ht="36.75" customHeight="1" thickBot="1" x14ac:dyDescent="0.25">
      <c r="B758" s="23">
        <f>1+B741</f>
        <v>45</v>
      </c>
      <c r="C758" s="336" t="s">
        <v>932</v>
      </c>
      <c r="D758" s="337"/>
      <c r="E758" s="337"/>
      <c r="F758" s="337"/>
      <c r="G758" s="337"/>
      <c r="H758" s="337"/>
      <c r="I758" s="338"/>
      <c r="J758" s="24" t="str">
        <f>+IF(C758="","","INTEGRANTES")</f>
        <v/>
      </c>
      <c r="K758" s="339" t="s">
        <v>932</v>
      </c>
      <c r="L758" s="339"/>
      <c r="M758" s="339"/>
      <c r="N758" s="339"/>
      <c r="O758" s="339"/>
      <c r="P758" s="339"/>
      <c r="Q758" s="339"/>
      <c r="R758" s="396" t="str">
        <f>+$R$10</f>
        <v>PROPONENTE No.</v>
      </c>
      <c r="S758" s="397"/>
      <c r="T758" s="25">
        <f>+B758</f>
        <v>45</v>
      </c>
      <c r="U758" s="161" t="str">
        <f>+$U$10</f>
        <v>PFMP</v>
      </c>
      <c r="V758" s="162">
        <f>IF(T772="",0,T772)</f>
        <v>0</v>
      </c>
      <c r="X758" s="325" t="s">
        <v>168</v>
      </c>
      <c r="Z758" s="163" t="str">
        <f>+$Z$10</f>
        <v>EXP. ESPECÍFICA 
A:</v>
      </c>
      <c r="AB758" s="163" t="str">
        <f>+$AB$10</f>
        <v>EXP. ESPECÍFICA 
B:</v>
      </c>
      <c r="AG758" s="1" t="s">
        <v>932</v>
      </c>
    </row>
    <row r="759" spans="1:34" ht="42" customHeight="1" x14ac:dyDescent="0.2">
      <c r="B759" s="331" t="str">
        <f>+$B$11</f>
        <v>ITEM</v>
      </c>
      <c r="C759" s="318" t="str">
        <f>+$C$11</f>
        <v>PROPONENTE 
/ 
INTEGRANTE OFERENTE PLURAL</v>
      </c>
      <c r="D759" s="333" t="str">
        <f>+$D$11</f>
        <v>INFORMACIÓN DEL CONTRATO</v>
      </c>
      <c r="E759" s="334"/>
      <c r="F759" s="334"/>
      <c r="G759" s="335"/>
      <c r="H759" s="318" t="str">
        <f>+H742</f>
        <v>CONSECUTIVO RUP</v>
      </c>
      <c r="I759" s="318" t="str">
        <f>+$I$11</f>
        <v>¿SE ENCUENTRA INSCRITO EN EL RUP Y CUMPLE CÓDIGOS UNSPSC?</v>
      </c>
      <c r="J759" s="318" t="str">
        <f>+$J$11</f>
        <v xml:space="preserve">VALOR EN RUP (SMMLV) </v>
      </c>
      <c r="K759" s="318" t="str">
        <f>+$K$11</f>
        <v>% PARTIC en el RUP</v>
      </c>
      <c r="L759" s="318" t="str">
        <f>+$L$11</f>
        <v>VALOR DEL CONTRATO TERMINADO (SMMLV) en el   RUP</v>
      </c>
      <c r="M759" s="318" t="str">
        <f>+$M$11</f>
        <v>FECHA DE INICIO</v>
      </c>
      <c r="N759" s="318" t="str">
        <f>+$N$11</f>
        <v>FECHA DE TERMINACION</v>
      </c>
      <c r="O759" s="318" t="str">
        <f>+$O$11</f>
        <v>PLAZO CONTRA-TO (Meses)</v>
      </c>
      <c r="P759" s="390" t="str">
        <f>+$P$11</f>
        <v>Tsusp i</v>
      </c>
      <c r="Q759" s="391"/>
      <c r="R759" s="392"/>
      <c r="S759" s="318" t="str">
        <f>+$S$11</f>
        <v>PLAZO i REAL</v>
      </c>
      <c r="T759" s="318" t="str">
        <f>+$T$11</f>
        <v>FACTURA-CION MENSUAL PROPO-NENTE</v>
      </c>
      <c r="U759" s="318" t="str">
        <f>+$U$11</f>
        <v>VALIDACIÓN DE LA EXPERIENCIA GENERAL
(SI/NO)</v>
      </c>
      <c r="V759" s="393" t="str">
        <f>+$V$11</f>
        <v>OBSERVACIONES</v>
      </c>
      <c r="X759" s="326"/>
      <c r="Z759" s="381" t="str">
        <f>+$Z$11</f>
        <v>Interventoria a la ejecución de obras relacionadas con Colocación de capas granulares (tales como bases y/o sub-bases granulares).</v>
      </c>
      <c r="AB759" s="381" t="str">
        <f>+$AB$11</f>
        <v>Interventoria a la Ejecución de obras de subdrenaje y/o drenaje, en carreteras.</v>
      </c>
    </row>
    <row r="760" spans="1:34" ht="38.25" customHeight="1" thickBot="1" x14ac:dyDescent="0.25">
      <c r="B760" s="395"/>
      <c r="C760" s="348"/>
      <c r="D760" s="165" t="str">
        <f>+$D$12</f>
        <v>ENTIDAD</v>
      </c>
      <c r="E760" s="165" t="str">
        <f>+$E$12</f>
        <v>No. DE CONTRATO</v>
      </c>
      <c r="F760" s="165" t="str">
        <f>+$F$12</f>
        <v>OBJETO</v>
      </c>
      <c r="G760" s="165" t="str">
        <f>+$G$12</f>
        <v>CONTRATISTA</v>
      </c>
      <c r="H760" s="348"/>
      <c r="I760" s="348"/>
      <c r="J760" s="348"/>
      <c r="K760" s="348"/>
      <c r="L760" s="348"/>
      <c r="M760" s="348"/>
      <c r="N760" s="348"/>
      <c r="O760" s="348"/>
      <c r="P760" s="166" t="str">
        <f>+P743</f>
        <v>Finicsuspi</v>
      </c>
      <c r="Q760" s="166" t="str">
        <f>+Q743</f>
        <v xml:space="preserve"> Ftermsuspi </v>
      </c>
      <c r="R760" s="166" t="str">
        <f>+R743</f>
        <v>Tsusp i (meses)</v>
      </c>
      <c r="S760" s="348"/>
      <c r="T760" s="348"/>
      <c r="U760" s="348"/>
      <c r="V760" s="394"/>
      <c r="X760" s="327"/>
      <c r="Z760" s="381"/>
      <c r="AB760" s="381"/>
    </row>
    <row r="761" spans="1:34" s="27" customFormat="1" ht="12.75" x14ac:dyDescent="0.2">
      <c r="A761" s="27" t="str">
        <f>+IF(T761="","",B761)</f>
        <v/>
      </c>
      <c r="B761" s="28">
        <v>1</v>
      </c>
      <c r="C761" s="86"/>
      <c r="D761" s="86"/>
      <c r="E761" s="87"/>
      <c r="F761" s="87"/>
      <c r="G761" s="86"/>
      <c r="H761" s="30"/>
      <c r="I761" s="31"/>
      <c r="J761" s="32"/>
      <c r="K761" s="33"/>
      <c r="L761" s="34">
        <f>IF(OR(H761="",I761&lt;&gt;"SI",I761="NO",J761="",J761=0,K761="",K761=0,X761&lt;&gt;"SI"),0,J761*K761)</f>
        <v>0</v>
      </c>
      <c r="M761" s="204"/>
      <c r="N761" s="204"/>
      <c r="O761" s="169" t="str">
        <f>IF(OR(H761="",I761&lt;&gt;"SI",I761="NO",J761="",J761=0,K761="",K761=0,,M761="",N761=""),"",ROUND((((N761-M761)+1)/30),3))</f>
        <v/>
      </c>
      <c r="P761" s="204"/>
      <c r="Q761" s="204"/>
      <c r="R761" s="170">
        <f>IF(OR((Q761-P761)=0,P761="",Q761=""),0,(ROUND((((Q761-P761)+1)/30),3)))</f>
        <v>0</v>
      </c>
      <c r="S761" s="171" t="str">
        <f>IF(O761="","",ROUND(SUM(O761)-SUM(R761),3))</f>
        <v/>
      </c>
      <c r="T761" s="172" t="str">
        <f>+IF(C761="","",IF(OR(S761="",S761&lt;=0,I761="",I761="NO",U761="",U761="NO",X761="NO"),"",ROUND(SUM(L761)/S761,3)))</f>
        <v/>
      </c>
      <c r="U761" s="35"/>
      <c r="V761" s="36"/>
      <c r="W761" s="205"/>
      <c r="X761" s="37" t="str">
        <f t="shared" ref="X761:X770" si="352">+IF(C761="","",IF(AND(H761&lt;&gt;"",I761="SI",J761&lt;&gt;"",J761&gt;0,K761&lt;&gt;"",K761&gt;0,S761&lt;&gt;"",S761&gt;0,U761="SI"),"SI","NO"))</f>
        <v/>
      </c>
      <c r="Z761" s="173"/>
      <c r="AB761" s="173"/>
      <c r="AD761" s="10" t="str">
        <f t="shared" ref="AD761:AD770" si="353">+IF($C$758="","",IF(C761="","",IF(L761&gt;=$H$6,"SI","NO")))</f>
        <v/>
      </c>
      <c r="AE761" s="92" t="str">
        <f>+IF(OR($T$761="",X761="",X761="NO"),"",L761)</f>
        <v/>
      </c>
      <c r="AF761" s="92" t="str">
        <f>+IF(AE761="","",L761/$S$761)</f>
        <v/>
      </c>
      <c r="AG761" s="174">
        <f>0.1+B758</f>
        <v>45.1</v>
      </c>
      <c r="AH761" s="27" t="s">
        <v>932</v>
      </c>
    </row>
    <row r="762" spans="1:34" s="27" customFormat="1" ht="12.75" x14ac:dyDescent="0.2">
      <c r="A762" s="27" t="str">
        <f t="shared" ref="A762:A770" si="354">+IF(T762="","",B762)</f>
        <v/>
      </c>
      <c r="B762" s="38">
        <v>2</v>
      </c>
      <c r="C762" s="39"/>
      <c r="D762" s="39"/>
      <c r="E762" s="46"/>
      <c r="F762" s="46"/>
      <c r="G762" s="39"/>
      <c r="H762" s="40"/>
      <c r="I762" s="41"/>
      <c r="J762" s="42"/>
      <c r="K762" s="43"/>
      <c r="L762" s="44">
        <f t="shared" ref="L762:L770" si="355">IF(OR(H762="",I762&lt;&gt;"SI",I762="NO",J762="",J762=0,K762="",K762=0,X762&lt;&gt;"SI"),0,J762*K762)</f>
        <v>0</v>
      </c>
      <c r="M762" s="206"/>
      <c r="N762" s="206"/>
      <c r="O762" s="207" t="str">
        <f t="shared" ref="O762:O770" si="356">IF(OR(H762="",I762&lt;&gt;"SI",I762="NO",J762="",J762=0,K762="",K762=0,,M762="",N762=""),"",ROUND((((N762-M762)+1)/30),3))</f>
        <v/>
      </c>
      <c r="P762" s="206"/>
      <c r="Q762" s="206"/>
      <c r="R762" s="177">
        <f t="shared" ref="R762:R770" si="357">IF(OR((Q762-P762)=0,P762="",Q762=""),0,(ROUND((((Q762-P762)+1)/30),3)))</f>
        <v>0</v>
      </c>
      <c r="S762" s="178" t="str">
        <f t="shared" ref="S762:S770" si="358">IF(O762="","",ROUND(SUM(O762)-SUM(R762),3))</f>
        <v/>
      </c>
      <c r="T762" s="208" t="str">
        <f t="shared" ref="T762:T770" si="359">+IF(C762="","",IF(OR(S762="",S762&lt;=0,I762="",I762="NO",U762="",U762="NO",X762="NO"),"",ROUND(SUM(L762)/S762,3)))</f>
        <v/>
      </c>
      <c r="U762" s="41"/>
      <c r="V762" s="209"/>
      <c r="W762" s="205"/>
      <c r="X762" s="37" t="str">
        <f t="shared" si="352"/>
        <v/>
      </c>
      <c r="Z762" s="173"/>
      <c r="AB762" s="173"/>
      <c r="AD762" s="10" t="str">
        <f t="shared" si="353"/>
        <v/>
      </c>
      <c r="AE762" s="92" t="str">
        <f>+IF(OR($T$762="",X762="",X762="NO"),"",L762)</f>
        <v/>
      </c>
      <c r="AF762" s="92" t="str">
        <f>+IF(AE762="","",L762/$S$762)</f>
        <v/>
      </c>
      <c r="AG762" s="174">
        <f>0.2+B758</f>
        <v>45.2</v>
      </c>
      <c r="AH762" s="27" t="s">
        <v>932</v>
      </c>
    </row>
    <row r="763" spans="1:34" s="27" customFormat="1" ht="12.75" x14ac:dyDescent="0.2">
      <c r="A763" s="27" t="str">
        <f t="shared" si="354"/>
        <v/>
      </c>
      <c r="B763" s="38">
        <v>3</v>
      </c>
      <c r="C763" s="39"/>
      <c r="D763" s="39"/>
      <c r="E763" s="46"/>
      <c r="F763" s="46"/>
      <c r="G763" s="39"/>
      <c r="H763" s="40"/>
      <c r="I763" s="41"/>
      <c r="J763" s="42"/>
      <c r="K763" s="43"/>
      <c r="L763" s="44">
        <f t="shared" si="355"/>
        <v>0</v>
      </c>
      <c r="M763" s="206"/>
      <c r="N763" s="206"/>
      <c r="O763" s="207" t="str">
        <f t="shared" si="356"/>
        <v/>
      </c>
      <c r="P763" s="206"/>
      <c r="Q763" s="206"/>
      <c r="R763" s="177">
        <f t="shared" si="357"/>
        <v>0</v>
      </c>
      <c r="S763" s="178" t="str">
        <f t="shared" si="358"/>
        <v/>
      </c>
      <c r="T763" s="208" t="str">
        <f t="shared" si="359"/>
        <v/>
      </c>
      <c r="U763" s="41"/>
      <c r="V763" s="45"/>
      <c r="W763" s="205"/>
      <c r="X763" s="37" t="str">
        <f t="shared" si="352"/>
        <v/>
      </c>
      <c r="Z763" s="173"/>
      <c r="AB763" s="173"/>
      <c r="AD763" s="10" t="str">
        <f t="shared" si="353"/>
        <v/>
      </c>
      <c r="AE763" s="92" t="str">
        <f>+IF(OR($T$763="",X763="",X763="NO"),"",L763)</f>
        <v/>
      </c>
      <c r="AF763" s="92" t="str">
        <f>+IF(AE763="","",L763/$S$763)</f>
        <v/>
      </c>
      <c r="AG763" s="174">
        <f>0.3+B758</f>
        <v>45.3</v>
      </c>
      <c r="AH763" s="27" t="s">
        <v>932</v>
      </c>
    </row>
    <row r="764" spans="1:34" s="27" customFormat="1" ht="12.75" x14ac:dyDescent="0.2">
      <c r="A764" s="27" t="str">
        <f t="shared" si="354"/>
        <v/>
      </c>
      <c r="B764" s="38">
        <v>4</v>
      </c>
      <c r="C764" s="39"/>
      <c r="D764" s="39"/>
      <c r="E764" s="46"/>
      <c r="F764" s="46"/>
      <c r="G764" s="39"/>
      <c r="H764" s="40"/>
      <c r="I764" s="41"/>
      <c r="J764" s="42"/>
      <c r="K764" s="43"/>
      <c r="L764" s="44">
        <f t="shared" si="355"/>
        <v>0</v>
      </c>
      <c r="M764" s="206"/>
      <c r="N764" s="206"/>
      <c r="O764" s="207" t="str">
        <f t="shared" si="356"/>
        <v/>
      </c>
      <c r="P764" s="206"/>
      <c r="Q764" s="206"/>
      <c r="R764" s="177">
        <f t="shared" si="357"/>
        <v>0</v>
      </c>
      <c r="S764" s="178" t="str">
        <f t="shared" si="358"/>
        <v/>
      </c>
      <c r="T764" s="208" t="str">
        <f t="shared" si="359"/>
        <v/>
      </c>
      <c r="U764" s="41"/>
      <c r="V764" s="45"/>
      <c r="W764" s="210"/>
      <c r="X764" s="37" t="str">
        <f t="shared" si="352"/>
        <v/>
      </c>
      <c r="Z764" s="180"/>
      <c r="AB764" s="173"/>
      <c r="AD764" s="10" t="str">
        <f t="shared" si="353"/>
        <v/>
      </c>
      <c r="AE764" s="92" t="str">
        <f>+IF(OR($T$764="",X764="",X764="NO"),"",L764)</f>
        <v/>
      </c>
      <c r="AF764" s="92" t="str">
        <f>+IF(AE764="","",L764/$S$764)</f>
        <v/>
      </c>
      <c r="AG764" s="174"/>
    </row>
    <row r="765" spans="1:34" s="27" customFormat="1" ht="12.75" x14ac:dyDescent="0.2">
      <c r="A765" s="27" t="str">
        <f t="shared" si="354"/>
        <v/>
      </c>
      <c r="B765" s="38">
        <v>5</v>
      </c>
      <c r="C765" s="39"/>
      <c r="D765" s="39"/>
      <c r="E765" s="46"/>
      <c r="F765" s="46"/>
      <c r="G765" s="39"/>
      <c r="H765" s="40"/>
      <c r="I765" s="41"/>
      <c r="J765" s="42"/>
      <c r="K765" s="43"/>
      <c r="L765" s="44">
        <f t="shared" si="355"/>
        <v>0</v>
      </c>
      <c r="M765" s="206"/>
      <c r="N765" s="206"/>
      <c r="O765" s="207" t="str">
        <f t="shared" si="356"/>
        <v/>
      </c>
      <c r="P765" s="206"/>
      <c r="Q765" s="206"/>
      <c r="R765" s="177">
        <f t="shared" si="357"/>
        <v>0</v>
      </c>
      <c r="S765" s="178" t="str">
        <f t="shared" si="358"/>
        <v/>
      </c>
      <c r="T765" s="208" t="str">
        <f t="shared" si="359"/>
        <v/>
      </c>
      <c r="U765" s="41"/>
      <c r="V765" s="45"/>
      <c r="X765" s="37" t="str">
        <f t="shared" si="352"/>
        <v/>
      </c>
      <c r="Z765" s="181"/>
      <c r="AB765" s="173"/>
      <c r="AD765" s="10" t="str">
        <f t="shared" si="353"/>
        <v/>
      </c>
      <c r="AE765" s="92" t="str">
        <f>+IF(OR($T$765="",X765="",X765="NO"),"",L765)</f>
        <v/>
      </c>
      <c r="AF765" s="92" t="str">
        <f>+IF(AE765="","",L765/$S$765)</f>
        <v/>
      </c>
      <c r="AG765" s="174"/>
    </row>
    <row r="766" spans="1:34" s="27" customFormat="1" ht="12.75" x14ac:dyDescent="0.2">
      <c r="A766" s="27" t="str">
        <f t="shared" si="354"/>
        <v/>
      </c>
      <c r="B766" s="38">
        <v>6</v>
      </c>
      <c r="C766" s="39"/>
      <c r="D766" s="39"/>
      <c r="E766" s="46"/>
      <c r="F766" s="46"/>
      <c r="G766" s="39"/>
      <c r="H766" s="40"/>
      <c r="I766" s="41"/>
      <c r="J766" s="42"/>
      <c r="K766" s="43"/>
      <c r="L766" s="44">
        <f t="shared" si="355"/>
        <v>0</v>
      </c>
      <c r="M766" s="206"/>
      <c r="N766" s="206"/>
      <c r="O766" s="207" t="str">
        <f t="shared" si="356"/>
        <v/>
      </c>
      <c r="P766" s="206"/>
      <c r="Q766" s="206"/>
      <c r="R766" s="177">
        <f t="shared" si="357"/>
        <v>0</v>
      </c>
      <c r="S766" s="178" t="str">
        <f t="shared" si="358"/>
        <v/>
      </c>
      <c r="T766" s="208" t="str">
        <f t="shared" si="359"/>
        <v/>
      </c>
      <c r="U766" s="41"/>
      <c r="V766" s="45"/>
      <c r="X766" s="37" t="str">
        <f t="shared" si="352"/>
        <v/>
      </c>
      <c r="Z766" s="181"/>
      <c r="AB766" s="173"/>
      <c r="AD766" s="10" t="str">
        <f t="shared" si="353"/>
        <v/>
      </c>
      <c r="AE766" s="92" t="str">
        <f>+IF(OR($T$766="",X766="",X766="NO"),"",L766)</f>
        <v/>
      </c>
      <c r="AF766" s="92" t="str">
        <f>+IF(AE766="","",L766/$S$766)</f>
        <v/>
      </c>
      <c r="AG766" s="174"/>
    </row>
    <row r="767" spans="1:34" s="27" customFormat="1" ht="12.75" x14ac:dyDescent="0.2">
      <c r="A767" s="27" t="str">
        <f t="shared" si="354"/>
        <v/>
      </c>
      <c r="B767" s="38">
        <v>7</v>
      </c>
      <c r="C767" s="39"/>
      <c r="D767" s="39"/>
      <c r="E767" s="46"/>
      <c r="F767" s="46"/>
      <c r="G767" s="39"/>
      <c r="H767" s="40"/>
      <c r="I767" s="41"/>
      <c r="J767" s="42"/>
      <c r="K767" s="43"/>
      <c r="L767" s="44">
        <f t="shared" si="355"/>
        <v>0</v>
      </c>
      <c r="M767" s="206"/>
      <c r="N767" s="206"/>
      <c r="O767" s="207" t="str">
        <f t="shared" si="356"/>
        <v/>
      </c>
      <c r="P767" s="206"/>
      <c r="Q767" s="206"/>
      <c r="R767" s="177">
        <f t="shared" si="357"/>
        <v>0</v>
      </c>
      <c r="S767" s="178" t="str">
        <f t="shared" si="358"/>
        <v/>
      </c>
      <c r="T767" s="208" t="str">
        <f t="shared" si="359"/>
        <v/>
      </c>
      <c r="U767" s="41"/>
      <c r="V767" s="45"/>
      <c r="X767" s="37" t="str">
        <f t="shared" si="352"/>
        <v/>
      </c>
      <c r="Z767" s="181"/>
      <c r="AB767" s="173"/>
      <c r="AD767" s="10" t="str">
        <f t="shared" si="353"/>
        <v/>
      </c>
      <c r="AE767" s="92" t="str">
        <f>+IF(OR($T$767="",X767="",X767="NO"),"",L767)</f>
        <v/>
      </c>
      <c r="AF767" s="92" t="str">
        <f>+IF(AE767="","",L767/$S$767)</f>
        <v/>
      </c>
      <c r="AG767" s="174"/>
    </row>
    <row r="768" spans="1:34" s="27" customFormat="1" ht="12.75" x14ac:dyDescent="0.2">
      <c r="A768" s="27" t="str">
        <f t="shared" si="354"/>
        <v/>
      </c>
      <c r="B768" s="38">
        <v>8</v>
      </c>
      <c r="C768" s="39"/>
      <c r="D768" s="39"/>
      <c r="E768" s="46"/>
      <c r="F768" s="46"/>
      <c r="G768" s="39"/>
      <c r="H768" s="40"/>
      <c r="I768" s="41"/>
      <c r="J768" s="42"/>
      <c r="K768" s="43"/>
      <c r="L768" s="44">
        <f t="shared" si="355"/>
        <v>0</v>
      </c>
      <c r="M768" s="206"/>
      <c r="N768" s="206"/>
      <c r="O768" s="207" t="str">
        <f t="shared" si="356"/>
        <v/>
      </c>
      <c r="P768" s="206"/>
      <c r="Q768" s="206"/>
      <c r="R768" s="177">
        <f t="shared" si="357"/>
        <v>0</v>
      </c>
      <c r="S768" s="178" t="str">
        <f t="shared" si="358"/>
        <v/>
      </c>
      <c r="T768" s="208" t="str">
        <f t="shared" si="359"/>
        <v/>
      </c>
      <c r="U768" s="41"/>
      <c r="V768" s="45"/>
      <c r="X768" s="37" t="str">
        <f t="shared" si="352"/>
        <v/>
      </c>
      <c r="Z768" s="181"/>
      <c r="AB768" s="173"/>
      <c r="AD768" s="10" t="str">
        <f t="shared" si="353"/>
        <v/>
      </c>
      <c r="AE768" s="92" t="str">
        <f>+IF(OR($T$768="",X768="",X768="NO"),"",L768)</f>
        <v/>
      </c>
      <c r="AF768" s="92" t="str">
        <f>+IF(AE768="","",L768/$S$768)</f>
        <v/>
      </c>
      <c r="AG768" s="174"/>
    </row>
    <row r="769" spans="1:34" s="27" customFormat="1" ht="12.75" x14ac:dyDescent="0.2">
      <c r="A769" s="27" t="str">
        <f t="shared" si="354"/>
        <v/>
      </c>
      <c r="B769" s="38">
        <v>9</v>
      </c>
      <c r="C769" s="39"/>
      <c r="D769" s="39"/>
      <c r="E769" s="46"/>
      <c r="F769" s="46"/>
      <c r="G769" s="39"/>
      <c r="H769" s="40"/>
      <c r="I769" s="41"/>
      <c r="J769" s="42"/>
      <c r="K769" s="43"/>
      <c r="L769" s="44">
        <f t="shared" si="355"/>
        <v>0</v>
      </c>
      <c r="M769" s="206"/>
      <c r="N769" s="206"/>
      <c r="O769" s="207" t="str">
        <f t="shared" si="356"/>
        <v/>
      </c>
      <c r="P769" s="206"/>
      <c r="Q769" s="206"/>
      <c r="R769" s="177">
        <f t="shared" si="357"/>
        <v>0</v>
      </c>
      <c r="S769" s="178" t="str">
        <f t="shared" si="358"/>
        <v/>
      </c>
      <c r="T769" s="208" t="str">
        <f t="shared" si="359"/>
        <v/>
      </c>
      <c r="U769" s="41"/>
      <c r="V769" s="45"/>
      <c r="X769" s="37" t="str">
        <f t="shared" si="352"/>
        <v/>
      </c>
      <c r="Z769" s="181"/>
      <c r="AB769" s="173"/>
      <c r="AD769" s="10" t="str">
        <f t="shared" si="353"/>
        <v/>
      </c>
      <c r="AE769" s="92" t="str">
        <f>+IF(OR($T$769="",X769="",X769="NO"),"",L769)</f>
        <v/>
      </c>
      <c r="AF769" s="92" t="str">
        <f>+IF(AE769="","",L769/$S$769)</f>
        <v/>
      </c>
      <c r="AG769" s="174"/>
    </row>
    <row r="770" spans="1:34" s="27" customFormat="1" ht="13.5" thickBot="1" x14ac:dyDescent="0.25">
      <c r="A770" s="27" t="str">
        <f t="shared" si="354"/>
        <v/>
      </c>
      <c r="B770" s="47">
        <v>10</v>
      </c>
      <c r="C770" s="48"/>
      <c r="D770" s="48"/>
      <c r="E770" s="49"/>
      <c r="F770" s="49"/>
      <c r="G770" s="48"/>
      <c r="H770" s="50"/>
      <c r="I770" s="51"/>
      <c r="J770" s="14"/>
      <c r="K770" s="52"/>
      <c r="L770" s="53">
        <f t="shared" si="355"/>
        <v>0</v>
      </c>
      <c r="M770" s="211"/>
      <c r="N770" s="211"/>
      <c r="O770" s="212" t="str">
        <f t="shared" si="356"/>
        <v/>
      </c>
      <c r="P770" s="211"/>
      <c r="Q770" s="211"/>
      <c r="R770" s="184">
        <f t="shared" si="357"/>
        <v>0</v>
      </c>
      <c r="S770" s="185" t="str">
        <f t="shared" si="358"/>
        <v/>
      </c>
      <c r="T770" s="213" t="str">
        <f t="shared" si="359"/>
        <v/>
      </c>
      <c r="U770" s="51"/>
      <c r="V770" s="54"/>
      <c r="X770" s="55" t="str">
        <f t="shared" si="352"/>
        <v/>
      </c>
      <c r="Z770" s="187"/>
      <c r="AB770" s="188"/>
      <c r="AD770" s="10" t="str">
        <f t="shared" si="353"/>
        <v/>
      </c>
      <c r="AE770" s="92" t="str">
        <f>+IF(OR($T$770="",X770="",X770="NO"),"",L770)</f>
        <v/>
      </c>
      <c r="AF770" s="92" t="str">
        <f>+IF(AE770="","",L770/$S$770)</f>
        <v/>
      </c>
    </row>
    <row r="771" spans="1:34" ht="36" customHeight="1" x14ac:dyDescent="0.2">
      <c r="B771" s="57" t="str">
        <f>"A"&amp;B758</f>
        <v>A45</v>
      </c>
      <c r="C771" s="382" t="str">
        <f>+$C$23</f>
        <v>¿CADA INTEGRANTE DE PROPONENTE PLURAL APORTAN CONTRATO?  (SI; NO; NA)</v>
      </c>
      <c r="D771" s="383"/>
      <c r="E771" s="383"/>
      <c r="F771" s="383"/>
      <c r="G771" s="383"/>
      <c r="H771" s="384"/>
      <c r="I771" s="217" t="str">
        <f>+IF(AG758="","",IF(AG758=1,"NA",IF(AND(AG758=3,(IF(COUNTIFS(C761:C770,AH761,AE761:AE770,"&gt;0")&gt;=1,1,0)+IF(COUNTIFS(C761:C770,AH762,AE761:AE770,"&gt;0")&gt;=1,1,0)+IF(COUNTIFS(C761:C770,AH763,AE761:AE770,"&gt;0")&gt;=1,1,0))&gt;=AG758),"SI",IF(AND(AG758=2,(IF(COUNTIFS(C761:C770,AH761,AE761:AE770,"&gt;0")&gt;=1,1,0)+IF(COUNTIFS(C761:C770,AH762,AE761:AE770,"&gt;0")&gt;=1,1,0))&gt;=AG758),"SI","NO"))))</f>
        <v/>
      </c>
      <c r="J771" s="59"/>
      <c r="K771" s="27"/>
      <c r="L771" s="27"/>
      <c r="M771" s="27"/>
      <c r="N771" s="27"/>
      <c r="O771" s="27"/>
      <c r="P771" s="385" t="str">
        <f>+$P$23</f>
        <v>FACTURACION MENSUAL TOTAL</v>
      </c>
      <c r="Q771" s="386"/>
      <c r="R771" s="386"/>
      <c r="S771" s="386"/>
      <c r="T771" s="189">
        <f>ROUND(SUM(T761:T770),3)</f>
        <v>0</v>
      </c>
      <c r="U771" s="60"/>
      <c r="V771" s="1"/>
      <c r="W771" s="61"/>
      <c r="X771" s="61"/>
      <c r="Y771" s="61"/>
      <c r="Z771" s="61"/>
      <c r="AA771" s="61"/>
      <c r="AB771" s="61"/>
    </row>
    <row r="772" spans="1:34" ht="38.25" customHeight="1" thickBot="1" x14ac:dyDescent="0.25">
      <c r="B772" s="57" t="str">
        <f>"B"&amp;B758</f>
        <v>B45</v>
      </c>
      <c r="C772" s="387" t="str">
        <f>+C755</f>
        <v>En caso de proponente plural: ¿De la totalidad de los contratos aportados por el proponente plural, el valor ejecutado de uno de ellos deberá ser igual o superior al 30% del P.O.?  (SI; NO; NA)</v>
      </c>
      <c r="D772" s="388"/>
      <c r="E772" s="388"/>
      <c r="F772" s="388"/>
      <c r="G772" s="389"/>
      <c r="H772" s="190">
        <f>+$H$6</f>
        <v>268.14722506074827</v>
      </c>
      <c r="I772" s="191" t="str">
        <f>+IF(AG758="","",IF(AG758=1,"NA",IF(AND(AG758&gt;1,(COUNTIFS(AD761:AD770,"SI",AE761:AE770,"&gt;0"))&gt;=1),"SI","NO")))</f>
        <v/>
      </c>
      <c r="J772" s="192"/>
      <c r="K772" s="193"/>
      <c r="L772" s="194"/>
      <c r="M772" s="194"/>
      <c r="N772" s="194"/>
      <c r="O772" s="194"/>
      <c r="P772" s="387" t="str">
        <f>+$P$24</f>
        <v>PROMEDIO FACTURACIÓN MENSUAL DEL PROPONENTE (PFMP)</v>
      </c>
      <c r="Q772" s="388"/>
      <c r="R772" s="388"/>
      <c r="S772" s="388"/>
      <c r="T772" s="195">
        <f t="array" ref="T772">IF(T771=0,0,ROUND(T771/(SUM(IF(FREQUENCY(A761:A770,A761:A770)&gt;0,1))),3))</f>
        <v>0</v>
      </c>
      <c r="U772" s="214"/>
      <c r="V772" s="1"/>
      <c r="W772" s="61"/>
      <c r="X772" s="61"/>
      <c r="Y772" s="61"/>
      <c r="Z772" s="61"/>
      <c r="AA772" s="61"/>
      <c r="AB772" s="61"/>
    </row>
    <row r="773" spans="1:34" ht="21" customHeight="1" thickBot="1" x14ac:dyDescent="0.25">
      <c r="B773" s="197" t="str">
        <f>"C"&amp;B758</f>
        <v>C45</v>
      </c>
      <c r="C773" s="349" t="str">
        <f>+$C$25</f>
        <v>PROPONENTE CUMPLE CON LAS ACTIVIDADES a) y b)? (SI; NO)</v>
      </c>
      <c r="D773" s="350"/>
      <c r="E773" s="350"/>
      <c r="F773" s="350"/>
      <c r="G773" s="350"/>
      <c r="H773" s="351"/>
      <c r="I773" s="198" t="str">
        <f>IF(C758="","",(IF(AND(COUNTIFS(X761:X770,"SI",Z761:Z770,"SI")&gt;=$Z$8,COUNTIFS(X761:X770,"SI",AB761:AB770,"SI")&gt;=$Z$8),"SI","NO")))</f>
        <v/>
      </c>
      <c r="J773" s="199"/>
      <c r="K773" s="200"/>
      <c r="L773" s="200"/>
      <c r="M773" s="200"/>
      <c r="N773" s="200"/>
      <c r="P773" s="378" t="str">
        <f>+$P$25</f>
        <v>VALOR PUNTAJE POR EXPERIENCIA DEL PROPONENTE</v>
      </c>
      <c r="Q773" s="379"/>
      <c r="R773" s="379"/>
      <c r="S773" s="380"/>
      <c r="T773" s="201" t="str">
        <f>IF(OR(C758="",'ASIGNACION DE PUNTAJES'!$C$5=""),"",VLOOKUP(B758,'ASIGNACION DE PUNTAJES'!$A$15:$G$69,7,FALSE))</f>
        <v/>
      </c>
      <c r="V773" s="202"/>
    </row>
    <row r="774" spans="1:34" ht="12" thickBot="1" x14ac:dyDescent="0.25"/>
    <row r="775" spans="1:34" ht="36.75" customHeight="1" thickBot="1" x14ac:dyDescent="0.25">
      <c r="B775" s="23">
        <f>1+B758</f>
        <v>46</v>
      </c>
      <c r="C775" s="336" t="s">
        <v>932</v>
      </c>
      <c r="D775" s="337"/>
      <c r="E775" s="337"/>
      <c r="F775" s="337"/>
      <c r="G775" s="337"/>
      <c r="H775" s="337"/>
      <c r="I775" s="338"/>
      <c r="J775" s="24" t="str">
        <f>+IF(C775="","","INTEGRANTES")</f>
        <v/>
      </c>
      <c r="K775" s="339" t="s">
        <v>932</v>
      </c>
      <c r="L775" s="339"/>
      <c r="M775" s="339"/>
      <c r="N775" s="339"/>
      <c r="O775" s="339"/>
      <c r="P775" s="339"/>
      <c r="Q775" s="339"/>
      <c r="R775" s="396" t="str">
        <f>+$R$10</f>
        <v>PROPONENTE No.</v>
      </c>
      <c r="S775" s="397"/>
      <c r="T775" s="25">
        <f>+B775</f>
        <v>46</v>
      </c>
      <c r="U775" s="161" t="str">
        <f>+$U$10</f>
        <v>PFMP</v>
      </c>
      <c r="V775" s="162">
        <f>IF(T789="",0,T789)</f>
        <v>0</v>
      </c>
      <c r="X775" s="325" t="s">
        <v>168</v>
      </c>
      <c r="Z775" s="163" t="str">
        <f>+$Z$10</f>
        <v>EXP. ESPECÍFICA 
A:</v>
      </c>
      <c r="AB775" s="163" t="str">
        <f>+$AB$10</f>
        <v>EXP. ESPECÍFICA 
B:</v>
      </c>
      <c r="AG775" s="1" t="s">
        <v>932</v>
      </c>
    </row>
    <row r="776" spans="1:34" ht="42" customHeight="1" x14ac:dyDescent="0.2">
      <c r="B776" s="331" t="str">
        <f>+$B$11</f>
        <v>ITEM</v>
      </c>
      <c r="C776" s="318" t="str">
        <f>+$C$11</f>
        <v>PROPONENTE 
/ 
INTEGRANTE OFERENTE PLURAL</v>
      </c>
      <c r="D776" s="333" t="str">
        <f>+$D$11</f>
        <v>INFORMACIÓN DEL CONTRATO</v>
      </c>
      <c r="E776" s="334"/>
      <c r="F776" s="334"/>
      <c r="G776" s="335"/>
      <c r="H776" s="318" t="str">
        <f>+H759</f>
        <v>CONSECUTIVO RUP</v>
      </c>
      <c r="I776" s="318" t="str">
        <f>+$I$11</f>
        <v>¿SE ENCUENTRA INSCRITO EN EL RUP Y CUMPLE CÓDIGOS UNSPSC?</v>
      </c>
      <c r="J776" s="318" t="str">
        <f>+$J$11</f>
        <v xml:space="preserve">VALOR EN RUP (SMMLV) </v>
      </c>
      <c r="K776" s="318" t="str">
        <f>+$K$11</f>
        <v>% PARTIC en el RUP</v>
      </c>
      <c r="L776" s="318" t="str">
        <f>+$L$11</f>
        <v>VALOR DEL CONTRATO TERMINADO (SMMLV) en el   RUP</v>
      </c>
      <c r="M776" s="318" t="str">
        <f>+$M$11</f>
        <v>FECHA DE INICIO</v>
      </c>
      <c r="N776" s="318" t="str">
        <f>+$N$11</f>
        <v>FECHA DE TERMINACION</v>
      </c>
      <c r="O776" s="318" t="str">
        <f>+$O$11</f>
        <v>PLAZO CONTRA-TO (Meses)</v>
      </c>
      <c r="P776" s="390" t="str">
        <f>+$P$11</f>
        <v>Tsusp i</v>
      </c>
      <c r="Q776" s="391"/>
      <c r="R776" s="392"/>
      <c r="S776" s="318" t="str">
        <f>+$S$11</f>
        <v>PLAZO i REAL</v>
      </c>
      <c r="T776" s="318" t="str">
        <f>+$T$11</f>
        <v>FACTURA-CION MENSUAL PROPO-NENTE</v>
      </c>
      <c r="U776" s="318" t="str">
        <f>+$U$11</f>
        <v>VALIDACIÓN DE LA EXPERIENCIA GENERAL
(SI/NO)</v>
      </c>
      <c r="V776" s="393" t="str">
        <f>+$V$11</f>
        <v>OBSERVACIONES</v>
      </c>
      <c r="X776" s="326"/>
      <c r="Z776" s="381" t="str">
        <f>+$Z$11</f>
        <v>Interventoria a la ejecución de obras relacionadas con Colocación de capas granulares (tales como bases y/o sub-bases granulares).</v>
      </c>
      <c r="AB776" s="381" t="str">
        <f>+$AB$11</f>
        <v>Interventoria a la Ejecución de obras de subdrenaje y/o drenaje, en carreteras.</v>
      </c>
    </row>
    <row r="777" spans="1:34" ht="38.25" customHeight="1" thickBot="1" x14ac:dyDescent="0.25">
      <c r="B777" s="395"/>
      <c r="C777" s="348"/>
      <c r="D777" s="165" t="str">
        <f>+$D$12</f>
        <v>ENTIDAD</v>
      </c>
      <c r="E777" s="165" t="str">
        <f>+$E$12</f>
        <v>No. DE CONTRATO</v>
      </c>
      <c r="F777" s="165" t="str">
        <f>+$F$12</f>
        <v>OBJETO</v>
      </c>
      <c r="G777" s="165" t="str">
        <f>+$G$12</f>
        <v>CONTRATISTA</v>
      </c>
      <c r="H777" s="348"/>
      <c r="I777" s="348"/>
      <c r="J777" s="348"/>
      <c r="K777" s="348"/>
      <c r="L777" s="348"/>
      <c r="M777" s="348"/>
      <c r="N777" s="348"/>
      <c r="O777" s="348"/>
      <c r="P777" s="166" t="str">
        <f>+P760</f>
        <v>Finicsuspi</v>
      </c>
      <c r="Q777" s="166" t="str">
        <f>+Q760</f>
        <v xml:space="preserve"> Ftermsuspi </v>
      </c>
      <c r="R777" s="166" t="str">
        <f>+R760</f>
        <v>Tsusp i (meses)</v>
      </c>
      <c r="S777" s="348"/>
      <c r="T777" s="348"/>
      <c r="U777" s="348"/>
      <c r="V777" s="394"/>
      <c r="X777" s="327"/>
      <c r="Z777" s="381"/>
      <c r="AB777" s="381"/>
    </row>
    <row r="778" spans="1:34" s="27" customFormat="1" ht="12.75" x14ac:dyDescent="0.2">
      <c r="A778" s="27" t="str">
        <f>+IF(T778="","",B778)</f>
        <v/>
      </c>
      <c r="B778" s="28">
        <v>1</v>
      </c>
      <c r="C778" s="86"/>
      <c r="D778" s="86"/>
      <c r="E778" s="87"/>
      <c r="F778" s="87"/>
      <c r="G778" s="86"/>
      <c r="H778" s="30"/>
      <c r="I778" s="31"/>
      <c r="J778" s="32"/>
      <c r="K778" s="33"/>
      <c r="L778" s="34">
        <f>IF(OR(H778="",I778&lt;&gt;"SI",I778="NO",J778="",J778=0,K778="",K778=0,X778&lt;&gt;"SI"),0,J778*K778)</f>
        <v>0</v>
      </c>
      <c r="M778" s="204"/>
      <c r="N778" s="204"/>
      <c r="O778" s="169" t="str">
        <f>IF(OR(H778="",I778&lt;&gt;"SI",I778="NO",J778="",J778=0,K778="",K778=0,,M778="",N778=""),"",ROUND((((N778-M778)+1)/30),3))</f>
        <v/>
      </c>
      <c r="P778" s="204"/>
      <c r="Q778" s="204"/>
      <c r="R778" s="170">
        <f>IF(OR((Q778-P778)=0,P778="",Q778=""),0,(ROUND((((Q778-P778)+1)/30),3)))</f>
        <v>0</v>
      </c>
      <c r="S778" s="171" t="str">
        <f>IF(O778="","",ROUND(SUM(O778)-SUM(R778),3))</f>
        <v/>
      </c>
      <c r="T778" s="172" t="str">
        <f>+IF(C778="","",IF(OR(S778="",S778&lt;=0,I778="",I778="NO",U778="",U778="NO",X778="NO"),"",ROUND(SUM(L778)/S778,3)))</f>
        <v/>
      </c>
      <c r="U778" s="35"/>
      <c r="V778" s="36"/>
      <c r="W778" s="205"/>
      <c r="X778" s="37" t="str">
        <f t="shared" ref="X778:X787" si="360">+IF(C778="","",IF(AND(H778&lt;&gt;"",I778="SI",J778&lt;&gt;"",J778&gt;0,K778&lt;&gt;"",K778&gt;0,S778&lt;&gt;"",S778&gt;0,U778="SI"),"SI","NO"))</f>
        <v/>
      </c>
      <c r="Z778" s="173"/>
      <c r="AB778" s="173"/>
      <c r="AD778" s="10" t="str">
        <f t="shared" ref="AD778:AD787" si="361">+IF($C$775="","",IF(C778="","",IF(L778&gt;=$H$6,"SI","NO")))</f>
        <v/>
      </c>
      <c r="AE778" s="92" t="str">
        <f>+IF(OR($T$778="",X778="",X778="NO"),"",L778)</f>
        <v/>
      </c>
      <c r="AF778" s="92" t="str">
        <f>+IF(AE778="","",L778/$S$778)</f>
        <v/>
      </c>
      <c r="AG778" s="174">
        <f>0.1+B775</f>
        <v>46.1</v>
      </c>
      <c r="AH778" s="27" t="s">
        <v>932</v>
      </c>
    </row>
    <row r="779" spans="1:34" s="27" customFormat="1" ht="12.75" x14ac:dyDescent="0.2">
      <c r="A779" s="27" t="str">
        <f t="shared" ref="A779:A787" si="362">+IF(T779="","",B779)</f>
        <v/>
      </c>
      <c r="B779" s="38">
        <v>2</v>
      </c>
      <c r="C779" s="39"/>
      <c r="D779" s="39"/>
      <c r="E779" s="46"/>
      <c r="F779" s="46"/>
      <c r="G779" s="39"/>
      <c r="H779" s="40"/>
      <c r="I779" s="41"/>
      <c r="J779" s="42"/>
      <c r="K779" s="43"/>
      <c r="L779" s="44">
        <f t="shared" ref="L779:L787" si="363">IF(OR(H779="",I779&lt;&gt;"SI",I779="NO",J779="",J779=0,K779="",K779=0,X779&lt;&gt;"SI"),0,J779*K779)</f>
        <v>0</v>
      </c>
      <c r="M779" s="206"/>
      <c r="N779" s="206"/>
      <c r="O779" s="207" t="str">
        <f t="shared" ref="O779:O787" si="364">IF(OR(H779="",I779&lt;&gt;"SI",I779="NO",J779="",J779=0,K779="",K779=0,,M779="",N779=""),"",ROUND((((N779-M779)+1)/30),3))</f>
        <v/>
      </c>
      <c r="P779" s="206"/>
      <c r="Q779" s="206"/>
      <c r="R779" s="177">
        <f t="shared" ref="R779:R787" si="365">IF(OR((Q779-P779)=0,P779="",Q779=""),0,(ROUND((((Q779-P779)+1)/30),3)))</f>
        <v>0</v>
      </c>
      <c r="S779" s="178" t="str">
        <f t="shared" ref="S779:S787" si="366">IF(O779="","",ROUND(SUM(O779)-SUM(R779),3))</f>
        <v/>
      </c>
      <c r="T779" s="208" t="str">
        <f t="shared" ref="T779:T787" si="367">+IF(C779="","",IF(OR(S779="",S779&lt;=0,I779="",I779="NO",U779="",U779="NO",X779="NO"),"",ROUND(SUM(L779)/S779,3)))</f>
        <v/>
      </c>
      <c r="U779" s="41"/>
      <c r="V779" s="209"/>
      <c r="W779" s="205"/>
      <c r="X779" s="37" t="str">
        <f t="shared" si="360"/>
        <v/>
      </c>
      <c r="Z779" s="173"/>
      <c r="AB779" s="173"/>
      <c r="AD779" s="10" t="str">
        <f t="shared" si="361"/>
        <v/>
      </c>
      <c r="AE779" s="92" t="str">
        <f>+IF(OR($T$779="",X779="",X779="NO"),"",L779)</f>
        <v/>
      </c>
      <c r="AF779" s="92" t="str">
        <f>+IF(AE779="","",L779/$S$779)</f>
        <v/>
      </c>
      <c r="AG779" s="174">
        <f>0.2+B775</f>
        <v>46.2</v>
      </c>
      <c r="AH779" s="27" t="s">
        <v>932</v>
      </c>
    </row>
    <row r="780" spans="1:34" s="27" customFormat="1" ht="12.75" x14ac:dyDescent="0.2">
      <c r="A780" s="27" t="str">
        <f t="shared" si="362"/>
        <v/>
      </c>
      <c r="B780" s="38">
        <v>3</v>
      </c>
      <c r="C780" s="39"/>
      <c r="D780" s="39"/>
      <c r="E780" s="46"/>
      <c r="F780" s="46"/>
      <c r="G780" s="39"/>
      <c r="H780" s="40"/>
      <c r="I780" s="41"/>
      <c r="J780" s="42"/>
      <c r="K780" s="43"/>
      <c r="L780" s="44">
        <f t="shared" si="363"/>
        <v>0</v>
      </c>
      <c r="M780" s="206"/>
      <c r="N780" s="206"/>
      <c r="O780" s="207" t="str">
        <f t="shared" si="364"/>
        <v/>
      </c>
      <c r="P780" s="206"/>
      <c r="Q780" s="206"/>
      <c r="R780" s="177">
        <f t="shared" si="365"/>
        <v>0</v>
      </c>
      <c r="S780" s="178" t="str">
        <f t="shared" si="366"/>
        <v/>
      </c>
      <c r="T780" s="208" t="str">
        <f t="shared" si="367"/>
        <v/>
      </c>
      <c r="U780" s="41"/>
      <c r="V780" s="45"/>
      <c r="W780" s="205"/>
      <c r="X780" s="37" t="str">
        <f t="shared" si="360"/>
        <v/>
      </c>
      <c r="Z780" s="173"/>
      <c r="AB780" s="173"/>
      <c r="AD780" s="10" t="str">
        <f t="shared" si="361"/>
        <v/>
      </c>
      <c r="AE780" s="92" t="str">
        <f>+IF(OR($T$780="",X780="",X780="NO"),"",L780)</f>
        <v/>
      </c>
      <c r="AF780" s="92" t="str">
        <f>+IF(AE780="","",L780/$S$780)</f>
        <v/>
      </c>
      <c r="AG780" s="174">
        <f>0.3+B775</f>
        <v>46.3</v>
      </c>
      <c r="AH780" s="27" t="s">
        <v>932</v>
      </c>
    </row>
    <row r="781" spans="1:34" s="27" customFormat="1" ht="12.75" x14ac:dyDescent="0.2">
      <c r="A781" s="27" t="str">
        <f t="shared" si="362"/>
        <v/>
      </c>
      <c r="B781" s="38">
        <v>4</v>
      </c>
      <c r="C781" s="39"/>
      <c r="D781" s="39"/>
      <c r="E781" s="46"/>
      <c r="F781" s="46"/>
      <c r="G781" s="39"/>
      <c r="H781" s="40"/>
      <c r="I781" s="41"/>
      <c r="J781" s="42"/>
      <c r="K781" s="43"/>
      <c r="L781" s="44">
        <f t="shared" si="363"/>
        <v>0</v>
      </c>
      <c r="M781" s="206"/>
      <c r="N781" s="206"/>
      <c r="O781" s="207" t="str">
        <f t="shared" si="364"/>
        <v/>
      </c>
      <c r="P781" s="206"/>
      <c r="Q781" s="206"/>
      <c r="R781" s="177">
        <f t="shared" si="365"/>
        <v>0</v>
      </c>
      <c r="S781" s="178" t="str">
        <f t="shared" si="366"/>
        <v/>
      </c>
      <c r="T781" s="208" t="str">
        <f t="shared" si="367"/>
        <v/>
      </c>
      <c r="U781" s="41"/>
      <c r="V781" s="45"/>
      <c r="W781" s="210"/>
      <c r="X781" s="37" t="str">
        <f t="shared" si="360"/>
        <v/>
      </c>
      <c r="Z781" s="180"/>
      <c r="AB781" s="173"/>
      <c r="AD781" s="10" t="str">
        <f t="shared" si="361"/>
        <v/>
      </c>
      <c r="AE781" s="92" t="str">
        <f>+IF(OR($T$781="",X781="",X781="NO"),"",L781)</f>
        <v/>
      </c>
      <c r="AF781" s="92" t="str">
        <f>+IF(AE781="","",L781/$S$781)</f>
        <v/>
      </c>
      <c r="AG781" s="174"/>
    </row>
    <row r="782" spans="1:34" s="27" customFormat="1" ht="12.75" x14ac:dyDescent="0.2">
      <c r="A782" s="27" t="str">
        <f t="shared" si="362"/>
        <v/>
      </c>
      <c r="B782" s="38">
        <v>5</v>
      </c>
      <c r="C782" s="39"/>
      <c r="D782" s="39"/>
      <c r="E782" s="46"/>
      <c r="F782" s="46"/>
      <c r="G782" s="39"/>
      <c r="H782" s="40"/>
      <c r="I782" s="41"/>
      <c r="J782" s="42"/>
      <c r="K782" s="43"/>
      <c r="L782" s="44">
        <f t="shared" si="363"/>
        <v>0</v>
      </c>
      <c r="M782" s="206"/>
      <c r="N782" s="206"/>
      <c r="O782" s="207" t="str">
        <f t="shared" si="364"/>
        <v/>
      </c>
      <c r="P782" s="206"/>
      <c r="Q782" s="206"/>
      <c r="R782" s="177">
        <f t="shared" si="365"/>
        <v>0</v>
      </c>
      <c r="S782" s="178" t="str">
        <f t="shared" si="366"/>
        <v/>
      </c>
      <c r="T782" s="208" t="str">
        <f t="shared" si="367"/>
        <v/>
      </c>
      <c r="U782" s="41"/>
      <c r="V782" s="45"/>
      <c r="X782" s="37" t="str">
        <f t="shared" si="360"/>
        <v/>
      </c>
      <c r="Z782" s="181"/>
      <c r="AB782" s="173"/>
      <c r="AD782" s="10" t="str">
        <f t="shared" si="361"/>
        <v/>
      </c>
      <c r="AE782" s="92" t="str">
        <f>+IF(OR($T$782="",X782="",X782="NO"),"",L782)</f>
        <v/>
      </c>
      <c r="AF782" s="92" t="str">
        <f>+IF(AE782="","",L782/$S$782)</f>
        <v/>
      </c>
      <c r="AG782" s="174"/>
    </row>
    <row r="783" spans="1:34" s="27" customFormat="1" ht="12.75" x14ac:dyDescent="0.2">
      <c r="A783" s="27" t="str">
        <f t="shared" si="362"/>
        <v/>
      </c>
      <c r="B783" s="38">
        <v>6</v>
      </c>
      <c r="C783" s="39"/>
      <c r="D783" s="39"/>
      <c r="E783" s="46"/>
      <c r="F783" s="46"/>
      <c r="G783" s="39"/>
      <c r="H783" s="40"/>
      <c r="I783" s="41"/>
      <c r="J783" s="42"/>
      <c r="K783" s="43"/>
      <c r="L783" s="44">
        <f t="shared" si="363"/>
        <v>0</v>
      </c>
      <c r="M783" s="206"/>
      <c r="N783" s="206"/>
      <c r="O783" s="207" t="str">
        <f t="shared" si="364"/>
        <v/>
      </c>
      <c r="P783" s="206"/>
      <c r="Q783" s="206"/>
      <c r="R783" s="177">
        <f t="shared" si="365"/>
        <v>0</v>
      </c>
      <c r="S783" s="178" t="str">
        <f t="shared" si="366"/>
        <v/>
      </c>
      <c r="T783" s="208" t="str">
        <f t="shared" si="367"/>
        <v/>
      </c>
      <c r="U783" s="41"/>
      <c r="V783" s="45"/>
      <c r="X783" s="37" t="str">
        <f t="shared" si="360"/>
        <v/>
      </c>
      <c r="Z783" s="181"/>
      <c r="AB783" s="173"/>
      <c r="AD783" s="10" t="str">
        <f t="shared" si="361"/>
        <v/>
      </c>
      <c r="AE783" s="92" t="str">
        <f>+IF(OR($T$783="",X783="",X783="NO"),"",L783)</f>
        <v/>
      </c>
      <c r="AF783" s="92" t="str">
        <f>+IF(AE783="","",L783/$S$783)</f>
        <v/>
      </c>
      <c r="AG783" s="174"/>
    </row>
    <row r="784" spans="1:34" s="27" customFormat="1" ht="12.75" x14ac:dyDescent="0.2">
      <c r="A784" s="27" t="str">
        <f t="shared" si="362"/>
        <v/>
      </c>
      <c r="B784" s="38">
        <v>7</v>
      </c>
      <c r="C784" s="39"/>
      <c r="D784" s="39"/>
      <c r="E784" s="46"/>
      <c r="F784" s="46"/>
      <c r="G784" s="39"/>
      <c r="H784" s="40"/>
      <c r="I784" s="41"/>
      <c r="J784" s="42"/>
      <c r="K784" s="43"/>
      <c r="L784" s="44">
        <f t="shared" si="363"/>
        <v>0</v>
      </c>
      <c r="M784" s="206"/>
      <c r="N784" s="206"/>
      <c r="O784" s="207" t="str">
        <f t="shared" si="364"/>
        <v/>
      </c>
      <c r="P784" s="206"/>
      <c r="Q784" s="206"/>
      <c r="R784" s="177">
        <f t="shared" si="365"/>
        <v>0</v>
      </c>
      <c r="S784" s="178" t="str">
        <f t="shared" si="366"/>
        <v/>
      </c>
      <c r="T784" s="208" t="str">
        <f t="shared" si="367"/>
        <v/>
      </c>
      <c r="U784" s="41"/>
      <c r="V784" s="45"/>
      <c r="X784" s="37" t="str">
        <f t="shared" si="360"/>
        <v/>
      </c>
      <c r="Z784" s="181"/>
      <c r="AB784" s="173"/>
      <c r="AD784" s="10" t="str">
        <f t="shared" si="361"/>
        <v/>
      </c>
      <c r="AE784" s="92" t="str">
        <f>+IF(OR($T$784="",X784="",X784="NO"),"",L784)</f>
        <v/>
      </c>
      <c r="AF784" s="92" t="str">
        <f>+IF(AE784="","",L784/$S$784)</f>
        <v/>
      </c>
      <c r="AG784" s="174"/>
    </row>
    <row r="785" spans="1:34" s="27" customFormat="1" ht="12.75" x14ac:dyDescent="0.2">
      <c r="A785" s="27" t="str">
        <f t="shared" si="362"/>
        <v/>
      </c>
      <c r="B785" s="38">
        <v>8</v>
      </c>
      <c r="C785" s="39"/>
      <c r="D785" s="39"/>
      <c r="E785" s="46"/>
      <c r="F785" s="46"/>
      <c r="G785" s="39"/>
      <c r="H785" s="40"/>
      <c r="I785" s="41"/>
      <c r="J785" s="42"/>
      <c r="K785" s="43"/>
      <c r="L785" s="44">
        <f t="shared" si="363"/>
        <v>0</v>
      </c>
      <c r="M785" s="206"/>
      <c r="N785" s="206"/>
      <c r="O785" s="207" t="str">
        <f t="shared" si="364"/>
        <v/>
      </c>
      <c r="P785" s="206"/>
      <c r="Q785" s="206"/>
      <c r="R785" s="177">
        <f t="shared" si="365"/>
        <v>0</v>
      </c>
      <c r="S785" s="178" t="str">
        <f t="shared" si="366"/>
        <v/>
      </c>
      <c r="T785" s="208" t="str">
        <f t="shared" si="367"/>
        <v/>
      </c>
      <c r="U785" s="41"/>
      <c r="V785" s="45"/>
      <c r="X785" s="37" t="str">
        <f t="shared" si="360"/>
        <v/>
      </c>
      <c r="Z785" s="181"/>
      <c r="AB785" s="173"/>
      <c r="AD785" s="10" t="str">
        <f t="shared" si="361"/>
        <v/>
      </c>
      <c r="AE785" s="92" t="str">
        <f>+IF(OR($T$785="",X785="",X785="NO"),"",L785)</f>
        <v/>
      </c>
      <c r="AF785" s="92" t="str">
        <f>+IF(AE785="","",L785/$S$785)</f>
        <v/>
      </c>
      <c r="AG785" s="174"/>
    </row>
    <row r="786" spans="1:34" s="27" customFormat="1" ht="12.75" x14ac:dyDescent="0.2">
      <c r="A786" s="27" t="str">
        <f t="shared" si="362"/>
        <v/>
      </c>
      <c r="B786" s="38">
        <v>9</v>
      </c>
      <c r="C786" s="39"/>
      <c r="D786" s="39"/>
      <c r="E786" s="46"/>
      <c r="F786" s="46"/>
      <c r="G786" s="39"/>
      <c r="H786" s="40"/>
      <c r="I786" s="41"/>
      <c r="J786" s="42"/>
      <c r="K786" s="43"/>
      <c r="L786" s="44">
        <f t="shared" si="363"/>
        <v>0</v>
      </c>
      <c r="M786" s="206"/>
      <c r="N786" s="206"/>
      <c r="O786" s="207" t="str">
        <f t="shared" si="364"/>
        <v/>
      </c>
      <c r="P786" s="206"/>
      <c r="Q786" s="206"/>
      <c r="R786" s="177">
        <f t="shared" si="365"/>
        <v>0</v>
      </c>
      <c r="S786" s="178" t="str">
        <f t="shared" si="366"/>
        <v/>
      </c>
      <c r="T786" s="208" t="str">
        <f t="shared" si="367"/>
        <v/>
      </c>
      <c r="U786" s="41"/>
      <c r="V786" s="45"/>
      <c r="X786" s="37" t="str">
        <f t="shared" si="360"/>
        <v/>
      </c>
      <c r="Z786" s="181"/>
      <c r="AB786" s="173"/>
      <c r="AD786" s="10" t="str">
        <f t="shared" si="361"/>
        <v/>
      </c>
      <c r="AE786" s="92" t="str">
        <f>+IF(OR($T$786="",X786="",X786="NO"),"",L786)</f>
        <v/>
      </c>
      <c r="AF786" s="92" t="str">
        <f>+IF(AE786="","",L786/$S$786)</f>
        <v/>
      </c>
      <c r="AG786" s="174"/>
    </row>
    <row r="787" spans="1:34" s="27" customFormat="1" ht="13.5" thickBot="1" x14ac:dyDescent="0.25">
      <c r="A787" s="27" t="str">
        <f t="shared" si="362"/>
        <v/>
      </c>
      <c r="B787" s="47">
        <v>10</v>
      </c>
      <c r="C787" s="48"/>
      <c r="D787" s="48"/>
      <c r="E787" s="49"/>
      <c r="F787" s="49"/>
      <c r="G787" s="48"/>
      <c r="H787" s="50"/>
      <c r="I787" s="51"/>
      <c r="J787" s="14"/>
      <c r="K787" s="52"/>
      <c r="L787" s="53">
        <f t="shared" si="363"/>
        <v>0</v>
      </c>
      <c r="M787" s="211"/>
      <c r="N787" s="211"/>
      <c r="O787" s="212" t="str">
        <f t="shared" si="364"/>
        <v/>
      </c>
      <c r="P787" s="211"/>
      <c r="Q787" s="211"/>
      <c r="R787" s="184">
        <f t="shared" si="365"/>
        <v>0</v>
      </c>
      <c r="S787" s="185" t="str">
        <f t="shared" si="366"/>
        <v/>
      </c>
      <c r="T787" s="213" t="str">
        <f t="shared" si="367"/>
        <v/>
      </c>
      <c r="U787" s="51"/>
      <c r="V787" s="54"/>
      <c r="X787" s="55" t="str">
        <f t="shared" si="360"/>
        <v/>
      </c>
      <c r="Z787" s="187"/>
      <c r="AB787" s="188"/>
      <c r="AD787" s="10" t="str">
        <f t="shared" si="361"/>
        <v/>
      </c>
      <c r="AE787" s="92" t="str">
        <f>+IF(OR($T$787="",X787="",X787="NO"),"",L787)</f>
        <v/>
      </c>
      <c r="AF787" s="92" t="str">
        <f>+IF(AE787="","",L787/$S$787)</f>
        <v/>
      </c>
    </row>
    <row r="788" spans="1:34" ht="36" customHeight="1" x14ac:dyDescent="0.2">
      <c r="B788" s="57" t="str">
        <f>"A"&amp;B775</f>
        <v>A46</v>
      </c>
      <c r="C788" s="382" t="str">
        <f>+$C$23</f>
        <v>¿CADA INTEGRANTE DE PROPONENTE PLURAL APORTAN CONTRATO?  (SI; NO; NA)</v>
      </c>
      <c r="D788" s="383"/>
      <c r="E788" s="383"/>
      <c r="F788" s="383"/>
      <c r="G788" s="383"/>
      <c r="H788" s="384"/>
      <c r="I788" s="217" t="str">
        <f>+IF(AG775="","",IF(AG775=1,"NA",IF(AND(AG775=3,(IF(COUNTIFS(C778:C787,AH778,AE778:AE787,"&gt;0")&gt;=1,1,0)+IF(COUNTIFS(C778:C787,AH779,AE778:AE787,"&gt;0")&gt;=1,1,0)+IF(COUNTIFS(C778:C787,AH780,AE778:AE787,"&gt;0")&gt;=1,1,0))&gt;=AG775),"SI",IF(AND(AG775=2,(IF(COUNTIFS(C778:C787,AH778,AE778:AE787,"&gt;0")&gt;=1,1,0)+IF(COUNTIFS(C778:C787,AH779,AE778:AE787,"&gt;0")&gt;=1,1,0))&gt;=AG775),"SI","NO"))))</f>
        <v/>
      </c>
      <c r="J788" s="59"/>
      <c r="K788" s="27"/>
      <c r="L788" s="27"/>
      <c r="M788" s="27"/>
      <c r="N788" s="27"/>
      <c r="O788" s="27"/>
      <c r="P788" s="385" t="str">
        <f>+$P$23</f>
        <v>FACTURACION MENSUAL TOTAL</v>
      </c>
      <c r="Q788" s="386"/>
      <c r="R788" s="386"/>
      <c r="S788" s="386"/>
      <c r="T788" s="189">
        <f>ROUND(SUM(T778:T787),3)</f>
        <v>0</v>
      </c>
      <c r="U788" s="60"/>
      <c r="V788" s="1"/>
      <c r="W788" s="61"/>
      <c r="X788" s="61"/>
      <c r="Y788" s="61"/>
      <c r="Z788" s="61"/>
      <c r="AA788" s="61"/>
      <c r="AB788" s="61"/>
    </row>
    <row r="789" spans="1:34" ht="38.25" customHeight="1" thickBot="1" x14ac:dyDescent="0.25">
      <c r="B789" s="57" t="str">
        <f>"B"&amp;B775</f>
        <v>B46</v>
      </c>
      <c r="C789" s="387" t="str">
        <f>+C772</f>
        <v>En caso de proponente plural: ¿De la totalidad de los contratos aportados por el proponente plural, el valor ejecutado de uno de ellos deberá ser igual o superior al 30% del P.O.?  (SI; NO; NA)</v>
      </c>
      <c r="D789" s="388"/>
      <c r="E789" s="388"/>
      <c r="F789" s="388"/>
      <c r="G789" s="389"/>
      <c r="H789" s="190">
        <f>+$H$6</f>
        <v>268.14722506074827</v>
      </c>
      <c r="I789" s="191" t="str">
        <f>+IF(AG775="","",IF(AG775=1,"NA",IF(AND(AG775&gt;1,(COUNTIFS(AD778:AD787,"SI",AE778:AE787,"&gt;0"))&gt;=1),"SI","NO")))</f>
        <v/>
      </c>
      <c r="J789" s="192"/>
      <c r="K789" s="193"/>
      <c r="L789" s="194"/>
      <c r="M789" s="194"/>
      <c r="N789" s="194"/>
      <c r="O789" s="194"/>
      <c r="P789" s="387" t="str">
        <f>+$P$24</f>
        <v>PROMEDIO FACTURACIÓN MENSUAL DEL PROPONENTE (PFMP)</v>
      </c>
      <c r="Q789" s="388"/>
      <c r="R789" s="388"/>
      <c r="S789" s="388"/>
      <c r="T789" s="195">
        <f t="array" ref="T789">IF(T788=0,0,ROUND(T788/(SUM(IF(FREQUENCY(A778:A787,A778:A787)&gt;0,1))),3))</f>
        <v>0</v>
      </c>
      <c r="U789" s="214"/>
      <c r="V789" s="1"/>
      <c r="W789" s="61"/>
      <c r="X789" s="61"/>
      <c r="Y789" s="61"/>
      <c r="Z789" s="61"/>
      <c r="AA789" s="61"/>
      <c r="AB789" s="61"/>
    </row>
    <row r="790" spans="1:34" ht="21" customHeight="1" thickBot="1" x14ac:dyDescent="0.25">
      <c r="B790" s="197" t="str">
        <f>"C"&amp;B775</f>
        <v>C46</v>
      </c>
      <c r="C790" s="349" t="str">
        <f>+$C$25</f>
        <v>PROPONENTE CUMPLE CON LAS ACTIVIDADES a) y b)? (SI; NO)</v>
      </c>
      <c r="D790" s="350"/>
      <c r="E790" s="350"/>
      <c r="F790" s="350"/>
      <c r="G790" s="350"/>
      <c r="H790" s="351"/>
      <c r="I790" s="198" t="str">
        <f>IF(C775="","",(IF(AND(COUNTIFS(X778:X787,"SI",Z778:Z787,"SI")&gt;=$Z$8,COUNTIFS(X778:X787,"SI",AB778:AB787,"SI")&gt;=$Z$8),"SI","NO")))</f>
        <v/>
      </c>
      <c r="J790" s="199"/>
      <c r="K790" s="200"/>
      <c r="L790" s="200"/>
      <c r="M790" s="200"/>
      <c r="N790" s="200"/>
      <c r="P790" s="378" t="str">
        <f>+$P$25</f>
        <v>VALOR PUNTAJE POR EXPERIENCIA DEL PROPONENTE</v>
      </c>
      <c r="Q790" s="379"/>
      <c r="R790" s="379"/>
      <c r="S790" s="380"/>
      <c r="T790" s="201" t="str">
        <f>IF(OR(C775="",'ASIGNACION DE PUNTAJES'!$C$5=""),"",VLOOKUP(B775,'ASIGNACION DE PUNTAJES'!$A$15:$G$69,7,FALSE))</f>
        <v/>
      </c>
      <c r="V790" s="202"/>
    </row>
    <row r="791" spans="1:34" ht="12" thickBot="1" x14ac:dyDescent="0.25"/>
    <row r="792" spans="1:34" ht="36.75" customHeight="1" thickBot="1" x14ac:dyDescent="0.25">
      <c r="B792" s="23">
        <f>1+B775</f>
        <v>47</v>
      </c>
      <c r="C792" s="336" t="s">
        <v>932</v>
      </c>
      <c r="D792" s="337"/>
      <c r="E792" s="337"/>
      <c r="F792" s="337"/>
      <c r="G792" s="337"/>
      <c r="H792" s="337"/>
      <c r="I792" s="338"/>
      <c r="J792" s="24" t="str">
        <f>+IF(C792="","","INTEGRANTES")</f>
        <v/>
      </c>
      <c r="K792" s="339" t="s">
        <v>932</v>
      </c>
      <c r="L792" s="339"/>
      <c r="M792" s="339"/>
      <c r="N792" s="339"/>
      <c r="O792" s="339"/>
      <c r="P792" s="339"/>
      <c r="Q792" s="339"/>
      <c r="R792" s="396" t="str">
        <f>+$R$10</f>
        <v>PROPONENTE No.</v>
      </c>
      <c r="S792" s="397"/>
      <c r="T792" s="25">
        <f>+B792</f>
        <v>47</v>
      </c>
      <c r="U792" s="161" t="str">
        <f>+$U$10</f>
        <v>PFMP</v>
      </c>
      <c r="V792" s="162">
        <f>IF(T806="",0,T806)</f>
        <v>0</v>
      </c>
      <c r="X792" s="325" t="s">
        <v>168</v>
      </c>
      <c r="Z792" s="163" t="str">
        <f>+$Z$10</f>
        <v>EXP. ESPECÍFICA 
A:</v>
      </c>
      <c r="AB792" s="163" t="str">
        <f>+$AB$10</f>
        <v>EXP. ESPECÍFICA 
B:</v>
      </c>
      <c r="AG792" s="1" t="s">
        <v>932</v>
      </c>
    </row>
    <row r="793" spans="1:34" ht="42" customHeight="1" x14ac:dyDescent="0.2">
      <c r="B793" s="331" t="str">
        <f>+$B$11</f>
        <v>ITEM</v>
      </c>
      <c r="C793" s="318" t="str">
        <f>+$C$11</f>
        <v>PROPONENTE 
/ 
INTEGRANTE OFERENTE PLURAL</v>
      </c>
      <c r="D793" s="333" t="str">
        <f>+$D$11</f>
        <v>INFORMACIÓN DEL CONTRATO</v>
      </c>
      <c r="E793" s="334"/>
      <c r="F793" s="334"/>
      <c r="G793" s="335"/>
      <c r="H793" s="318" t="str">
        <f>+H776</f>
        <v>CONSECUTIVO RUP</v>
      </c>
      <c r="I793" s="318" t="str">
        <f>+$I$11</f>
        <v>¿SE ENCUENTRA INSCRITO EN EL RUP Y CUMPLE CÓDIGOS UNSPSC?</v>
      </c>
      <c r="J793" s="318" t="str">
        <f>+$J$11</f>
        <v xml:space="preserve">VALOR EN RUP (SMMLV) </v>
      </c>
      <c r="K793" s="318" t="str">
        <f>+$K$11</f>
        <v>% PARTIC en el RUP</v>
      </c>
      <c r="L793" s="318" t="str">
        <f>+$L$11</f>
        <v>VALOR DEL CONTRATO TERMINADO (SMMLV) en el   RUP</v>
      </c>
      <c r="M793" s="318" t="str">
        <f>+$M$11</f>
        <v>FECHA DE INICIO</v>
      </c>
      <c r="N793" s="318" t="str">
        <f>+$N$11</f>
        <v>FECHA DE TERMINACION</v>
      </c>
      <c r="O793" s="318" t="str">
        <f>+$O$11</f>
        <v>PLAZO CONTRA-TO (Meses)</v>
      </c>
      <c r="P793" s="390" t="str">
        <f>+$P$11</f>
        <v>Tsusp i</v>
      </c>
      <c r="Q793" s="391"/>
      <c r="R793" s="392"/>
      <c r="S793" s="318" t="str">
        <f>+$S$11</f>
        <v>PLAZO i REAL</v>
      </c>
      <c r="T793" s="318" t="str">
        <f>+$T$11</f>
        <v>FACTURA-CION MENSUAL PROPO-NENTE</v>
      </c>
      <c r="U793" s="318" t="str">
        <f>+$U$11</f>
        <v>VALIDACIÓN DE LA EXPERIENCIA GENERAL
(SI/NO)</v>
      </c>
      <c r="V793" s="393" t="str">
        <f>+$V$11</f>
        <v>OBSERVACIONES</v>
      </c>
      <c r="X793" s="326"/>
      <c r="Z793" s="381" t="str">
        <f>+$Z$11</f>
        <v>Interventoria a la ejecución de obras relacionadas con Colocación de capas granulares (tales como bases y/o sub-bases granulares).</v>
      </c>
      <c r="AB793" s="381" t="str">
        <f>+$AB$11</f>
        <v>Interventoria a la Ejecución de obras de subdrenaje y/o drenaje, en carreteras.</v>
      </c>
    </row>
    <row r="794" spans="1:34" ht="38.25" customHeight="1" thickBot="1" x14ac:dyDescent="0.25">
      <c r="B794" s="395"/>
      <c r="C794" s="348"/>
      <c r="D794" s="165" t="str">
        <f>+$D$12</f>
        <v>ENTIDAD</v>
      </c>
      <c r="E794" s="165" t="str">
        <f>+$E$12</f>
        <v>No. DE CONTRATO</v>
      </c>
      <c r="F794" s="165" t="str">
        <f>+$F$12</f>
        <v>OBJETO</v>
      </c>
      <c r="G794" s="165" t="str">
        <f>+$G$12</f>
        <v>CONTRATISTA</v>
      </c>
      <c r="H794" s="348"/>
      <c r="I794" s="348"/>
      <c r="J794" s="348"/>
      <c r="K794" s="348"/>
      <c r="L794" s="348"/>
      <c r="M794" s="348"/>
      <c r="N794" s="348"/>
      <c r="O794" s="348"/>
      <c r="P794" s="166" t="str">
        <f>+P777</f>
        <v>Finicsuspi</v>
      </c>
      <c r="Q794" s="166" t="str">
        <f>+Q777</f>
        <v xml:space="preserve"> Ftermsuspi </v>
      </c>
      <c r="R794" s="166" t="str">
        <f>+R777</f>
        <v>Tsusp i (meses)</v>
      </c>
      <c r="S794" s="348"/>
      <c r="T794" s="348"/>
      <c r="U794" s="348"/>
      <c r="V794" s="394"/>
      <c r="X794" s="327"/>
      <c r="Z794" s="381"/>
      <c r="AB794" s="381"/>
    </row>
    <row r="795" spans="1:34" s="27" customFormat="1" ht="12.75" x14ac:dyDescent="0.2">
      <c r="A795" s="27" t="str">
        <f>+IF(T795="","",B795)</f>
        <v/>
      </c>
      <c r="B795" s="28">
        <v>1</v>
      </c>
      <c r="C795" s="86"/>
      <c r="D795" s="86"/>
      <c r="E795" s="87"/>
      <c r="F795" s="87"/>
      <c r="G795" s="86"/>
      <c r="H795" s="30"/>
      <c r="I795" s="31"/>
      <c r="J795" s="32"/>
      <c r="K795" s="33"/>
      <c r="L795" s="34">
        <f>IF(OR(H795="",I795&lt;&gt;"SI",I795="NO",J795="",J795=0,K795="",K795=0,X795&lt;&gt;"SI"),0,J795*K795)</f>
        <v>0</v>
      </c>
      <c r="M795" s="204"/>
      <c r="N795" s="204"/>
      <c r="O795" s="169" t="str">
        <f>IF(OR(H795="",I795&lt;&gt;"SI",I795="NO",J795="",J795=0,K795="",K795=0,,M795="",N795=""),"",ROUND((((N795-M795)+1)/30),3))</f>
        <v/>
      </c>
      <c r="P795" s="204"/>
      <c r="Q795" s="204"/>
      <c r="R795" s="170">
        <f>IF(OR((Q795-P795)=0,P795="",Q795=""),0,(ROUND((((Q795-P795)+1)/30),3)))</f>
        <v>0</v>
      </c>
      <c r="S795" s="171" t="str">
        <f>IF(O795="","",ROUND(SUM(O795)-SUM(R795),3))</f>
        <v/>
      </c>
      <c r="T795" s="172" t="str">
        <f>+IF(C795="","",IF(OR(S795="",S795&lt;=0,I795="",I795="NO",U795="",U795="NO",X795="NO"),"",ROUND(SUM(L795)/S795,3)))</f>
        <v/>
      </c>
      <c r="U795" s="35"/>
      <c r="V795" s="36"/>
      <c r="W795" s="205"/>
      <c r="X795" s="37" t="str">
        <f t="shared" ref="X795:X804" si="368">+IF(C795="","",IF(AND(H795&lt;&gt;"",I795="SI",J795&lt;&gt;"",J795&gt;0,K795&lt;&gt;"",K795&gt;0,S795&lt;&gt;"",S795&gt;0,U795="SI"),"SI","NO"))</f>
        <v/>
      </c>
      <c r="Z795" s="173"/>
      <c r="AB795" s="173"/>
      <c r="AD795" s="10" t="str">
        <f t="shared" ref="AD795:AD804" si="369">+IF($C$792="","",IF(C795="","",IF(L795&gt;=$H$6,"SI","NO")))</f>
        <v/>
      </c>
      <c r="AE795" s="92" t="str">
        <f>+IF(OR($T$795="",X795="",X795="NO"),"",L795)</f>
        <v/>
      </c>
      <c r="AF795" s="92" t="str">
        <f>+IF(AE795="","",L795/$S$795)</f>
        <v/>
      </c>
      <c r="AG795" s="174">
        <f>0.1+B792</f>
        <v>47.1</v>
      </c>
      <c r="AH795" s="27" t="s">
        <v>932</v>
      </c>
    </row>
    <row r="796" spans="1:34" s="27" customFormat="1" ht="12.75" x14ac:dyDescent="0.2">
      <c r="A796" s="27" t="str">
        <f t="shared" ref="A796:A804" si="370">+IF(T796="","",B796)</f>
        <v/>
      </c>
      <c r="B796" s="38">
        <v>2</v>
      </c>
      <c r="C796" s="39"/>
      <c r="D796" s="39"/>
      <c r="E796" s="46"/>
      <c r="F796" s="46"/>
      <c r="G796" s="39"/>
      <c r="H796" s="40"/>
      <c r="I796" s="41"/>
      <c r="J796" s="42"/>
      <c r="K796" s="43"/>
      <c r="L796" s="44">
        <f t="shared" ref="L796:L804" si="371">IF(OR(H796="",I796&lt;&gt;"SI",I796="NO",J796="",J796=0,K796="",K796=0,X796&lt;&gt;"SI"),0,J796*K796)</f>
        <v>0</v>
      </c>
      <c r="M796" s="206"/>
      <c r="N796" s="206"/>
      <c r="O796" s="207" t="str">
        <f t="shared" ref="O796:O804" si="372">IF(OR(H796="",I796&lt;&gt;"SI",I796="NO",J796="",J796=0,K796="",K796=0,,M796="",N796=""),"",ROUND((((N796-M796)+1)/30),3))</f>
        <v/>
      </c>
      <c r="P796" s="206"/>
      <c r="Q796" s="206"/>
      <c r="R796" s="177">
        <f t="shared" ref="R796:R804" si="373">IF(OR((Q796-P796)=0,P796="",Q796=""),0,(ROUND((((Q796-P796)+1)/30),3)))</f>
        <v>0</v>
      </c>
      <c r="S796" s="178" t="str">
        <f t="shared" ref="S796:S804" si="374">IF(O796="","",ROUND(SUM(O796)-SUM(R796),3))</f>
        <v/>
      </c>
      <c r="T796" s="208" t="str">
        <f t="shared" ref="T796:T804" si="375">+IF(C796="","",IF(OR(S796="",S796&lt;=0,I796="",I796="NO",U796="",U796="NO",X796="NO"),"",ROUND(SUM(L796)/S796,3)))</f>
        <v/>
      </c>
      <c r="U796" s="41"/>
      <c r="V796" s="209"/>
      <c r="W796" s="205"/>
      <c r="X796" s="37" t="str">
        <f t="shared" si="368"/>
        <v/>
      </c>
      <c r="Z796" s="173"/>
      <c r="AB796" s="173"/>
      <c r="AD796" s="10" t="str">
        <f t="shared" si="369"/>
        <v/>
      </c>
      <c r="AE796" s="92" t="str">
        <f>+IF(OR($T$796="",X796="",X796="NO"),"",L796)</f>
        <v/>
      </c>
      <c r="AF796" s="92" t="str">
        <f>+IF(AE796="","",L796/$S$796)</f>
        <v/>
      </c>
      <c r="AG796" s="174">
        <f>0.2+B792</f>
        <v>47.2</v>
      </c>
      <c r="AH796" s="27" t="s">
        <v>932</v>
      </c>
    </row>
    <row r="797" spans="1:34" s="27" customFormat="1" ht="12.75" x14ac:dyDescent="0.2">
      <c r="A797" s="27" t="str">
        <f t="shared" si="370"/>
        <v/>
      </c>
      <c r="B797" s="38">
        <v>3</v>
      </c>
      <c r="C797" s="39"/>
      <c r="D797" s="39"/>
      <c r="E797" s="46"/>
      <c r="F797" s="46"/>
      <c r="G797" s="39"/>
      <c r="H797" s="40"/>
      <c r="I797" s="41"/>
      <c r="J797" s="42"/>
      <c r="K797" s="43"/>
      <c r="L797" s="44">
        <f t="shared" si="371"/>
        <v>0</v>
      </c>
      <c r="M797" s="206"/>
      <c r="N797" s="206"/>
      <c r="O797" s="207" t="str">
        <f t="shared" si="372"/>
        <v/>
      </c>
      <c r="P797" s="206"/>
      <c r="Q797" s="206"/>
      <c r="R797" s="177">
        <f t="shared" si="373"/>
        <v>0</v>
      </c>
      <c r="S797" s="178" t="str">
        <f t="shared" si="374"/>
        <v/>
      </c>
      <c r="T797" s="208" t="str">
        <f t="shared" si="375"/>
        <v/>
      </c>
      <c r="U797" s="41"/>
      <c r="V797" s="45"/>
      <c r="W797" s="205"/>
      <c r="X797" s="37" t="str">
        <f t="shared" si="368"/>
        <v/>
      </c>
      <c r="Z797" s="173"/>
      <c r="AB797" s="173"/>
      <c r="AD797" s="10" t="str">
        <f t="shared" si="369"/>
        <v/>
      </c>
      <c r="AE797" s="92" t="str">
        <f>+IF(OR($T$797="",X797="",X797="NO"),"",L797)</f>
        <v/>
      </c>
      <c r="AF797" s="92" t="str">
        <f>+IF(AE797="","",L797/$S$797)</f>
        <v/>
      </c>
      <c r="AG797" s="174">
        <f>0.3+B792</f>
        <v>47.3</v>
      </c>
      <c r="AH797" s="27" t="s">
        <v>932</v>
      </c>
    </row>
    <row r="798" spans="1:34" s="27" customFormat="1" ht="12.75" x14ac:dyDescent="0.2">
      <c r="A798" s="27" t="str">
        <f t="shared" si="370"/>
        <v/>
      </c>
      <c r="B798" s="38">
        <v>4</v>
      </c>
      <c r="C798" s="39"/>
      <c r="D798" s="39"/>
      <c r="E798" s="46"/>
      <c r="F798" s="46"/>
      <c r="G798" s="39"/>
      <c r="H798" s="40"/>
      <c r="I798" s="41"/>
      <c r="J798" s="42"/>
      <c r="K798" s="43"/>
      <c r="L798" s="44">
        <f t="shared" si="371"/>
        <v>0</v>
      </c>
      <c r="M798" s="206"/>
      <c r="N798" s="206"/>
      <c r="O798" s="207" t="str">
        <f t="shared" si="372"/>
        <v/>
      </c>
      <c r="P798" s="206"/>
      <c r="Q798" s="206"/>
      <c r="R798" s="177">
        <f t="shared" si="373"/>
        <v>0</v>
      </c>
      <c r="S798" s="178" t="str">
        <f t="shared" si="374"/>
        <v/>
      </c>
      <c r="T798" s="208" t="str">
        <f t="shared" si="375"/>
        <v/>
      </c>
      <c r="U798" s="41"/>
      <c r="V798" s="45"/>
      <c r="W798" s="210"/>
      <c r="X798" s="37" t="str">
        <f t="shared" si="368"/>
        <v/>
      </c>
      <c r="Z798" s="180"/>
      <c r="AB798" s="173"/>
      <c r="AD798" s="10" t="str">
        <f t="shared" si="369"/>
        <v/>
      </c>
      <c r="AE798" s="92" t="str">
        <f>+IF(OR($T$798="",X798="",X798="NO"),"",L798)</f>
        <v/>
      </c>
      <c r="AF798" s="92" t="str">
        <f>+IF(AE798="","",L798/$S$798)</f>
        <v/>
      </c>
      <c r="AG798" s="174"/>
    </row>
    <row r="799" spans="1:34" s="27" customFormat="1" ht="12.75" x14ac:dyDescent="0.2">
      <c r="A799" s="27" t="str">
        <f t="shared" si="370"/>
        <v/>
      </c>
      <c r="B799" s="38">
        <v>5</v>
      </c>
      <c r="C799" s="39"/>
      <c r="D799" s="39"/>
      <c r="E799" s="46"/>
      <c r="F799" s="46"/>
      <c r="G799" s="39"/>
      <c r="H799" s="40"/>
      <c r="I799" s="41"/>
      <c r="J799" s="42"/>
      <c r="K799" s="43"/>
      <c r="L799" s="44">
        <f t="shared" si="371"/>
        <v>0</v>
      </c>
      <c r="M799" s="206"/>
      <c r="N799" s="206"/>
      <c r="O799" s="207" t="str">
        <f t="shared" si="372"/>
        <v/>
      </c>
      <c r="P799" s="206"/>
      <c r="Q799" s="206"/>
      <c r="R799" s="177">
        <f t="shared" si="373"/>
        <v>0</v>
      </c>
      <c r="S799" s="178" t="str">
        <f t="shared" si="374"/>
        <v/>
      </c>
      <c r="T799" s="208" t="str">
        <f t="shared" si="375"/>
        <v/>
      </c>
      <c r="U799" s="41"/>
      <c r="V799" s="45"/>
      <c r="X799" s="37" t="str">
        <f t="shared" si="368"/>
        <v/>
      </c>
      <c r="Z799" s="181"/>
      <c r="AB799" s="173"/>
      <c r="AD799" s="10" t="str">
        <f t="shared" si="369"/>
        <v/>
      </c>
      <c r="AE799" s="92" t="str">
        <f>+IF(OR($T$799="",X799="",X799="NO"),"",L799)</f>
        <v/>
      </c>
      <c r="AF799" s="92" t="str">
        <f>+IF(AE799="","",L799/$S$799)</f>
        <v/>
      </c>
      <c r="AG799" s="174"/>
    </row>
    <row r="800" spans="1:34" s="27" customFormat="1" ht="12.75" x14ac:dyDescent="0.2">
      <c r="A800" s="27" t="str">
        <f t="shared" si="370"/>
        <v/>
      </c>
      <c r="B800" s="38">
        <v>6</v>
      </c>
      <c r="C800" s="39"/>
      <c r="D800" s="39"/>
      <c r="E800" s="46"/>
      <c r="F800" s="46"/>
      <c r="G800" s="39"/>
      <c r="H800" s="40"/>
      <c r="I800" s="41"/>
      <c r="J800" s="42"/>
      <c r="K800" s="43"/>
      <c r="L800" s="44">
        <f t="shared" si="371"/>
        <v>0</v>
      </c>
      <c r="M800" s="206"/>
      <c r="N800" s="206"/>
      <c r="O800" s="207" t="str">
        <f t="shared" si="372"/>
        <v/>
      </c>
      <c r="P800" s="206"/>
      <c r="Q800" s="206"/>
      <c r="R800" s="177">
        <f t="shared" si="373"/>
        <v>0</v>
      </c>
      <c r="S800" s="178" t="str">
        <f t="shared" si="374"/>
        <v/>
      </c>
      <c r="T800" s="208" t="str">
        <f t="shared" si="375"/>
        <v/>
      </c>
      <c r="U800" s="41"/>
      <c r="V800" s="45"/>
      <c r="X800" s="37" t="str">
        <f t="shared" si="368"/>
        <v/>
      </c>
      <c r="Z800" s="181"/>
      <c r="AB800" s="173"/>
      <c r="AD800" s="10" t="str">
        <f t="shared" si="369"/>
        <v/>
      </c>
      <c r="AE800" s="92" t="str">
        <f>+IF(OR($T$800="",X800="",X800="NO"),"",L800)</f>
        <v/>
      </c>
      <c r="AF800" s="92" t="str">
        <f>+IF(AE800="","",L800/$S$800)</f>
        <v/>
      </c>
      <c r="AG800" s="174"/>
    </row>
    <row r="801" spans="1:34" s="27" customFormat="1" ht="12.75" x14ac:dyDescent="0.2">
      <c r="A801" s="27" t="str">
        <f t="shared" si="370"/>
        <v/>
      </c>
      <c r="B801" s="38">
        <v>7</v>
      </c>
      <c r="C801" s="39"/>
      <c r="D801" s="39"/>
      <c r="E801" s="46"/>
      <c r="F801" s="46"/>
      <c r="G801" s="39"/>
      <c r="H801" s="40"/>
      <c r="I801" s="41"/>
      <c r="J801" s="42"/>
      <c r="K801" s="43"/>
      <c r="L801" s="44">
        <f t="shared" si="371"/>
        <v>0</v>
      </c>
      <c r="M801" s="206"/>
      <c r="N801" s="206"/>
      <c r="O801" s="207" t="str">
        <f t="shared" si="372"/>
        <v/>
      </c>
      <c r="P801" s="206"/>
      <c r="Q801" s="206"/>
      <c r="R801" s="177">
        <f t="shared" si="373"/>
        <v>0</v>
      </c>
      <c r="S801" s="178" t="str">
        <f t="shared" si="374"/>
        <v/>
      </c>
      <c r="T801" s="208" t="str">
        <f t="shared" si="375"/>
        <v/>
      </c>
      <c r="U801" s="41"/>
      <c r="V801" s="45"/>
      <c r="X801" s="37" t="str">
        <f t="shared" si="368"/>
        <v/>
      </c>
      <c r="Z801" s="181"/>
      <c r="AB801" s="173"/>
      <c r="AD801" s="10" t="str">
        <f t="shared" si="369"/>
        <v/>
      </c>
      <c r="AE801" s="92" t="str">
        <f>+IF(OR($T$801="",X801="",X801="NO"),"",L801)</f>
        <v/>
      </c>
      <c r="AF801" s="92" t="str">
        <f>+IF(AE801="","",L801/$S$801)</f>
        <v/>
      </c>
      <c r="AG801" s="174"/>
    </row>
    <row r="802" spans="1:34" s="27" customFormat="1" ht="12.75" x14ac:dyDescent="0.2">
      <c r="A802" s="27" t="str">
        <f t="shared" si="370"/>
        <v/>
      </c>
      <c r="B802" s="38">
        <v>8</v>
      </c>
      <c r="C802" s="39"/>
      <c r="D802" s="39"/>
      <c r="E802" s="46"/>
      <c r="F802" s="46"/>
      <c r="G802" s="39"/>
      <c r="H802" s="40"/>
      <c r="I802" s="41"/>
      <c r="J802" s="42"/>
      <c r="K802" s="43"/>
      <c r="L802" s="44">
        <f t="shared" si="371"/>
        <v>0</v>
      </c>
      <c r="M802" s="206"/>
      <c r="N802" s="206"/>
      <c r="O802" s="207" t="str">
        <f t="shared" si="372"/>
        <v/>
      </c>
      <c r="P802" s="206"/>
      <c r="Q802" s="206"/>
      <c r="R802" s="177">
        <f t="shared" si="373"/>
        <v>0</v>
      </c>
      <c r="S802" s="178" t="str">
        <f t="shared" si="374"/>
        <v/>
      </c>
      <c r="T802" s="208" t="str">
        <f t="shared" si="375"/>
        <v/>
      </c>
      <c r="U802" s="41"/>
      <c r="V802" s="45"/>
      <c r="X802" s="37" t="str">
        <f t="shared" si="368"/>
        <v/>
      </c>
      <c r="Z802" s="181"/>
      <c r="AB802" s="173"/>
      <c r="AD802" s="10" t="str">
        <f t="shared" si="369"/>
        <v/>
      </c>
      <c r="AE802" s="92" t="str">
        <f>+IF(OR($T$802="",X802="",X802="NO"),"",L802)</f>
        <v/>
      </c>
      <c r="AF802" s="92" t="str">
        <f>+IF(AE802="","",L802/$S$802)</f>
        <v/>
      </c>
      <c r="AG802" s="174"/>
    </row>
    <row r="803" spans="1:34" s="27" customFormat="1" ht="12.75" x14ac:dyDescent="0.2">
      <c r="A803" s="27" t="str">
        <f t="shared" si="370"/>
        <v/>
      </c>
      <c r="B803" s="38">
        <v>9</v>
      </c>
      <c r="C803" s="39"/>
      <c r="D803" s="39"/>
      <c r="E803" s="46"/>
      <c r="F803" s="46"/>
      <c r="G803" s="39"/>
      <c r="H803" s="40"/>
      <c r="I803" s="41"/>
      <c r="J803" s="42"/>
      <c r="K803" s="43"/>
      <c r="L803" s="44">
        <f t="shared" si="371"/>
        <v>0</v>
      </c>
      <c r="M803" s="206"/>
      <c r="N803" s="206"/>
      <c r="O803" s="207" t="str">
        <f t="shared" si="372"/>
        <v/>
      </c>
      <c r="P803" s="206"/>
      <c r="Q803" s="206"/>
      <c r="R803" s="177">
        <f t="shared" si="373"/>
        <v>0</v>
      </c>
      <c r="S803" s="178" t="str">
        <f t="shared" si="374"/>
        <v/>
      </c>
      <c r="T803" s="208" t="str">
        <f t="shared" si="375"/>
        <v/>
      </c>
      <c r="U803" s="41"/>
      <c r="V803" s="45"/>
      <c r="X803" s="37" t="str">
        <f t="shared" si="368"/>
        <v/>
      </c>
      <c r="Z803" s="181"/>
      <c r="AB803" s="173"/>
      <c r="AD803" s="10" t="str">
        <f t="shared" si="369"/>
        <v/>
      </c>
      <c r="AE803" s="92" t="str">
        <f>+IF(OR($T$803="",X803="",X803="NO"),"",L803)</f>
        <v/>
      </c>
      <c r="AF803" s="92" t="str">
        <f>+IF(AE803="","",L803/$S$803)</f>
        <v/>
      </c>
      <c r="AG803" s="174"/>
    </row>
    <row r="804" spans="1:34" s="27" customFormat="1" ht="13.5" thickBot="1" x14ac:dyDescent="0.25">
      <c r="A804" s="27" t="str">
        <f t="shared" si="370"/>
        <v/>
      </c>
      <c r="B804" s="47">
        <v>10</v>
      </c>
      <c r="C804" s="48"/>
      <c r="D804" s="48"/>
      <c r="E804" s="49"/>
      <c r="F804" s="49"/>
      <c r="G804" s="48"/>
      <c r="H804" s="50"/>
      <c r="I804" s="51"/>
      <c r="J804" s="14"/>
      <c r="K804" s="52"/>
      <c r="L804" s="53">
        <f t="shared" si="371"/>
        <v>0</v>
      </c>
      <c r="M804" s="211"/>
      <c r="N804" s="211"/>
      <c r="O804" s="212" t="str">
        <f t="shared" si="372"/>
        <v/>
      </c>
      <c r="P804" s="211"/>
      <c r="Q804" s="211"/>
      <c r="R804" s="184">
        <f t="shared" si="373"/>
        <v>0</v>
      </c>
      <c r="S804" s="185" t="str">
        <f t="shared" si="374"/>
        <v/>
      </c>
      <c r="T804" s="213" t="str">
        <f t="shared" si="375"/>
        <v/>
      </c>
      <c r="U804" s="51"/>
      <c r="V804" s="54"/>
      <c r="X804" s="55" t="str">
        <f t="shared" si="368"/>
        <v/>
      </c>
      <c r="Z804" s="187"/>
      <c r="AB804" s="188"/>
      <c r="AD804" s="10" t="str">
        <f t="shared" si="369"/>
        <v/>
      </c>
      <c r="AE804" s="92" t="str">
        <f>+IF(OR($T$804="",X804="",X804="NO"),"",L804)</f>
        <v/>
      </c>
      <c r="AF804" s="92" t="str">
        <f>+IF(AE804="","",L804/$S$804)</f>
        <v/>
      </c>
    </row>
    <row r="805" spans="1:34" ht="36" customHeight="1" x14ac:dyDescent="0.2">
      <c r="B805" s="57" t="str">
        <f>"A"&amp;B792</f>
        <v>A47</v>
      </c>
      <c r="C805" s="382" t="str">
        <f>+$C$23</f>
        <v>¿CADA INTEGRANTE DE PROPONENTE PLURAL APORTAN CONTRATO?  (SI; NO; NA)</v>
      </c>
      <c r="D805" s="383"/>
      <c r="E805" s="383"/>
      <c r="F805" s="383"/>
      <c r="G805" s="383"/>
      <c r="H805" s="384"/>
      <c r="I805" s="217" t="str">
        <f>+IF(AG792="","",IF(AG792=1,"NA",IF(AND(AG792=3,(IF(COUNTIFS(C795:C804,AH795,AE795:AE804,"&gt;0")&gt;=1,1,0)+IF(COUNTIFS(C795:C804,AH796,AE795:AE804,"&gt;0")&gt;=1,1,0)+IF(COUNTIFS(C795:C804,AH797,AE795:AE804,"&gt;0")&gt;=1,1,0))&gt;=AG792),"SI",IF(AND(AG792=2,(IF(COUNTIFS(C795:C804,AH795,AE795:AE804,"&gt;0")&gt;=1,1,0)+IF(COUNTIFS(C795:C804,AH796,AE795:AE804,"&gt;0")&gt;=1,1,0))&gt;=AG792),"SI","NO"))))</f>
        <v/>
      </c>
      <c r="J805" s="59"/>
      <c r="K805" s="27"/>
      <c r="L805" s="27"/>
      <c r="M805" s="27"/>
      <c r="N805" s="27"/>
      <c r="O805" s="27"/>
      <c r="P805" s="385" t="str">
        <f>+$P$23</f>
        <v>FACTURACION MENSUAL TOTAL</v>
      </c>
      <c r="Q805" s="386"/>
      <c r="R805" s="386"/>
      <c r="S805" s="386"/>
      <c r="T805" s="189">
        <f>ROUND(SUM(T795:T804),3)</f>
        <v>0</v>
      </c>
      <c r="U805" s="60"/>
      <c r="V805" s="1"/>
      <c r="W805" s="61"/>
      <c r="X805" s="61"/>
      <c r="Y805" s="61"/>
      <c r="Z805" s="61"/>
      <c r="AA805" s="61"/>
      <c r="AB805" s="61"/>
    </row>
    <row r="806" spans="1:34" ht="38.25" customHeight="1" thickBot="1" x14ac:dyDescent="0.25">
      <c r="B806" s="57" t="str">
        <f>"B"&amp;B792</f>
        <v>B47</v>
      </c>
      <c r="C806" s="387" t="str">
        <f>+C789</f>
        <v>En caso de proponente plural: ¿De la totalidad de los contratos aportados por el proponente plural, el valor ejecutado de uno de ellos deberá ser igual o superior al 30% del P.O.?  (SI; NO; NA)</v>
      </c>
      <c r="D806" s="388"/>
      <c r="E806" s="388"/>
      <c r="F806" s="388"/>
      <c r="G806" s="389"/>
      <c r="H806" s="190">
        <f>+$H$6</f>
        <v>268.14722506074827</v>
      </c>
      <c r="I806" s="191" t="str">
        <f>+IF(AG792="","",IF(AG792=1,"NA",IF(AND(AG792&gt;1,(COUNTIFS(AD795:AD804,"SI",AE795:AE804,"&gt;0"))&gt;=1),"SI","NO")))</f>
        <v/>
      </c>
      <c r="J806" s="192"/>
      <c r="K806" s="193"/>
      <c r="L806" s="194"/>
      <c r="M806" s="194"/>
      <c r="N806" s="194"/>
      <c r="O806" s="194"/>
      <c r="P806" s="387" t="str">
        <f>+$P$24</f>
        <v>PROMEDIO FACTURACIÓN MENSUAL DEL PROPONENTE (PFMP)</v>
      </c>
      <c r="Q806" s="388"/>
      <c r="R806" s="388"/>
      <c r="S806" s="388"/>
      <c r="T806" s="195">
        <f t="array" ref="T806">IF(T805=0,0,ROUND(T805/(SUM(IF(FREQUENCY(A795:A804,A795:A804)&gt;0,1))),3))</f>
        <v>0</v>
      </c>
      <c r="U806" s="214"/>
      <c r="V806" s="1"/>
      <c r="W806" s="61"/>
      <c r="X806" s="61"/>
      <c r="Y806" s="61"/>
      <c r="Z806" s="61"/>
      <c r="AA806" s="61"/>
      <c r="AB806" s="61"/>
    </row>
    <row r="807" spans="1:34" ht="21" customHeight="1" thickBot="1" x14ac:dyDescent="0.25">
      <c r="B807" s="197" t="str">
        <f>"C"&amp;B792</f>
        <v>C47</v>
      </c>
      <c r="C807" s="349" t="str">
        <f>+$C$25</f>
        <v>PROPONENTE CUMPLE CON LAS ACTIVIDADES a) y b)? (SI; NO)</v>
      </c>
      <c r="D807" s="350"/>
      <c r="E807" s="350"/>
      <c r="F807" s="350"/>
      <c r="G807" s="350"/>
      <c r="H807" s="351"/>
      <c r="I807" s="198" t="str">
        <f>IF(C792="","",(IF(AND(COUNTIFS(X795:X804,"SI",Z795:Z804,"SI")&gt;=$Z$8,COUNTIFS(X795:X804,"SI",AB795:AB804,"SI")&gt;=$Z$8),"SI","NO")))</f>
        <v/>
      </c>
      <c r="J807" s="199"/>
      <c r="K807" s="200"/>
      <c r="L807" s="200"/>
      <c r="M807" s="200"/>
      <c r="N807" s="200"/>
      <c r="P807" s="378" t="str">
        <f>+$P$25</f>
        <v>VALOR PUNTAJE POR EXPERIENCIA DEL PROPONENTE</v>
      </c>
      <c r="Q807" s="379"/>
      <c r="R807" s="379"/>
      <c r="S807" s="380"/>
      <c r="T807" s="201" t="str">
        <f>IF(OR(C792="",'ASIGNACION DE PUNTAJES'!$C$5=""),"",VLOOKUP(B792,'ASIGNACION DE PUNTAJES'!$A$15:$G$69,7,FALSE))</f>
        <v/>
      </c>
      <c r="V807" s="202"/>
    </row>
    <row r="808" spans="1:34" ht="12" thickBot="1" x14ac:dyDescent="0.25"/>
    <row r="809" spans="1:34" ht="36.75" customHeight="1" thickBot="1" x14ac:dyDescent="0.25">
      <c r="B809" s="23">
        <f>1+B792</f>
        <v>48</v>
      </c>
      <c r="C809" s="336" t="s">
        <v>932</v>
      </c>
      <c r="D809" s="337"/>
      <c r="E809" s="337"/>
      <c r="F809" s="337"/>
      <c r="G809" s="337"/>
      <c r="H809" s="337"/>
      <c r="I809" s="338"/>
      <c r="J809" s="24" t="str">
        <f>+IF(C809="","","INTEGRANTES")</f>
        <v/>
      </c>
      <c r="K809" s="339" t="s">
        <v>932</v>
      </c>
      <c r="L809" s="339"/>
      <c r="M809" s="339"/>
      <c r="N809" s="339"/>
      <c r="O809" s="339"/>
      <c r="P809" s="339"/>
      <c r="Q809" s="339"/>
      <c r="R809" s="396" t="str">
        <f>+$R$10</f>
        <v>PROPONENTE No.</v>
      </c>
      <c r="S809" s="397"/>
      <c r="T809" s="25">
        <f>+B809</f>
        <v>48</v>
      </c>
      <c r="U809" s="161" t="str">
        <f>+$U$10</f>
        <v>PFMP</v>
      </c>
      <c r="V809" s="162">
        <f>IF(T823="",0,T823)</f>
        <v>0</v>
      </c>
      <c r="X809" s="325" t="s">
        <v>168</v>
      </c>
      <c r="Z809" s="163" t="str">
        <f>+$Z$10</f>
        <v>EXP. ESPECÍFICA 
A:</v>
      </c>
      <c r="AB809" s="163" t="str">
        <f>+$AB$10</f>
        <v>EXP. ESPECÍFICA 
B:</v>
      </c>
      <c r="AG809" s="1" t="s">
        <v>932</v>
      </c>
    </row>
    <row r="810" spans="1:34" ht="42" customHeight="1" x14ac:dyDescent="0.2">
      <c r="B810" s="331" t="str">
        <f>+$B$11</f>
        <v>ITEM</v>
      </c>
      <c r="C810" s="318" t="str">
        <f>+$C$11</f>
        <v>PROPONENTE 
/ 
INTEGRANTE OFERENTE PLURAL</v>
      </c>
      <c r="D810" s="333" t="str">
        <f>+$D$11</f>
        <v>INFORMACIÓN DEL CONTRATO</v>
      </c>
      <c r="E810" s="334"/>
      <c r="F810" s="334"/>
      <c r="G810" s="335"/>
      <c r="H810" s="318" t="str">
        <f>+H793</f>
        <v>CONSECUTIVO RUP</v>
      </c>
      <c r="I810" s="318" t="str">
        <f>+$I$11</f>
        <v>¿SE ENCUENTRA INSCRITO EN EL RUP Y CUMPLE CÓDIGOS UNSPSC?</v>
      </c>
      <c r="J810" s="318" t="str">
        <f>+$J$11</f>
        <v xml:space="preserve">VALOR EN RUP (SMMLV) </v>
      </c>
      <c r="K810" s="318" t="str">
        <f>+$K$11</f>
        <v>% PARTIC en el RUP</v>
      </c>
      <c r="L810" s="318" t="str">
        <f>+$L$11</f>
        <v>VALOR DEL CONTRATO TERMINADO (SMMLV) en el   RUP</v>
      </c>
      <c r="M810" s="318" t="str">
        <f>+$M$11</f>
        <v>FECHA DE INICIO</v>
      </c>
      <c r="N810" s="318" t="str">
        <f>+$N$11</f>
        <v>FECHA DE TERMINACION</v>
      </c>
      <c r="O810" s="318" t="str">
        <f>+$O$11</f>
        <v>PLAZO CONTRA-TO (Meses)</v>
      </c>
      <c r="P810" s="390" t="str">
        <f>+$P$11</f>
        <v>Tsusp i</v>
      </c>
      <c r="Q810" s="391"/>
      <c r="R810" s="392"/>
      <c r="S810" s="318" t="str">
        <f>+$S$11</f>
        <v>PLAZO i REAL</v>
      </c>
      <c r="T810" s="318" t="str">
        <f>+$T$11</f>
        <v>FACTURA-CION MENSUAL PROPO-NENTE</v>
      </c>
      <c r="U810" s="318" t="str">
        <f>+$U$11</f>
        <v>VALIDACIÓN DE LA EXPERIENCIA GENERAL
(SI/NO)</v>
      </c>
      <c r="V810" s="393" t="str">
        <f>+$V$11</f>
        <v>OBSERVACIONES</v>
      </c>
      <c r="X810" s="326"/>
      <c r="Z810" s="381" t="str">
        <f>+$Z$11</f>
        <v>Interventoria a la ejecución de obras relacionadas con Colocación de capas granulares (tales como bases y/o sub-bases granulares).</v>
      </c>
      <c r="AB810" s="381" t="str">
        <f>+$AB$11</f>
        <v>Interventoria a la Ejecución de obras de subdrenaje y/o drenaje, en carreteras.</v>
      </c>
    </row>
    <row r="811" spans="1:34" ht="38.25" customHeight="1" thickBot="1" x14ac:dyDescent="0.25">
      <c r="B811" s="395"/>
      <c r="C811" s="348"/>
      <c r="D811" s="165" t="str">
        <f>+$D$12</f>
        <v>ENTIDAD</v>
      </c>
      <c r="E811" s="165" t="str">
        <f>+$E$12</f>
        <v>No. DE CONTRATO</v>
      </c>
      <c r="F811" s="165" t="str">
        <f>+$F$12</f>
        <v>OBJETO</v>
      </c>
      <c r="G811" s="165" t="str">
        <f>+$G$12</f>
        <v>CONTRATISTA</v>
      </c>
      <c r="H811" s="348"/>
      <c r="I811" s="348"/>
      <c r="J811" s="348"/>
      <c r="K811" s="348"/>
      <c r="L811" s="348"/>
      <c r="M811" s="348"/>
      <c r="N811" s="348"/>
      <c r="O811" s="348"/>
      <c r="P811" s="166" t="str">
        <f>+P794</f>
        <v>Finicsuspi</v>
      </c>
      <c r="Q811" s="166" t="str">
        <f>+Q794</f>
        <v xml:space="preserve"> Ftermsuspi </v>
      </c>
      <c r="R811" s="166" t="str">
        <f>+R794</f>
        <v>Tsusp i (meses)</v>
      </c>
      <c r="S811" s="348"/>
      <c r="T811" s="348"/>
      <c r="U811" s="348"/>
      <c r="V811" s="394"/>
      <c r="X811" s="327"/>
      <c r="Z811" s="381"/>
      <c r="AB811" s="381"/>
    </row>
    <row r="812" spans="1:34" s="27" customFormat="1" ht="12.75" x14ac:dyDescent="0.2">
      <c r="A812" s="27" t="str">
        <f>+IF(T812="","",B812)</f>
        <v/>
      </c>
      <c r="B812" s="28">
        <v>1</v>
      </c>
      <c r="C812" s="86"/>
      <c r="D812" s="86"/>
      <c r="E812" s="87"/>
      <c r="F812" s="87"/>
      <c r="G812" s="86"/>
      <c r="H812" s="30"/>
      <c r="I812" s="31"/>
      <c r="J812" s="32"/>
      <c r="K812" s="33"/>
      <c r="L812" s="34">
        <f>IF(OR(H812="",I812&lt;&gt;"SI",I812="NO",J812="",J812=0,K812="",K812=0,X812&lt;&gt;"SI"),0,J812*K812)</f>
        <v>0</v>
      </c>
      <c r="M812" s="204"/>
      <c r="N812" s="204"/>
      <c r="O812" s="169" t="str">
        <f>IF(OR(H812="",I812&lt;&gt;"SI",I812="NO",J812="",J812=0,K812="",K812=0,,M812="",N812=""),"",ROUND((((N812-M812)+1)/30),3))</f>
        <v/>
      </c>
      <c r="P812" s="204"/>
      <c r="Q812" s="204"/>
      <c r="R812" s="170">
        <f>IF(OR((Q812-P812)=0,P812="",Q812=""),0,(ROUND((((Q812-P812)+1)/30),3)))</f>
        <v>0</v>
      </c>
      <c r="S812" s="171" t="str">
        <f>IF(O812="","",ROUND(SUM(O812)-SUM(R812),3))</f>
        <v/>
      </c>
      <c r="T812" s="172" t="str">
        <f>+IF(C812="","",IF(OR(S812="",S812&lt;=0,I812="",I812="NO",U812="",U812="NO",X812="NO"),"",ROUND(SUM(L812)/S812,3)))</f>
        <v/>
      </c>
      <c r="U812" s="35"/>
      <c r="V812" s="36"/>
      <c r="W812" s="205"/>
      <c r="X812" s="37" t="str">
        <f t="shared" ref="X812:X821" si="376">+IF(C812="","",IF(AND(H812&lt;&gt;"",I812="SI",J812&lt;&gt;"",J812&gt;0,K812&lt;&gt;"",K812&gt;0,S812&lt;&gt;"",S812&gt;0,U812="SI"),"SI","NO"))</f>
        <v/>
      </c>
      <c r="Z812" s="173"/>
      <c r="AB812" s="173"/>
      <c r="AD812" s="10" t="str">
        <f t="shared" ref="AD812:AD821" si="377">+IF($C$809="","",IF(C812="","",IF(L812&gt;=$H$6,"SI","NO")))</f>
        <v/>
      </c>
      <c r="AE812" s="92" t="str">
        <f>+IF(OR($T$812="",X812="",X812="NO"),"",L812)</f>
        <v/>
      </c>
      <c r="AF812" s="92" t="str">
        <f>+IF(AE812="","",L812/$S$812)</f>
        <v/>
      </c>
      <c r="AG812" s="174">
        <f>0.1+B809</f>
        <v>48.1</v>
      </c>
      <c r="AH812" s="27" t="s">
        <v>932</v>
      </c>
    </row>
    <row r="813" spans="1:34" s="27" customFormat="1" ht="12.75" x14ac:dyDescent="0.2">
      <c r="A813" s="27" t="str">
        <f t="shared" ref="A813:A821" si="378">+IF(T813="","",B813)</f>
        <v/>
      </c>
      <c r="B813" s="38">
        <v>2</v>
      </c>
      <c r="C813" s="39"/>
      <c r="D813" s="39"/>
      <c r="E813" s="46"/>
      <c r="F813" s="46"/>
      <c r="G813" s="39"/>
      <c r="H813" s="40"/>
      <c r="I813" s="41"/>
      <c r="J813" s="42"/>
      <c r="K813" s="43"/>
      <c r="L813" s="44">
        <f t="shared" ref="L813:L821" si="379">IF(OR(H813="",I813&lt;&gt;"SI",I813="NO",J813="",J813=0,K813="",K813=0,X813&lt;&gt;"SI"),0,J813*K813)</f>
        <v>0</v>
      </c>
      <c r="M813" s="206"/>
      <c r="N813" s="206"/>
      <c r="O813" s="207" t="str">
        <f t="shared" ref="O813:O821" si="380">IF(OR(H813="",I813&lt;&gt;"SI",I813="NO",J813="",J813=0,K813="",K813=0,,M813="",N813=""),"",ROUND((((N813-M813)+1)/30),3))</f>
        <v/>
      </c>
      <c r="P813" s="206"/>
      <c r="Q813" s="206"/>
      <c r="R813" s="177">
        <f t="shared" ref="R813:R821" si="381">IF(OR((Q813-P813)=0,P813="",Q813=""),0,(ROUND((((Q813-P813)+1)/30),3)))</f>
        <v>0</v>
      </c>
      <c r="S813" s="178" t="str">
        <f t="shared" ref="S813:S821" si="382">IF(O813="","",ROUND(SUM(O813)-SUM(R813),3))</f>
        <v/>
      </c>
      <c r="T813" s="208" t="str">
        <f t="shared" ref="T813:T821" si="383">+IF(C813="","",IF(OR(S813="",S813&lt;=0,I813="",I813="NO",U813="",U813="NO",X813="NO"),"",ROUND(SUM(L813)/S813,3)))</f>
        <v/>
      </c>
      <c r="U813" s="41"/>
      <c r="V813" s="209"/>
      <c r="W813" s="205"/>
      <c r="X813" s="37" t="str">
        <f t="shared" si="376"/>
        <v/>
      </c>
      <c r="Z813" s="173"/>
      <c r="AB813" s="173"/>
      <c r="AD813" s="10" t="str">
        <f t="shared" si="377"/>
        <v/>
      </c>
      <c r="AE813" s="92" t="str">
        <f>+IF(OR($T$813="",X813="",X813="NO"),"",L813)</f>
        <v/>
      </c>
      <c r="AF813" s="92" t="str">
        <f>+IF(AE813="","",L813/$S$813)</f>
        <v/>
      </c>
      <c r="AG813" s="174">
        <f>0.2+B809</f>
        <v>48.2</v>
      </c>
      <c r="AH813" s="27" t="s">
        <v>932</v>
      </c>
    </row>
    <row r="814" spans="1:34" s="27" customFormat="1" ht="12.75" x14ac:dyDescent="0.2">
      <c r="A814" s="27" t="str">
        <f t="shared" si="378"/>
        <v/>
      </c>
      <c r="B814" s="38">
        <v>3</v>
      </c>
      <c r="C814" s="39"/>
      <c r="D814" s="39"/>
      <c r="E814" s="46"/>
      <c r="F814" s="46"/>
      <c r="G814" s="39"/>
      <c r="H814" s="40"/>
      <c r="I814" s="41"/>
      <c r="J814" s="42"/>
      <c r="K814" s="43"/>
      <c r="L814" s="44">
        <f t="shared" si="379"/>
        <v>0</v>
      </c>
      <c r="M814" s="206"/>
      <c r="N814" s="206"/>
      <c r="O814" s="207" t="str">
        <f t="shared" si="380"/>
        <v/>
      </c>
      <c r="P814" s="206"/>
      <c r="Q814" s="206"/>
      <c r="R814" s="177">
        <f t="shared" si="381"/>
        <v>0</v>
      </c>
      <c r="S814" s="178" t="str">
        <f t="shared" si="382"/>
        <v/>
      </c>
      <c r="T814" s="208" t="str">
        <f t="shared" si="383"/>
        <v/>
      </c>
      <c r="U814" s="41"/>
      <c r="V814" s="45"/>
      <c r="W814" s="205"/>
      <c r="X814" s="37" t="str">
        <f t="shared" si="376"/>
        <v/>
      </c>
      <c r="Z814" s="173"/>
      <c r="AB814" s="173"/>
      <c r="AD814" s="10" t="str">
        <f t="shared" si="377"/>
        <v/>
      </c>
      <c r="AE814" s="92" t="str">
        <f>+IF(OR($T$814="",X814="",X814="NO"),"",L814)</f>
        <v/>
      </c>
      <c r="AF814" s="92" t="str">
        <f>+IF(AE814="","",L814/$S$814)</f>
        <v/>
      </c>
      <c r="AG814" s="174">
        <f>0.3+B809</f>
        <v>48.3</v>
      </c>
      <c r="AH814" s="27" t="s">
        <v>932</v>
      </c>
    </row>
    <row r="815" spans="1:34" s="27" customFormat="1" ht="12.75" x14ac:dyDescent="0.2">
      <c r="A815" s="27" t="str">
        <f t="shared" si="378"/>
        <v/>
      </c>
      <c r="B815" s="38">
        <v>4</v>
      </c>
      <c r="C815" s="39"/>
      <c r="D815" s="39"/>
      <c r="E815" s="46"/>
      <c r="F815" s="46"/>
      <c r="G815" s="39"/>
      <c r="H815" s="40"/>
      <c r="I815" s="41"/>
      <c r="J815" s="42"/>
      <c r="K815" s="43"/>
      <c r="L815" s="44">
        <f t="shared" si="379"/>
        <v>0</v>
      </c>
      <c r="M815" s="206"/>
      <c r="N815" s="206"/>
      <c r="O815" s="207" t="str">
        <f t="shared" si="380"/>
        <v/>
      </c>
      <c r="P815" s="206"/>
      <c r="Q815" s="206"/>
      <c r="R815" s="177">
        <f t="shared" si="381"/>
        <v>0</v>
      </c>
      <c r="S815" s="178" t="str">
        <f t="shared" si="382"/>
        <v/>
      </c>
      <c r="T815" s="208" t="str">
        <f t="shared" si="383"/>
        <v/>
      </c>
      <c r="U815" s="41"/>
      <c r="V815" s="45"/>
      <c r="W815" s="210"/>
      <c r="X815" s="37" t="str">
        <f t="shared" si="376"/>
        <v/>
      </c>
      <c r="Z815" s="180"/>
      <c r="AB815" s="173"/>
      <c r="AD815" s="10" t="str">
        <f t="shared" si="377"/>
        <v/>
      </c>
      <c r="AE815" s="92" t="str">
        <f>+IF(OR($T$815="",X815="",X815="NO"),"",L815)</f>
        <v/>
      </c>
      <c r="AF815" s="92" t="str">
        <f>+IF(AE815="","",L815/$S$815)</f>
        <v/>
      </c>
      <c r="AG815" s="174"/>
    </row>
    <row r="816" spans="1:34" s="27" customFormat="1" ht="12.75" x14ac:dyDescent="0.2">
      <c r="A816" s="27" t="str">
        <f t="shared" si="378"/>
        <v/>
      </c>
      <c r="B816" s="38">
        <v>5</v>
      </c>
      <c r="C816" s="39"/>
      <c r="D816" s="39"/>
      <c r="E816" s="46"/>
      <c r="F816" s="46"/>
      <c r="G816" s="39"/>
      <c r="H816" s="40"/>
      <c r="I816" s="41"/>
      <c r="J816" s="42"/>
      <c r="K816" s="43"/>
      <c r="L816" s="44">
        <f t="shared" si="379"/>
        <v>0</v>
      </c>
      <c r="M816" s="206"/>
      <c r="N816" s="206"/>
      <c r="O816" s="207" t="str">
        <f t="shared" si="380"/>
        <v/>
      </c>
      <c r="P816" s="206"/>
      <c r="Q816" s="206"/>
      <c r="R816" s="177">
        <f t="shared" si="381"/>
        <v>0</v>
      </c>
      <c r="S816" s="178" t="str">
        <f t="shared" si="382"/>
        <v/>
      </c>
      <c r="T816" s="208" t="str">
        <f t="shared" si="383"/>
        <v/>
      </c>
      <c r="U816" s="41"/>
      <c r="V816" s="45"/>
      <c r="X816" s="37" t="str">
        <f t="shared" si="376"/>
        <v/>
      </c>
      <c r="Z816" s="181"/>
      <c r="AB816" s="173"/>
      <c r="AD816" s="10" t="str">
        <f t="shared" si="377"/>
        <v/>
      </c>
      <c r="AE816" s="92" t="str">
        <f>+IF(OR($T$816="",X816="",X816="NO"),"",L816)</f>
        <v/>
      </c>
      <c r="AF816" s="92" t="str">
        <f>+IF(AE816="","",L816/$S$816)</f>
        <v/>
      </c>
      <c r="AG816" s="174"/>
    </row>
    <row r="817" spans="1:34" s="27" customFormat="1" ht="12.75" x14ac:dyDescent="0.2">
      <c r="A817" s="27" t="str">
        <f t="shared" si="378"/>
        <v/>
      </c>
      <c r="B817" s="38">
        <v>6</v>
      </c>
      <c r="C817" s="39"/>
      <c r="D817" s="39"/>
      <c r="E817" s="46"/>
      <c r="F817" s="46"/>
      <c r="G817" s="39"/>
      <c r="H817" s="40"/>
      <c r="I817" s="41"/>
      <c r="J817" s="42"/>
      <c r="K817" s="43"/>
      <c r="L817" s="44">
        <f t="shared" si="379"/>
        <v>0</v>
      </c>
      <c r="M817" s="206"/>
      <c r="N817" s="206"/>
      <c r="O817" s="207" t="str">
        <f t="shared" si="380"/>
        <v/>
      </c>
      <c r="P817" s="206"/>
      <c r="Q817" s="206"/>
      <c r="R817" s="177">
        <f t="shared" si="381"/>
        <v>0</v>
      </c>
      <c r="S817" s="178" t="str">
        <f t="shared" si="382"/>
        <v/>
      </c>
      <c r="T817" s="208" t="str">
        <f t="shared" si="383"/>
        <v/>
      </c>
      <c r="U817" s="41"/>
      <c r="V817" s="45"/>
      <c r="X817" s="37" t="str">
        <f t="shared" si="376"/>
        <v/>
      </c>
      <c r="Z817" s="181"/>
      <c r="AB817" s="173"/>
      <c r="AD817" s="10" t="str">
        <f t="shared" si="377"/>
        <v/>
      </c>
      <c r="AE817" s="92" t="str">
        <f>+IF(OR($T$817="",X817="",X817="NO"),"",L817)</f>
        <v/>
      </c>
      <c r="AF817" s="92" t="str">
        <f>+IF(AE817="","",L817/$S$817)</f>
        <v/>
      </c>
      <c r="AG817" s="174"/>
    </row>
    <row r="818" spans="1:34" s="27" customFormat="1" ht="12.75" x14ac:dyDescent="0.2">
      <c r="A818" s="27" t="str">
        <f t="shared" si="378"/>
        <v/>
      </c>
      <c r="B818" s="38">
        <v>7</v>
      </c>
      <c r="C818" s="39"/>
      <c r="D818" s="39"/>
      <c r="E818" s="46"/>
      <c r="F818" s="46"/>
      <c r="G818" s="39"/>
      <c r="H818" s="40"/>
      <c r="I818" s="41"/>
      <c r="J818" s="42"/>
      <c r="K818" s="43"/>
      <c r="L818" s="44">
        <f t="shared" si="379"/>
        <v>0</v>
      </c>
      <c r="M818" s="206"/>
      <c r="N818" s="206"/>
      <c r="O818" s="207" t="str">
        <f t="shared" si="380"/>
        <v/>
      </c>
      <c r="P818" s="206"/>
      <c r="Q818" s="206"/>
      <c r="R818" s="177">
        <f t="shared" si="381"/>
        <v>0</v>
      </c>
      <c r="S818" s="178" t="str">
        <f t="shared" si="382"/>
        <v/>
      </c>
      <c r="T818" s="208" t="str">
        <f t="shared" si="383"/>
        <v/>
      </c>
      <c r="U818" s="41"/>
      <c r="V818" s="45"/>
      <c r="X818" s="37" t="str">
        <f t="shared" si="376"/>
        <v/>
      </c>
      <c r="Z818" s="181"/>
      <c r="AB818" s="173"/>
      <c r="AD818" s="10" t="str">
        <f t="shared" si="377"/>
        <v/>
      </c>
      <c r="AE818" s="92" t="str">
        <f>+IF(OR($T$818="",X818="",X818="NO"),"",L818)</f>
        <v/>
      </c>
      <c r="AF818" s="92" t="str">
        <f>+IF(AE818="","",L818/$S$818)</f>
        <v/>
      </c>
      <c r="AG818" s="174"/>
    </row>
    <row r="819" spans="1:34" s="27" customFormat="1" ht="12.75" x14ac:dyDescent="0.2">
      <c r="A819" s="27" t="str">
        <f t="shared" si="378"/>
        <v/>
      </c>
      <c r="B819" s="38">
        <v>8</v>
      </c>
      <c r="C819" s="39"/>
      <c r="D819" s="39"/>
      <c r="E819" s="46"/>
      <c r="F819" s="46"/>
      <c r="G819" s="39"/>
      <c r="H819" s="40"/>
      <c r="I819" s="41"/>
      <c r="J819" s="42"/>
      <c r="K819" s="43"/>
      <c r="L819" s="44">
        <f t="shared" si="379"/>
        <v>0</v>
      </c>
      <c r="M819" s="206"/>
      <c r="N819" s="206"/>
      <c r="O819" s="207" t="str">
        <f t="shared" si="380"/>
        <v/>
      </c>
      <c r="P819" s="206"/>
      <c r="Q819" s="206"/>
      <c r="R819" s="177">
        <f t="shared" si="381"/>
        <v>0</v>
      </c>
      <c r="S819" s="178" t="str">
        <f t="shared" si="382"/>
        <v/>
      </c>
      <c r="T819" s="208" t="str">
        <f t="shared" si="383"/>
        <v/>
      </c>
      <c r="U819" s="41"/>
      <c r="V819" s="45"/>
      <c r="X819" s="37" t="str">
        <f t="shared" si="376"/>
        <v/>
      </c>
      <c r="Z819" s="181"/>
      <c r="AB819" s="173"/>
      <c r="AD819" s="10" t="str">
        <f t="shared" si="377"/>
        <v/>
      </c>
      <c r="AE819" s="92" t="str">
        <f>+IF(OR($T$819="",X819="",X819="NO"),"",L819)</f>
        <v/>
      </c>
      <c r="AF819" s="92" t="str">
        <f>+IF(AE819="","",L819/$S$819)</f>
        <v/>
      </c>
      <c r="AG819" s="174"/>
    </row>
    <row r="820" spans="1:34" s="27" customFormat="1" ht="12.75" x14ac:dyDescent="0.2">
      <c r="A820" s="27" t="str">
        <f t="shared" si="378"/>
        <v/>
      </c>
      <c r="B820" s="38">
        <v>9</v>
      </c>
      <c r="C820" s="39"/>
      <c r="D820" s="39"/>
      <c r="E820" s="46"/>
      <c r="F820" s="46"/>
      <c r="G820" s="39"/>
      <c r="H820" s="40"/>
      <c r="I820" s="41"/>
      <c r="J820" s="42"/>
      <c r="K820" s="43"/>
      <c r="L820" s="44">
        <f t="shared" si="379"/>
        <v>0</v>
      </c>
      <c r="M820" s="206"/>
      <c r="N820" s="206"/>
      <c r="O820" s="207" t="str">
        <f t="shared" si="380"/>
        <v/>
      </c>
      <c r="P820" s="206"/>
      <c r="Q820" s="206"/>
      <c r="R820" s="177">
        <f t="shared" si="381"/>
        <v>0</v>
      </c>
      <c r="S820" s="178" t="str">
        <f t="shared" si="382"/>
        <v/>
      </c>
      <c r="T820" s="208" t="str">
        <f t="shared" si="383"/>
        <v/>
      </c>
      <c r="U820" s="41"/>
      <c r="V820" s="45"/>
      <c r="X820" s="37" t="str">
        <f t="shared" si="376"/>
        <v/>
      </c>
      <c r="Z820" s="181"/>
      <c r="AB820" s="173"/>
      <c r="AD820" s="10" t="str">
        <f t="shared" si="377"/>
        <v/>
      </c>
      <c r="AE820" s="92" t="str">
        <f>+IF(OR($T$820="",X820="",X820="NO"),"",L820)</f>
        <v/>
      </c>
      <c r="AF820" s="92" t="str">
        <f>+IF(AE820="","",L820/$S$820)</f>
        <v/>
      </c>
      <c r="AG820" s="174"/>
    </row>
    <row r="821" spans="1:34" s="27" customFormat="1" ht="13.5" thickBot="1" x14ac:dyDescent="0.25">
      <c r="A821" s="27" t="str">
        <f t="shared" si="378"/>
        <v/>
      </c>
      <c r="B821" s="47">
        <v>10</v>
      </c>
      <c r="C821" s="48"/>
      <c r="D821" s="48"/>
      <c r="E821" s="49"/>
      <c r="F821" s="49"/>
      <c r="G821" s="48"/>
      <c r="H821" s="50"/>
      <c r="I821" s="51"/>
      <c r="J821" s="14"/>
      <c r="K821" s="52"/>
      <c r="L821" s="53">
        <f t="shared" si="379"/>
        <v>0</v>
      </c>
      <c r="M821" s="211"/>
      <c r="N821" s="211"/>
      <c r="O821" s="212" t="str">
        <f t="shared" si="380"/>
        <v/>
      </c>
      <c r="P821" s="211"/>
      <c r="Q821" s="211"/>
      <c r="R821" s="184">
        <f t="shared" si="381"/>
        <v>0</v>
      </c>
      <c r="S821" s="185" t="str">
        <f t="shared" si="382"/>
        <v/>
      </c>
      <c r="T821" s="213" t="str">
        <f t="shared" si="383"/>
        <v/>
      </c>
      <c r="U821" s="51"/>
      <c r="V821" s="54"/>
      <c r="X821" s="55" t="str">
        <f t="shared" si="376"/>
        <v/>
      </c>
      <c r="Z821" s="187"/>
      <c r="AB821" s="188"/>
      <c r="AD821" s="10" t="str">
        <f t="shared" si="377"/>
        <v/>
      </c>
      <c r="AE821" s="92" t="str">
        <f>+IF(OR($T$821="",X821="",X821="NO"),"",L821)</f>
        <v/>
      </c>
      <c r="AF821" s="92" t="str">
        <f>+IF(AE821="","",L821/$S$821)</f>
        <v/>
      </c>
    </row>
    <row r="822" spans="1:34" ht="36" customHeight="1" x14ac:dyDescent="0.2">
      <c r="B822" s="57" t="str">
        <f>"A"&amp;B809</f>
        <v>A48</v>
      </c>
      <c r="C822" s="382" t="str">
        <f>+$C$23</f>
        <v>¿CADA INTEGRANTE DE PROPONENTE PLURAL APORTAN CONTRATO?  (SI; NO; NA)</v>
      </c>
      <c r="D822" s="383"/>
      <c r="E822" s="383"/>
      <c r="F822" s="383"/>
      <c r="G822" s="383"/>
      <c r="H822" s="384"/>
      <c r="I822" s="217" t="str">
        <f>+IF(AG809="","",IF(AG809=1,"NA",IF(AND(AG809=3,(IF(COUNTIFS(C812:C821,AH812,AE812:AE821,"&gt;0")&gt;=1,1,0)+IF(COUNTIFS(C812:C821,AH813,AE812:AE821,"&gt;0")&gt;=1,1,0)+IF(COUNTIFS(C812:C821,AH814,AE812:AE821,"&gt;0")&gt;=1,1,0))&gt;=AG809),"SI",IF(AND(AG809=2,(IF(COUNTIFS(C812:C821,AH812,AE812:AE821,"&gt;0")&gt;=1,1,0)+IF(COUNTIFS(C812:C821,AH813,AE812:AE821,"&gt;0")&gt;=1,1,0))&gt;=AG809),"SI","NO"))))</f>
        <v/>
      </c>
      <c r="J822" s="59"/>
      <c r="K822" s="27"/>
      <c r="L822" s="27"/>
      <c r="M822" s="27"/>
      <c r="N822" s="27"/>
      <c r="O822" s="27"/>
      <c r="P822" s="385" t="str">
        <f>+$P$23</f>
        <v>FACTURACION MENSUAL TOTAL</v>
      </c>
      <c r="Q822" s="386"/>
      <c r="R822" s="386"/>
      <c r="S822" s="386"/>
      <c r="T822" s="189">
        <f>ROUND(SUM(T812:T821),3)</f>
        <v>0</v>
      </c>
      <c r="U822" s="60"/>
      <c r="V822" s="1"/>
      <c r="W822" s="61"/>
      <c r="X822" s="61"/>
      <c r="Y822" s="61"/>
      <c r="Z822" s="61"/>
      <c r="AA822" s="61"/>
      <c r="AB822" s="61"/>
    </row>
    <row r="823" spans="1:34" ht="38.25" customHeight="1" thickBot="1" x14ac:dyDescent="0.25">
      <c r="B823" s="57" t="str">
        <f>"B"&amp;B809</f>
        <v>B48</v>
      </c>
      <c r="C823" s="387" t="str">
        <f>+C806</f>
        <v>En caso de proponente plural: ¿De la totalidad de los contratos aportados por el proponente plural, el valor ejecutado de uno de ellos deberá ser igual o superior al 30% del P.O.?  (SI; NO; NA)</v>
      </c>
      <c r="D823" s="388"/>
      <c r="E823" s="388"/>
      <c r="F823" s="388"/>
      <c r="G823" s="389"/>
      <c r="H823" s="190">
        <f>+$H$6</f>
        <v>268.14722506074827</v>
      </c>
      <c r="I823" s="191" t="str">
        <f>+IF(AG809="","",IF(AG809=1,"NA",IF(AND(AG809&gt;1,(COUNTIFS(AD812:AD821,"SI",AE812:AE821,"&gt;0"))&gt;=1),"SI","NO")))</f>
        <v/>
      </c>
      <c r="J823" s="192"/>
      <c r="K823" s="193"/>
      <c r="L823" s="194"/>
      <c r="M823" s="194"/>
      <c r="N823" s="194"/>
      <c r="O823" s="194"/>
      <c r="P823" s="387" t="str">
        <f>+$P$24</f>
        <v>PROMEDIO FACTURACIÓN MENSUAL DEL PROPONENTE (PFMP)</v>
      </c>
      <c r="Q823" s="388"/>
      <c r="R823" s="388"/>
      <c r="S823" s="388"/>
      <c r="T823" s="195">
        <f t="array" ref="T823">IF(T822=0,0,ROUND(T822/(SUM(IF(FREQUENCY(A812:A821,A812:A821)&gt;0,1))),3))</f>
        <v>0</v>
      </c>
      <c r="U823" s="214"/>
      <c r="V823" s="1"/>
      <c r="W823" s="61"/>
      <c r="X823" s="61"/>
      <c r="Y823" s="61"/>
      <c r="Z823" s="61"/>
      <c r="AA823" s="61"/>
      <c r="AB823" s="61"/>
    </row>
    <row r="824" spans="1:34" ht="21" customHeight="1" thickBot="1" x14ac:dyDescent="0.25">
      <c r="B824" s="197" t="str">
        <f>"C"&amp;B809</f>
        <v>C48</v>
      </c>
      <c r="C824" s="349" t="str">
        <f>+$C$25</f>
        <v>PROPONENTE CUMPLE CON LAS ACTIVIDADES a) y b)? (SI; NO)</v>
      </c>
      <c r="D824" s="350"/>
      <c r="E824" s="350"/>
      <c r="F824" s="350"/>
      <c r="G824" s="350"/>
      <c r="H824" s="351"/>
      <c r="I824" s="198" t="str">
        <f>IF(C809="","",(IF(AND(COUNTIFS(X812:X821,"SI",Z812:Z821,"SI")&gt;=$Z$8,COUNTIFS(X812:X821,"SI",AB812:AB821,"SI")&gt;=$Z$8),"SI","NO")))</f>
        <v/>
      </c>
      <c r="J824" s="199"/>
      <c r="K824" s="200"/>
      <c r="L824" s="200"/>
      <c r="M824" s="200"/>
      <c r="N824" s="200"/>
      <c r="P824" s="378" t="str">
        <f>+$P$25</f>
        <v>VALOR PUNTAJE POR EXPERIENCIA DEL PROPONENTE</v>
      </c>
      <c r="Q824" s="379"/>
      <c r="R824" s="379"/>
      <c r="S824" s="380"/>
      <c r="T824" s="201" t="str">
        <f>IF(OR(C809="",'ASIGNACION DE PUNTAJES'!$C$5=""),"",VLOOKUP(B809,'ASIGNACION DE PUNTAJES'!$A$15:$G$69,7,FALSE))</f>
        <v/>
      </c>
      <c r="V824" s="202"/>
    </row>
    <row r="825" spans="1:34" ht="12" thickBot="1" x14ac:dyDescent="0.25"/>
    <row r="826" spans="1:34" ht="36.75" customHeight="1" thickBot="1" x14ac:dyDescent="0.25">
      <c r="B826" s="23">
        <f>1+B809</f>
        <v>49</v>
      </c>
      <c r="C826" s="336" t="s">
        <v>932</v>
      </c>
      <c r="D826" s="337"/>
      <c r="E826" s="337"/>
      <c r="F826" s="337"/>
      <c r="G826" s="337"/>
      <c r="H826" s="337"/>
      <c r="I826" s="338"/>
      <c r="J826" s="24" t="str">
        <f>+IF(C826="","","INTEGRANTES")</f>
        <v/>
      </c>
      <c r="K826" s="339" t="s">
        <v>932</v>
      </c>
      <c r="L826" s="339"/>
      <c r="M826" s="339"/>
      <c r="N826" s="339"/>
      <c r="O826" s="339"/>
      <c r="P826" s="339"/>
      <c r="Q826" s="339"/>
      <c r="R826" s="396" t="str">
        <f>+$R$10</f>
        <v>PROPONENTE No.</v>
      </c>
      <c r="S826" s="397"/>
      <c r="T826" s="25">
        <f>+B826</f>
        <v>49</v>
      </c>
      <c r="U826" s="161" t="str">
        <f>+$U$10</f>
        <v>PFMP</v>
      </c>
      <c r="V826" s="162">
        <f>IF(T840="",0,T840)</f>
        <v>0</v>
      </c>
      <c r="X826" s="325" t="s">
        <v>168</v>
      </c>
      <c r="Z826" s="163" t="str">
        <f>+$Z$10</f>
        <v>EXP. ESPECÍFICA 
A:</v>
      </c>
      <c r="AB826" s="163" t="str">
        <f>+$AB$10</f>
        <v>EXP. ESPECÍFICA 
B:</v>
      </c>
      <c r="AG826" s="1" t="s">
        <v>932</v>
      </c>
    </row>
    <row r="827" spans="1:34" ht="42" customHeight="1" x14ac:dyDescent="0.2">
      <c r="B827" s="331" t="str">
        <f>+$B$11</f>
        <v>ITEM</v>
      </c>
      <c r="C827" s="318" t="str">
        <f>+$C$11</f>
        <v>PROPONENTE 
/ 
INTEGRANTE OFERENTE PLURAL</v>
      </c>
      <c r="D827" s="333" t="str">
        <f>+$D$11</f>
        <v>INFORMACIÓN DEL CONTRATO</v>
      </c>
      <c r="E827" s="334"/>
      <c r="F827" s="334"/>
      <c r="G827" s="335"/>
      <c r="H827" s="318" t="str">
        <f>+H810</f>
        <v>CONSECUTIVO RUP</v>
      </c>
      <c r="I827" s="318" t="str">
        <f>+$I$11</f>
        <v>¿SE ENCUENTRA INSCRITO EN EL RUP Y CUMPLE CÓDIGOS UNSPSC?</v>
      </c>
      <c r="J827" s="318" t="str">
        <f>+$J$11</f>
        <v xml:space="preserve">VALOR EN RUP (SMMLV) </v>
      </c>
      <c r="K827" s="318" t="str">
        <f>+$K$11</f>
        <v>% PARTIC en el RUP</v>
      </c>
      <c r="L827" s="318" t="str">
        <f>+$L$11</f>
        <v>VALOR DEL CONTRATO TERMINADO (SMMLV) en el   RUP</v>
      </c>
      <c r="M827" s="318" t="str">
        <f>+$M$11</f>
        <v>FECHA DE INICIO</v>
      </c>
      <c r="N827" s="318" t="str">
        <f>+$N$11</f>
        <v>FECHA DE TERMINACION</v>
      </c>
      <c r="O827" s="318" t="str">
        <f>+$O$11</f>
        <v>PLAZO CONTRA-TO (Meses)</v>
      </c>
      <c r="P827" s="390" t="str">
        <f>+$P$11</f>
        <v>Tsusp i</v>
      </c>
      <c r="Q827" s="391"/>
      <c r="R827" s="392"/>
      <c r="S827" s="318" t="str">
        <f>+$S$11</f>
        <v>PLAZO i REAL</v>
      </c>
      <c r="T827" s="318" t="str">
        <f>+$T$11</f>
        <v>FACTURA-CION MENSUAL PROPO-NENTE</v>
      </c>
      <c r="U827" s="318" t="str">
        <f>+$U$11</f>
        <v>VALIDACIÓN DE LA EXPERIENCIA GENERAL
(SI/NO)</v>
      </c>
      <c r="V827" s="393" t="str">
        <f>+$V$11</f>
        <v>OBSERVACIONES</v>
      </c>
      <c r="X827" s="326"/>
      <c r="Z827" s="381" t="str">
        <f>+$Z$11</f>
        <v>Interventoria a la ejecución de obras relacionadas con Colocación de capas granulares (tales como bases y/o sub-bases granulares).</v>
      </c>
      <c r="AB827" s="381" t="str">
        <f>+$AB$11</f>
        <v>Interventoria a la Ejecución de obras de subdrenaje y/o drenaje, en carreteras.</v>
      </c>
    </row>
    <row r="828" spans="1:34" ht="38.25" customHeight="1" thickBot="1" x14ac:dyDescent="0.25">
      <c r="B828" s="395"/>
      <c r="C828" s="348"/>
      <c r="D828" s="165" t="str">
        <f>+$D$12</f>
        <v>ENTIDAD</v>
      </c>
      <c r="E828" s="165" t="str">
        <f>+$E$12</f>
        <v>No. DE CONTRATO</v>
      </c>
      <c r="F828" s="165" t="str">
        <f>+$F$12</f>
        <v>OBJETO</v>
      </c>
      <c r="G828" s="165" t="str">
        <f>+$G$12</f>
        <v>CONTRATISTA</v>
      </c>
      <c r="H828" s="348"/>
      <c r="I828" s="348"/>
      <c r="J828" s="348"/>
      <c r="K828" s="348"/>
      <c r="L828" s="348"/>
      <c r="M828" s="348"/>
      <c r="N828" s="348"/>
      <c r="O828" s="348"/>
      <c r="P828" s="166" t="str">
        <f>+P811</f>
        <v>Finicsuspi</v>
      </c>
      <c r="Q828" s="166" t="str">
        <f>+Q811</f>
        <v xml:space="preserve"> Ftermsuspi </v>
      </c>
      <c r="R828" s="166" t="str">
        <f>+R811</f>
        <v>Tsusp i (meses)</v>
      </c>
      <c r="S828" s="348"/>
      <c r="T828" s="348"/>
      <c r="U828" s="348"/>
      <c r="V828" s="394"/>
      <c r="X828" s="327"/>
      <c r="Z828" s="381"/>
      <c r="AB828" s="381"/>
    </row>
    <row r="829" spans="1:34" s="27" customFormat="1" ht="12.75" x14ac:dyDescent="0.2">
      <c r="A829" s="27" t="str">
        <f>+IF(T829="","",B829)</f>
        <v/>
      </c>
      <c r="B829" s="28">
        <v>1</v>
      </c>
      <c r="C829" s="86"/>
      <c r="D829" s="86"/>
      <c r="E829" s="87"/>
      <c r="F829" s="87"/>
      <c r="G829" s="86"/>
      <c r="H829" s="30"/>
      <c r="I829" s="31"/>
      <c r="J829" s="32"/>
      <c r="K829" s="33"/>
      <c r="L829" s="34">
        <f>IF(OR(H829="",I829&lt;&gt;"SI",I829="NO",J829="",J829=0,K829="",K829=0,X829&lt;&gt;"SI"),0,J829*K829)</f>
        <v>0</v>
      </c>
      <c r="M829" s="204"/>
      <c r="N829" s="204"/>
      <c r="O829" s="169" t="str">
        <f>IF(OR(H829="",I829&lt;&gt;"SI",I829="NO",J829="",J829=0,K829="",K829=0,,M829="",N829=""),"",ROUND((((N829-M829)+1)/30),3))</f>
        <v/>
      </c>
      <c r="P829" s="204"/>
      <c r="Q829" s="204"/>
      <c r="R829" s="170">
        <f>IF(OR((Q829-P829)=0,P829="",Q829=""),0,(ROUND((((Q829-P829)+1)/30),3)))</f>
        <v>0</v>
      </c>
      <c r="S829" s="171" t="str">
        <f>IF(O829="","",ROUND(SUM(O829)-SUM(R829),3))</f>
        <v/>
      </c>
      <c r="T829" s="172" t="str">
        <f>+IF(C829="","",IF(OR(S829="",S829&lt;=0,I829="",I829="NO",U829="",U829="NO",X829="NO"),"",ROUND(SUM(L829)/S829,3)))</f>
        <v/>
      </c>
      <c r="U829" s="35"/>
      <c r="V829" s="36"/>
      <c r="W829" s="205"/>
      <c r="X829" s="37" t="str">
        <f t="shared" ref="X829:X838" si="384">+IF(C829="","",IF(AND(H829&lt;&gt;"",I829="SI",J829&lt;&gt;"",J829&gt;0,K829&lt;&gt;"",K829&gt;0,S829&lt;&gt;"",S829&gt;0,U829="SI"),"SI","NO"))</f>
        <v/>
      </c>
      <c r="Z829" s="173"/>
      <c r="AB829" s="173"/>
      <c r="AD829" s="10" t="str">
        <f t="shared" ref="AD829:AD838" si="385">+IF($C$826="","",IF(C829="","",IF(L829&gt;=$H$6,"SI","NO")))</f>
        <v/>
      </c>
      <c r="AE829" s="92" t="str">
        <f>+IF(OR($T$829="",X829="",X829="NO"),"",L829)</f>
        <v/>
      </c>
      <c r="AF829" s="92" t="str">
        <f>+IF(AE829="","",L829/$S$829)</f>
        <v/>
      </c>
      <c r="AG829" s="174">
        <f>0.1+B826</f>
        <v>49.1</v>
      </c>
      <c r="AH829" s="27" t="s">
        <v>932</v>
      </c>
    </row>
    <row r="830" spans="1:34" s="27" customFormat="1" ht="12.75" x14ac:dyDescent="0.2">
      <c r="A830" s="27" t="str">
        <f t="shared" ref="A830:A838" si="386">+IF(T830="","",B830)</f>
        <v/>
      </c>
      <c r="B830" s="38">
        <v>2</v>
      </c>
      <c r="C830" s="39"/>
      <c r="D830" s="39"/>
      <c r="E830" s="46"/>
      <c r="F830" s="46"/>
      <c r="G830" s="39"/>
      <c r="H830" s="40"/>
      <c r="I830" s="41"/>
      <c r="J830" s="42"/>
      <c r="K830" s="43"/>
      <c r="L830" s="44">
        <f t="shared" ref="L830:L838" si="387">IF(OR(H830="",I830&lt;&gt;"SI",I830="NO",J830="",J830=0,K830="",K830=0,X830&lt;&gt;"SI"),0,J830*K830)</f>
        <v>0</v>
      </c>
      <c r="M830" s="206"/>
      <c r="N830" s="206"/>
      <c r="O830" s="207" t="str">
        <f t="shared" ref="O830:O838" si="388">IF(OR(H830="",I830&lt;&gt;"SI",I830="NO",J830="",J830=0,K830="",K830=0,,M830="",N830=""),"",ROUND((((N830-M830)+1)/30),3))</f>
        <v/>
      </c>
      <c r="P830" s="206"/>
      <c r="Q830" s="206"/>
      <c r="R830" s="177">
        <f t="shared" ref="R830:R838" si="389">IF(OR((Q830-P830)=0,P830="",Q830=""),0,(ROUND((((Q830-P830)+1)/30),3)))</f>
        <v>0</v>
      </c>
      <c r="S830" s="178" t="str">
        <f t="shared" ref="S830:S838" si="390">IF(O830="","",ROUND(SUM(O830)-SUM(R830),3))</f>
        <v/>
      </c>
      <c r="T830" s="208" t="str">
        <f t="shared" ref="T830:T838" si="391">+IF(C830="","",IF(OR(S830="",S830&lt;=0,I830="",I830="NO",U830="",U830="NO",X830="NO"),"",ROUND(SUM(L830)/S830,3)))</f>
        <v/>
      </c>
      <c r="U830" s="41"/>
      <c r="V830" s="209"/>
      <c r="W830" s="205"/>
      <c r="X830" s="37" t="str">
        <f t="shared" si="384"/>
        <v/>
      </c>
      <c r="Z830" s="173"/>
      <c r="AB830" s="173"/>
      <c r="AD830" s="10" t="str">
        <f t="shared" si="385"/>
        <v/>
      </c>
      <c r="AE830" s="92" t="str">
        <f>+IF(OR($T$830="",X830="",X830="NO"),"",L830)</f>
        <v/>
      </c>
      <c r="AF830" s="92" t="str">
        <f>+IF(AE830="","",L830/$S$830)</f>
        <v/>
      </c>
      <c r="AG830" s="174">
        <f>0.2+B826</f>
        <v>49.2</v>
      </c>
      <c r="AH830" s="27" t="s">
        <v>932</v>
      </c>
    </row>
    <row r="831" spans="1:34" s="27" customFormat="1" ht="12.75" x14ac:dyDescent="0.2">
      <c r="A831" s="27" t="str">
        <f t="shared" si="386"/>
        <v/>
      </c>
      <c r="B831" s="38">
        <v>3</v>
      </c>
      <c r="C831" s="39"/>
      <c r="D831" s="39"/>
      <c r="E831" s="46"/>
      <c r="F831" s="46"/>
      <c r="G831" s="39"/>
      <c r="H831" s="40"/>
      <c r="I831" s="41"/>
      <c r="J831" s="42"/>
      <c r="K831" s="43"/>
      <c r="L831" s="44">
        <f t="shared" si="387"/>
        <v>0</v>
      </c>
      <c r="M831" s="206"/>
      <c r="N831" s="206"/>
      <c r="O831" s="207" t="str">
        <f t="shared" si="388"/>
        <v/>
      </c>
      <c r="P831" s="206"/>
      <c r="Q831" s="206"/>
      <c r="R831" s="177">
        <f t="shared" si="389"/>
        <v>0</v>
      </c>
      <c r="S831" s="178" t="str">
        <f t="shared" si="390"/>
        <v/>
      </c>
      <c r="T831" s="208" t="str">
        <f t="shared" si="391"/>
        <v/>
      </c>
      <c r="U831" s="41"/>
      <c r="V831" s="45"/>
      <c r="W831" s="205"/>
      <c r="X831" s="37" t="str">
        <f t="shared" si="384"/>
        <v/>
      </c>
      <c r="Z831" s="173"/>
      <c r="AB831" s="173"/>
      <c r="AD831" s="10" t="str">
        <f t="shared" si="385"/>
        <v/>
      </c>
      <c r="AE831" s="92" t="str">
        <f>+IF(OR($T$831="",X831="",X831="NO"),"",L831)</f>
        <v/>
      </c>
      <c r="AF831" s="92" t="str">
        <f>+IF(AE831="","",L831/$S$831)</f>
        <v/>
      </c>
      <c r="AG831" s="174">
        <f>0.3+B826</f>
        <v>49.3</v>
      </c>
      <c r="AH831" s="27" t="s">
        <v>932</v>
      </c>
    </row>
    <row r="832" spans="1:34" s="27" customFormat="1" ht="12.75" x14ac:dyDescent="0.2">
      <c r="A832" s="27" t="str">
        <f t="shared" si="386"/>
        <v/>
      </c>
      <c r="B832" s="38">
        <v>4</v>
      </c>
      <c r="C832" s="39"/>
      <c r="D832" s="39"/>
      <c r="E832" s="46"/>
      <c r="F832" s="46"/>
      <c r="G832" s="39"/>
      <c r="H832" s="40"/>
      <c r="I832" s="41"/>
      <c r="J832" s="42"/>
      <c r="K832" s="43"/>
      <c r="L832" s="44">
        <f t="shared" si="387"/>
        <v>0</v>
      </c>
      <c r="M832" s="206"/>
      <c r="N832" s="206"/>
      <c r="O832" s="207" t="str">
        <f t="shared" si="388"/>
        <v/>
      </c>
      <c r="P832" s="206"/>
      <c r="Q832" s="206"/>
      <c r="R832" s="177">
        <f t="shared" si="389"/>
        <v>0</v>
      </c>
      <c r="S832" s="178" t="str">
        <f t="shared" si="390"/>
        <v/>
      </c>
      <c r="T832" s="208" t="str">
        <f t="shared" si="391"/>
        <v/>
      </c>
      <c r="U832" s="41"/>
      <c r="V832" s="45"/>
      <c r="W832" s="210"/>
      <c r="X832" s="37" t="str">
        <f t="shared" si="384"/>
        <v/>
      </c>
      <c r="Z832" s="180"/>
      <c r="AB832" s="173"/>
      <c r="AD832" s="10" t="str">
        <f t="shared" si="385"/>
        <v/>
      </c>
      <c r="AE832" s="92" t="str">
        <f>+IF(OR($T$832="",X832="",X832="NO"),"",L832)</f>
        <v/>
      </c>
      <c r="AF832" s="92" t="str">
        <f>+IF(AE832="","",L832/$S$832)</f>
        <v/>
      </c>
      <c r="AG832" s="174"/>
    </row>
    <row r="833" spans="1:34" s="27" customFormat="1" ht="12.75" x14ac:dyDescent="0.2">
      <c r="A833" s="27" t="str">
        <f t="shared" si="386"/>
        <v/>
      </c>
      <c r="B833" s="38">
        <v>5</v>
      </c>
      <c r="C833" s="39"/>
      <c r="D833" s="39"/>
      <c r="E833" s="46"/>
      <c r="F833" s="46"/>
      <c r="G833" s="39"/>
      <c r="H833" s="40"/>
      <c r="I833" s="41"/>
      <c r="J833" s="42"/>
      <c r="K833" s="43"/>
      <c r="L833" s="44">
        <f t="shared" si="387"/>
        <v>0</v>
      </c>
      <c r="M833" s="206"/>
      <c r="N833" s="206"/>
      <c r="O833" s="207" t="str">
        <f t="shared" si="388"/>
        <v/>
      </c>
      <c r="P833" s="206"/>
      <c r="Q833" s="206"/>
      <c r="R833" s="177">
        <f t="shared" si="389"/>
        <v>0</v>
      </c>
      <c r="S833" s="178" t="str">
        <f t="shared" si="390"/>
        <v/>
      </c>
      <c r="T833" s="208" t="str">
        <f t="shared" si="391"/>
        <v/>
      </c>
      <c r="U833" s="41"/>
      <c r="V833" s="45"/>
      <c r="X833" s="37" t="str">
        <f t="shared" si="384"/>
        <v/>
      </c>
      <c r="Z833" s="181"/>
      <c r="AB833" s="173"/>
      <c r="AD833" s="10" t="str">
        <f t="shared" si="385"/>
        <v/>
      </c>
      <c r="AE833" s="92" t="str">
        <f>+IF(OR($T$833="",X833="",X833="NO"),"",L833)</f>
        <v/>
      </c>
      <c r="AF833" s="92" t="str">
        <f>+IF(AE833="","",L833/$S$833)</f>
        <v/>
      </c>
      <c r="AG833" s="174"/>
    </row>
    <row r="834" spans="1:34" s="27" customFormat="1" ht="12.75" x14ac:dyDescent="0.2">
      <c r="A834" s="27" t="str">
        <f t="shared" si="386"/>
        <v/>
      </c>
      <c r="B834" s="38">
        <v>6</v>
      </c>
      <c r="C834" s="39"/>
      <c r="D834" s="39"/>
      <c r="E834" s="46"/>
      <c r="F834" s="46"/>
      <c r="G834" s="39"/>
      <c r="H834" s="40"/>
      <c r="I834" s="41"/>
      <c r="J834" s="42"/>
      <c r="K834" s="43"/>
      <c r="L834" s="44">
        <f t="shared" si="387"/>
        <v>0</v>
      </c>
      <c r="M834" s="206"/>
      <c r="N834" s="206"/>
      <c r="O834" s="207" t="str">
        <f t="shared" si="388"/>
        <v/>
      </c>
      <c r="P834" s="206"/>
      <c r="Q834" s="206"/>
      <c r="R834" s="177">
        <f t="shared" si="389"/>
        <v>0</v>
      </c>
      <c r="S834" s="178" t="str">
        <f t="shared" si="390"/>
        <v/>
      </c>
      <c r="T834" s="208" t="str">
        <f t="shared" si="391"/>
        <v/>
      </c>
      <c r="U834" s="41"/>
      <c r="V834" s="45"/>
      <c r="X834" s="37" t="str">
        <f t="shared" si="384"/>
        <v/>
      </c>
      <c r="Z834" s="181"/>
      <c r="AB834" s="173"/>
      <c r="AD834" s="10" t="str">
        <f t="shared" si="385"/>
        <v/>
      </c>
      <c r="AE834" s="92" t="str">
        <f>+IF(OR($T$834="",X834="",X834="NO"),"",L834)</f>
        <v/>
      </c>
      <c r="AF834" s="92" t="str">
        <f>+IF(AE834="","",L834/$S$834)</f>
        <v/>
      </c>
      <c r="AG834" s="174"/>
    </row>
    <row r="835" spans="1:34" s="27" customFormat="1" ht="12.75" x14ac:dyDescent="0.2">
      <c r="A835" s="27" t="str">
        <f t="shared" si="386"/>
        <v/>
      </c>
      <c r="B835" s="38">
        <v>7</v>
      </c>
      <c r="C835" s="39"/>
      <c r="D835" s="39"/>
      <c r="E835" s="46"/>
      <c r="F835" s="46"/>
      <c r="G835" s="39"/>
      <c r="H835" s="40"/>
      <c r="I835" s="41"/>
      <c r="J835" s="42"/>
      <c r="K835" s="43"/>
      <c r="L835" s="44">
        <f t="shared" si="387"/>
        <v>0</v>
      </c>
      <c r="M835" s="206"/>
      <c r="N835" s="206"/>
      <c r="O835" s="207" t="str">
        <f t="shared" si="388"/>
        <v/>
      </c>
      <c r="P835" s="206"/>
      <c r="Q835" s="206"/>
      <c r="R835" s="177">
        <f t="shared" si="389"/>
        <v>0</v>
      </c>
      <c r="S835" s="178" t="str">
        <f t="shared" si="390"/>
        <v/>
      </c>
      <c r="T835" s="208" t="str">
        <f t="shared" si="391"/>
        <v/>
      </c>
      <c r="U835" s="41"/>
      <c r="V835" s="45"/>
      <c r="X835" s="37" t="str">
        <f t="shared" si="384"/>
        <v/>
      </c>
      <c r="Z835" s="181"/>
      <c r="AB835" s="173"/>
      <c r="AD835" s="10" t="str">
        <f t="shared" si="385"/>
        <v/>
      </c>
      <c r="AE835" s="92" t="str">
        <f>+IF(OR($T$835="",X835="",X835="NO"),"",L835)</f>
        <v/>
      </c>
      <c r="AF835" s="92" t="str">
        <f>+IF(AE835="","",L835/$S$835)</f>
        <v/>
      </c>
      <c r="AG835" s="174"/>
    </row>
    <row r="836" spans="1:34" s="27" customFormat="1" ht="12.75" x14ac:dyDescent="0.2">
      <c r="A836" s="27" t="str">
        <f t="shared" si="386"/>
        <v/>
      </c>
      <c r="B836" s="38">
        <v>8</v>
      </c>
      <c r="C836" s="39"/>
      <c r="D836" s="39"/>
      <c r="E836" s="46"/>
      <c r="F836" s="46"/>
      <c r="G836" s="39"/>
      <c r="H836" s="40"/>
      <c r="I836" s="41"/>
      <c r="J836" s="42"/>
      <c r="K836" s="43"/>
      <c r="L836" s="44">
        <f t="shared" si="387"/>
        <v>0</v>
      </c>
      <c r="M836" s="206"/>
      <c r="N836" s="206"/>
      <c r="O836" s="207" t="str">
        <f t="shared" si="388"/>
        <v/>
      </c>
      <c r="P836" s="206"/>
      <c r="Q836" s="206"/>
      <c r="R836" s="177">
        <f t="shared" si="389"/>
        <v>0</v>
      </c>
      <c r="S836" s="178" t="str">
        <f t="shared" si="390"/>
        <v/>
      </c>
      <c r="T836" s="208" t="str">
        <f t="shared" si="391"/>
        <v/>
      </c>
      <c r="U836" s="41"/>
      <c r="V836" s="45"/>
      <c r="X836" s="37" t="str">
        <f t="shared" si="384"/>
        <v/>
      </c>
      <c r="Z836" s="181"/>
      <c r="AB836" s="173"/>
      <c r="AD836" s="10" t="str">
        <f t="shared" si="385"/>
        <v/>
      </c>
      <c r="AE836" s="92" t="str">
        <f>+IF(OR($T$836="",X836="",X836="NO"),"",L836)</f>
        <v/>
      </c>
      <c r="AF836" s="92" t="str">
        <f>+IF(AE836="","",L836/$S$836)</f>
        <v/>
      </c>
      <c r="AG836" s="174"/>
    </row>
    <row r="837" spans="1:34" s="27" customFormat="1" ht="12.75" x14ac:dyDescent="0.2">
      <c r="A837" s="27" t="str">
        <f t="shared" si="386"/>
        <v/>
      </c>
      <c r="B837" s="38">
        <v>9</v>
      </c>
      <c r="C837" s="39"/>
      <c r="D837" s="39"/>
      <c r="E837" s="46"/>
      <c r="F837" s="46"/>
      <c r="G837" s="39"/>
      <c r="H837" s="40"/>
      <c r="I837" s="41"/>
      <c r="J837" s="42"/>
      <c r="K837" s="43"/>
      <c r="L837" s="44">
        <f t="shared" si="387"/>
        <v>0</v>
      </c>
      <c r="M837" s="206"/>
      <c r="N837" s="206"/>
      <c r="O837" s="207" t="str">
        <f t="shared" si="388"/>
        <v/>
      </c>
      <c r="P837" s="206"/>
      <c r="Q837" s="206"/>
      <c r="R837" s="177">
        <f t="shared" si="389"/>
        <v>0</v>
      </c>
      <c r="S837" s="178" t="str">
        <f t="shared" si="390"/>
        <v/>
      </c>
      <c r="T837" s="208" t="str">
        <f t="shared" si="391"/>
        <v/>
      </c>
      <c r="U837" s="41"/>
      <c r="V837" s="45"/>
      <c r="X837" s="37" t="str">
        <f t="shared" si="384"/>
        <v/>
      </c>
      <c r="Z837" s="181"/>
      <c r="AB837" s="173"/>
      <c r="AD837" s="10" t="str">
        <f t="shared" si="385"/>
        <v/>
      </c>
      <c r="AE837" s="92" t="str">
        <f>+IF(OR($T$837="",X837="",X837="NO"),"",L837)</f>
        <v/>
      </c>
      <c r="AF837" s="92" t="str">
        <f>+IF(AE837="","",L837/$S$837)</f>
        <v/>
      </c>
      <c r="AG837" s="174"/>
    </row>
    <row r="838" spans="1:34" s="27" customFormat="1" ht="13.5" thickBot="1" x14ac:dyDescent="0.25">
      <c r="A838" s="27" t="str">
        <f t="shared" si="386"/>
        <v/>
      </c>
      <c r="B838" s="47">
        <v>10</v>
      </c>
      <c r="C838" s="48"/>
      <c r="D838" s="48"/>
      <c r="E838" s="49"/>
      <c r="F838" s="49"/>
      <c r="G838" s="48"/>
      <c r="H838" s="50"/>
      <c r="I838" s="51"/>
      <c r="J838" s="14"/>
      <c r="K838" s="52"/>
      <c r="L838" s="53">
        <f t="shared" si="387"/>
        <v>0</v>
      </c>
      <c r="M838" s="211"/>
      <c r="N838" s="211"/>
      <c r="O838" s="212" t="str">
        <f t="shared" si="388"/>
        <v/>
      </c>
      <c r="P838" s="211"/>
      <c r="Q838" s="211"/>
      <c r="R838" s="184">
        <f t="shared" si="389"/>
        <v>0</v>
      </c>
      <c r="S838" s="185" t="str">
        <f t="shared" si="390"/>
        <v/>
      </c>
      <c r="T838" s="213" t="str">
        <f t="shared" si="391"/>
        <v/>
      </c>
      <c r="U838" s="51"/>
      <c r="V838" s="54"/>
      <c r="X838" s="55" t="str">
        <f t="shared" si="384"/>
        <v/>
      </c>
      <c r="Z838" s="187"/>
      <c r="AB838" s="188"/>
      <c r="AD838" s="10" t="str">
        <f t="shared" si="385"/>
        <v/>
      </c>
      <c r="AE838" s="92" t="str">
        <f>+IF(OR($T$838="",X838="",X838="NO"),"",L838)</f>
        <v/>
      </c>
      <c r="AF838" s="92" t="str">
        <f>+IF(AE838="","",L838/$S$838)</f>
        <v/>
      </c>
    </row>
    <row r="839" spans="1:34" ht="36" customHeight="1" x14ac:dyDescent="0.2">
      <c r="B839" s="57" t="str">
        <f>"A"&amp;B826</f>
        <v>A49</v>
      </c>
      <c r="C839" s="382" t="str">
        <f>+$C$23</f>
        <v>¿CADA INTEGRANTE DE PROPONENTE PLURAL APORTAN CONTRATO?  (SI; NO; NA)</v>
      </c>
      <c r="D839" s="383"/>
      <c r="E839" s="383"/>
      <c r="F839" s="383"/>
      <c r="G839" s="383"/>
      <c r="H839" s="384"/>
      <c r="I839" s="217" t="str">
        <f>+IF(AG826="","",IF(AG826=1,"NA",IF(AND(AG826=3,(IF(COUNTIFS(C829:C838,AH829,AE829:AE838,"&gt;0")&gt;=1,1,0)+IF(COUNTIFS(C829:C838,AH830,AE829:AE838,"&gt;0")&gt;=1,1,0)+IF(COUNTIFS(C829:C838,AH831,AE829:AE838,"&gt;0")&gt;=1,1,0))&gt;=AG826),"SI",IF(AND(AG826=2,(IF(COUNTIFS(C829:C838,AH829,AE829:AE838,"&gt;0")&gt;=1,1,0)+IF(COUNTIFS(C829:C838,AH830,AE829:AE838,"&gt;0")&gt;=1,1,0))&gt;=AG826),"SI","NO"))))</f>
        <v/>
      </c>
      <c r="J839" s="59"/>
      <c r="K839" s="27"/>
      <c r="L839" s="27"/>
      <c r="M839" s="27"/>
      <c r="N839" s="27"/>
      <c r="O839" s="27"/>
      <c r="P839" s="385" t="str">
        <f>+$P$23</f>
        <v>FACTURACION MENSUAL TOTAL</v>
      </c>
      <c r="Q839" s="386"/>
      <c r="R839" s="386"/>
      <c r="S839" s="386"/>
      <c r="T839" s="189">
        <f>ROUND(SUM(T829:T838),3)</f>
        <v>0</v>
      </c>
      <c r="U839" s="60"/>
      <c r="V839" s="1"/>
      <c r="W839" s="61"/>
      <c r="X839" s="61"/>
      <c r="Y839" s="61"/>
      <c r="Z839" s="61"/>
      <c r="AA839" s="61"/>
      <c r="AB839" s="61"/>
    </row>
    <row r="840" spans="1:34" ht="38.25" customHeight="1" thickBot="1" x14ac:dyDescent="0.25">
      <c r="B840" s="57" t="str">
        <f>"B"&amp;B826</f>
        <v>B49</v>
      </c>
      <c r="C840" s="387" t="str">
        <f>+C823</f>
        <v>En caso de proponente plural: ¿De la totalidad de los contratos aportados por el proponente plural, el valor ejecutado de uno de ellos deberá ser igual o superior al 30% del P.O.?  (SI; NO; NA)</v>
      </c>
      <c r="D840" s="388"/>
      <c r="E840" s="388"/>
      <c r="F840" s="388"/>
      <c r="G840" s="389"/>
      <c r="H840" s="190">
        <f>+$H$6</f>
        <v>268.14722506074827</v>
      </c>
      <c r="I840" s="191" t="str">
        <f>+IF(AG826="","",IF(AG826=1,"NA",IF(AND(AG826&gt;1,(COUNTIFS(AD829:AD838,"SI",AE829:AE838,"&gt;0"))&gt;=1),"SI","NO")))</f>
        <v/>
      </c>
      <c r="J840" s="192"/>
      <c r="K840" s="193"/>
      <c r="L840" s="194"/>
      <c r="M840" s="194"/>
      <c r="N840" s="194"/>
      <c r="O840" s="194"/>
      <c r="P840" s="387" t="str">
        <f>+$P$24</f>
        <v>PROMEDIO FACTURACIÓN MENSUAL DEL PROPONENTE (PFMP)</v>
      </c>
      <c r="Q840" s="388"/>
      <c r="R840" s="388"/>
      <c r="S840" s="388"/>
      <c r="T840" s="195">
        <f t="array" ref="T840">IF(T839=0,0,ROUND(T839/(SUM(IF(FREQUENCY(A829:A838,A829:A838)&gt;0,1))),3))</f>
        <v>0</v>
      </c>
      <c r="U840" s="214"/>
      <c r="V840" s="1"/>
      <c r="W840" s="61"/>
      <c r="X840" s="61"/>
      <c r="Y840" s="61"/>
      <c r="Z840" s="61"/>
      <c r="AA840" s="61"/>
      <c r="AB840" s="61"/>
    </row>
    <row r="841" spans="1:34" ht="21" customHeight="1" thickBot="1" x14ac:dyDescent="0.25">
      <c r="B841" s="197" t="str">
        <f>"C"&amp;B826</f>
        <v>C49</v>
      </c>
      <c r="C841" s="349" t="str">
        <f>+$C$25</f>
        <v>PROPONENTE CUMPLE CON LAS ACTIVIDADES a) y b)? (SI; NO)</v>
      </c>
      <c r="D841" s="350"/>
      <c r="E841" s="350"/>
      <c r="F841" s="350"/>
      <c r="G841" s="350"/>
      <c r="H841" s="351"/>
      <c r="I841" s="198" t="str">
        <f>IF(C826="","",(IF(AND(COUNTIFS(X829:X838,"SI",Z829:Z838,"SI")&gt;=$Z$8,COUNTIFS(X829:X838,"SI",AB829:AB838,"SI")&gt;=$Z$8),"SI","NO")))</f>
        <v/>
      </c>
      <c r="J841" s="199"/>
      <c r="K841" s="200"/>
      <c r="L841" s="200"/>
      <c r="M841" s="200"/>
      <c r="N841" s="200"/>
      <c r="P841" s="378" t="str">
        <f>+$P$25</f>
        <v>VALOR PUNTAJE POR EXPERIENCIA DEL PROPONENTE</v>
      </c>
      <c r="Q841" s="379"/>
      <c r="R841" s="379"/>
      <c r="S841" s="380"/>
      <c r="T841" s="201" t="str">
        <f>IF(OR(C826="",'ASIGNACION DE PUNTAJES'!$C$5=""),"",VLOOKUP(B826,'ASIGNACION DE PUNTAJES'!$A$15:$G$69,7,FALSE))</f>
        <v/>
      </c>
      <c r="V841" s="202"/>
    </row>
    <row r="842" spans="1:34" ht="12" thickBot="1" x14ac:dyDescent="0.25"/>
    <row r="843" spans="1:34" ht="36.75" customHeight="1" thickBot="1" x14ac:dyDescent="0.25">
      <c r="B843" s="23">
        <f>1+B826</f>
        <v>50</v>
      </c>
      <c r="C843" s="336" t="s">
        <v>932</v>
      </c>
      <c r="D843" s="337"/>
      <c r="E843" s="337"/>
      <c r="F843" s="337"/>
      <c r="G843" s="337"/>
      <c r="H843" s="337"/>
      <c r="I843" s="338"/>
      <c r="J843" s="24" t="str">
        <f>+IF(C843="","","INTEGRANTES")</f>
        <v/>
      </c>
      <c r="K843" s="339" t="s">
        <v>932</v>
      </c>
      <c r="L843" s="339"/>
      <c r="M843" s="339"/>
      <c r="N843" s="339"/>
      <c r="O843" s="339"/>
      <c r="P843" s="339"/>
      <c r="Q843" s="339"/>
      <c r="R843" s="396" t="str">
        <f>+$R$10</f>
        <v>PROPONENTE No.</v>
      </c>
      <c r="S843" s="397"/>
      <c r="T843" s="25">
        <f>+B843</f>
        <v>50</v>
      </c>
      <c r="U843" s="161" t="str">
        <f>+$U$10</f>
        <v>PFMP</v>
      </c>
      <c r="V843" s="162">
        <f>IF(T857="",0,T857)</f>
        <v>0</v>
      </c>
      <c r="X843" s="325" t="s">
        <v>168</v>
      </c>
      <c r="Z843" s="163" t="str">
        <f>+$Z$10</f>
        <v>EXP. ESPECÍFICA 
A:</v>
      </c>
      <c r="AB843" s="163" t="str">
        <f>+$AB$10</f>
        <v>EXP. ESPECÍFICA 
B:</v>
      </c>
      <c r="AG843" s="1" t="s">
        <v>932</v>
      </c>
    </row>
    <row r="844" spans="1:34" ht="42" customHeight="1" x14ac:dyDescent="0.2">
      <c r="B844" s="331" t="str">
        <f>+$B$11</f>
        <v>ITEM</v>
      </c>
      <c r="C844" s="318" t="str">
        <f>+$C$11</f>
        <v>PROPONENTE 
/ 
INTEGRANTE OFERENTE PLURAL</v>
      </c>
      <c r="D844" s="333" t="str">
        <f>+$D$11</f>
        <v>INFORMACIÓN DEL CONTRATO</v>
      </c>
      <c r="E844" s="334"/>
      <c r="F844" s="334"/>
      <c r="G844" s="335"/>
      <c r="H844" s="318" t="str">
        <f>+H827</f>
        <v>CONSECUTIVO RUP</v>
      </c>
      <c r="I844" s="318" t="str">
        <f>+$I$11</f>
        <v>¿SE ENCUENTRA INSCRITO EN EL RUP Y CUMPLE CÓDIGOS UNSPSC?</v>
      </c>
      <c r="J844" s="318" t="str">
        <f>+$J$11</f>
        <v xml:space="preserve">VALOR EN RUP (SMMLV) </v>
      </c>
      <c r="K844" s="318" t="str">
        <f>+$K$11</f>
        <v>% PARTIC en el RUP</v>
      </c>
      <c r="L844" s="318" t="str">
        <f>+$L$11</f>
        <v>VALOR DEL CONTRATO TERMINADO (SMMLV) en el   RUP</v>
      </c>
      <c r="M844" s="318" t="str">
        <f>+$M$11</f>
        <v>FECHA DE INICIO</v>
      </c>
      <c r="N844" s="318" t="str">
        <f>+$N$11</f>
        <v>FECHA DE TERMINACION</v>
      </c>
      <c r="O844" s="318" t="str">
        <f>+$O$11</f>
        <v>PLAZO CONTRA-TO (Meses)</v>
      </c>
      <c r="P844" s="390" t="str">
        <f>+$P$11</f>
        <v>Tsusp i</v>
      </c>
      <c r="Q844" s="391"/>
      <c r="R844" s="392"/>
      <c r="S844" s="318" t="str">
        <f>+$S$11</f>
        <v>PLAZO i REAL</v>
      </c>
      <c r="T844" s="318" t="str">
        <f>+$T$11</f>
        <v>FACTURA-CION MENSUAL PROPO-NENTE</v>
      </c>
      <c r="U844" s="318" t="str">
        <f>+$U$11</f>
        <v>VALIDACIÓN DE LA EXPERIENCIA GENERAL
(SI/NO)</v>
      </c>
      <c r="V844" s="393" t="str">
        <f>+$V$11</f>
        <v>OBSERVACIONES</v>
      </c>
      <c r="X844" s="326"/>
      <c r="Z844" s="381" t="str">
        <f>+$Z$11</f>
        <v>Interventoria a la ejecución de obras relacionadas con Colocación de capas granulares (tales como bases y/o sub-bases granulares).</v>
      </c>
      <c r="AB844" s="381" t="str">
        <f>+$AB$11</f>
        <v>Interventoria a la Ejecución de obras de subdrenaje y/o drenaje, en carreteras.</v>
      </c>
    </row>
    <row r="845" spans="1:34" ht="38.25" customHeight="1" thickBot="1" x14ac:dyDescent="0.25">
      <c r="B845" s="395"/>
      <c r="C845" s="348"/>
      <c r="D845" s="165" t="str">
        <f>+$D$12</f>
        <v>ENTIDAD</v>
      </c>
      <c r="E845" s="165" t="str">
        <f>+$E$12</f>
        <v>No. DE CONTRATO</v>
      </c>
      <c r="F845" s="165" t="str">
        <f>+$F$12</f>
        <v>OBJETO</v>
      </c>
      <c r="G845" s="165" t="str">
        <f>+$G$12</f>
        <v>CONTRATISTA</v>
      </c>
      <c r="H845" s="348"/>
      <c r="I845" s="348"/>
      <c r="J845" s="348"/>
      <c r="K845" s="348"/>
      <c r="L845" s="348"/>
      <c r="M845" s="348"/>
      <c r="N845" s="348"/>
      <c r="O845" s="348"/>
      <c r="P845" s="166" t="str">
        <f>+P828</f>
        <v>Finicsuspi</v>
      </c>
      <c r="Q845" s="166" t="str">
        <f>+Q828</f>
        <v xml:space="preserve"> Ftermsuspi </v>
      </c>
      <c r="R845" s="166" t="str">
        <f>+R828</f>
        <v>Tsusp i (meses)</v>
      </c>
      <c r="S845" s="348"/>
      <c r="T845" s="348"/>
      <c r="U845" s="348"/>
      <c r="V845" s="394"/>
      <c r="X845" s="327"/>
      <c r="Z845" s="381"/>
      <c r="AB845" s="381"/>
    </row>
    <row r="846" spans="1:34" s="27" customFormat="1" ht="12.75" x14ac:dyDescent="0.2">
      <c r="A846" s="27" t="str">
        <f>+IF(T846="","",B846)</f>
        <v/>
      </c>
      <c r="B846" s="28">
        <v>1</v>
      </c>
      <c r="C846" s="86"/>
      <c r="D846" s="86"/>
      <c r="E846" s="87"/>
      <c r="F846" s="87"/>
      <c r="G846" s="86"/>
      <c r="H846" s="30"/>
      <c r="I846" s="31"/>
      <c r="J846" s="32"/>
      <c r="K846" s="33"/>
      <c r="L846" s="34">
        <f>IF(OR(H846="",I846&lt;&gt;"SI",I846="NO",J846="",J846=0,K846="",K846=0,X846&lt;&gt;"SI"),0,J846*K846)</f>
        <v>0</v>
      </c>
      <c r="M846" s="204"/>
      <c r="N846" s="204"/>
      <c r="O846" s="169" t="str">
        <f>IF(OR(H846="",I846&lt;&gt;"SI",I846="NO",J846="",J846=0,K846="",K846=0,,M846="",N846=""),"",ROUND((((N846-M846)+1)/30),3))</f>
        <v/>
      </c>
      <c r="P846" s="204"/>
      <c r="Q846" s="204"/>
      <c r="R846" s="170">
        <f>IF(OR((Q846-P846)=0,P846="",Q846=""),0,(ROUND((((Q846-P846)+1)/30),3)))</f>
        <v>0</v>
      </c>
      <c r="S846" s="171" t="str">
        <f>IF(O846="","",ROUND(SUM(O846)-SUM(R846),3))</f>
        <v/>
      </c>
      <c r="T846" s="172" t="str">
        <f>+IF(C846="","",IF(OR(S846="",S846&lt;=0,I846="",I846="NO",U846="",U846="NO",X846="NO"),"",ROUND(SUM(L846)/S846,3)))</f>
        <v/>
      </c>
      <c r="U846" s="35"/>
      <c r="V846" s="36"/>
      <c r="W846" s="205"/>
      <c r="X846" s="37" t="str">
        <f t="shared" ref="X846:X855" si="392">+IF(C846="","",IF(AND(H846&lt;&gt;"",I846="SI",J846&lt;&gt;"",J846&gt;0,K846&lt;&gt;"",K846&gt;0,S846&lt;&gt;"",S846&gt;0,U846="SI"),"SI","NO"))</f>
        <v/>
      </c>
      <c r="Z846" s="173"/>
      <c r="AB846" s="173"/>
      <c r="AD846" s="10" t="str">
        <f t="shared" ref="AD846:AD855" si="393">+IF($C$843="","",IF(C846="","",IF(L846&gt;=$H$6,"SI","NO")))</f>
        <v/>
      </c>
      <c r="AE846" s="92" t="str">
        <f>+IF(OR($T$846="",X846="",X846="NO"),"",L846)</f>
        <v/>
      </c>
      <c r="AF846" s="92" t="str">
        <f>+IF(AE846="","",L846/$S$846)</f>
        <v/>
      </c>
      <c r="AG846" s="174">
        <f>0.1+B843</f>
        <v>50.1</v>
      </c>
      <c r="AH846" s="27" t="s">
        <v>932</v>
      </c>
    </row>
    <row r="847" spans="1:34" s="27" customFormat="1" ht="12.75" x14ac:dyDescent="0.2">
      <c r="A847" s="27" t="str">
        <f t="shared" ref="A847:A855" si="394">+IF(T847="","",B847)</f>
        <v/>
      </c>
      <c r="B847" s="38">
        <v>2</v>
      </c>
      <c r="C847" s="39"/>
      <c r="D847" s="39"/>
      <c r="E847" s="46"/>
      <c r="F847" s="46"/>
      <c r="G847" s="39"/>
      <c r="H847" s="40"/>
      <c r="I847" s="41"/>
      <c r="J847" s="42"/>
      <c r="K847" s="43"/>
      <c r="L847" s="44">
        <f t="shared" ref="L847:L855" si="395">IF(OR(H847="",I847&lt;&gt;"SI",I847="NO",J847="",J847=0,K847="",K847=0,X847&lt;&gt;"SI"),0,J847*K847)</f>
        <v>0</v>
      </c>
      <c r="M847" s="206"/>
      <c r="N847" s="206"/>
      <c r="O847" s="207" t="str">
        <f t="shared" ref="O847:O855" si="396">IF(OR(H847="",I847&lt;&gt;"SI",I847="NO",J847="",J847=0,K847="",K847=0,,M847="",N847=""),"",ROUND((((N847-M847)+1)/30),3))</f>
        <v/>
      </c>
      <c r="P847" s="206"/>
      <c r="Q847" s="206"/>
      <c r="R847" s="177">
        <f t="shared" ref="R847:R855" si="397">IF(OR((Q847-P847)=0,P847="",Q847=""),0,(ROUND((((Q847-P847)+1)/30),3)))</f>
        <v>0</v>
      </c>
      <c r="S847" s="178" t="str">
        <f t="shared" ref="S847:S855" si="398">IF(O847="","",ROUND(SUM(O847)-SUM(R847),3))</f>
        <v/>
      </c>
      <c r="T847" s="208" t="str">
        <f t="shared" ref="T847:T855" si="399">+IF(C847="","",IF(OR(S847="",S847&lt;=0,I847="",I847="NO",U847="",U847="NO",X847="NO"),"",ROUND(SUM(L847)/S847,3)))</f>
        <v/>
      </c>
      <c r="U847" s="41"/>
      <c r="V847" s="209"/>
      <c r="W847" s="205"/>
      <c r="X847" s="37" t="str">
        <f t="shared" si="392"/>
        <v/>
      </c>
      <c r="Z847" s="173"/>
      <c r="AB847" s="173"/>
      <c r="AD847" s="10" t="str">
        <f t="shared" si="393"/>
        <v/>
      </c>
      <c r="AE847" s="92" t="str">
        <f>+IF(OR($T$847="",X847="",X847="NO"),"",L847)</f>
        <v/>
      </c>
      <c r="AF847" s="92" t="str">
        <f>+IF(AE847="","",L847/$S$847)</f>
        <v/>
      </c>
      <c r="AG847" s="174">
        <f>0.2+B843</f>
        <v>50.2</v>
      </c>
      <c r="AH847" s="27" t="s">
        <v>932</v>
      </c>
    </row>
    <row r="848" spans="1:34" s="27" customFormat="1" ht="12.75" x14ac:dyDescent="0.2">
      <c r="A848" s="27" t="str">
        <f t="shared" si="394"/>
        <v/>
      </c>
      <c r="B848" s="38">
        <v>3</v>
      </c>
      <c r="C848" s="39"/>
      <c r="D848" s="39"/>
      <c r="E848" s="46"/>
      <c r="F848" s="46"/>
      <c r="G848" s="39"/>
      <c r="H848" s="40"/>
      <c r="I848" s="41"/>
      <c r="J848" s="42"/>
      <c r="K848" s="43"/>
      <c r="L848" s="44">
        <f t="shared" si="395"/>
        <v>0</v>
      </c>
      <c r="M848" s="206"/>
      <c r="N848" s="206"/>
      <c r="O848" s="207" t="str">
        <f t="shared" si="396"/>
        <v/>
      </c>
      <c r="P848" s="206"/>
      <c r="Q848" s="206"/>
      <c r="R848" s="177">
        <f t="shared" si="397"/>
        <v>0</v>
      </c>
      <c r="S848" s="178" t="str">
        <f t="shared" si="398"/>
        <v/>
      </c>
      <c r="T848" s="208" t="str">
        <f t="shared" si="399"/>
        <v/>
      </c>
      <c r="U848" s="41"/>
      <c r="V848" s="45"/>
      <c r="W848" s="205"/>
      <c r="X848" s="37" t="str">
        <f t="shared" si="392"/>
        <v/>
      </c>
      <c r="Z848" s="173"/>
      <c r="AB848" s="173"/>
      <c r="AD848" s="10" t="str">
        <f t="shared" si="393"/>
        <v/>
      </c>
      <c r="AE848" s="92" t="str">
        <f>+IF(OR($T$848="",X848="",X848="NO"),"",L848)</f>
        <v/>
      </c>
      <c r="AF848" s="92" t="str">
        <f>+IF(AE848="","",L848/$S$848)</f>
        <v/>
      </c>
      <c r="AG848" s="174">
        <f>0.3+B843</f>
        <v>50.3</v>
      </c>
      <c r="AH848" s="27" t="s">
        <v>932</v>
      </c>
    </row>
    <row r="849" spans="1:34" s="27" customFormat="1" ht="12.75" x14ac:dyDescent="0.2">
      <c r="A849" s="27" t="str">
        <f t="shared" si="394"/>
        <v/>
      </c>
      <c r="B849" s="38">
        <v>4</v>
      </c>
      <c r="C849" s="39"/>
      <c r="D849" s="39"/>
      <c r="E849" s="46"/>
      <c r="F849" s="46"/>
      <c r="G849" s="39"/>
      <c r="H849" s="40"/>
      <c r="I849" s="41"/>
      <c r="J849" s="42"/>
      <c r="K849" s="43"/>
      <c r="L849" s="44">
        <f t="shared" si="395"/>
        <v>0</v>
      </c>
      <c r="M849" s="206"/>
      <c r="N849" s="206"/>
      <c r="O849" s="207" t="str">
        <f t="shared" si="396"/>
        <v/>
      </c>
      <c r="P849" s="206"/>
      <c r="Q849" s="206"/>
      <c r="R849" s="177">
        <f t="shared" si="397"/>
        <v>0</v>
      </c>
      <c r="S849" s="178" t="str">
        <f t="shared" si="398"/>
        <v/>
      </c>
      <c r="T849" s="208" t="str">
        <f t="shared" si="399"/>
        <v/>
      </c>
      <c r="U849" s="41"/>
      <c r="V849" s="45"/>
      <c r="W849" s="210"/>
      <c r="X849" s="37" t="str">
        <f t="shared" si="392"/>
        <v/>
      </c>
      <c r="Z849" s="180"/>
      <c r="AB849" s="173"/>
      <c r="AD849" s="10" t="str">
        <f t="shared" si="393"/>
        <v/>
      </c>
      <c r="AE849" s="92" t="str">
        <f>+IF(OR($T$849="",X849="",X849="NO"),"",L849)</f>
        <v/>
      </c>
      <c r="AF849" s="92" t="str">
        <f>+IF(AE849="","",L849/$S$849)</f>
        <v/>
      </c>
      <c r="AG849" s="174"/>
    </row>
    <row r="850" spans="1:34" s="27" customFormat="1" ht="12.75" x14ac:dyDescent="0.2">
      <c r="A850" s="27" t="str">
        <f t="shared" si="394"/>
        <v/>
      </c>
      <c r="B850" s="38">
        <v>5</v>
      </c>
      <c r="C850" s="39"/>
      <c r="D850" s="39"/>
      <c r="E850" s="46"/>
      <c r="F850" s="46"/>
      <c r="G850" s="39"/>
      <c r="H850" s="40"/>
      <c r="I850" s="41"/>
      <c r="J850" s="42"/>
      <c r="K850" s="43"/>
      <c r="L850" s="44">
        <f t="shared" si="395"/>
        <v>0</v>
      </c>
      <c r="M850" s="206"/>
      <c r="N850" s="206"/>
      <c r="O850" s="207" t="str">
        <f t="shared" si="396"/>
        <v/>
      </c>
      <c r="P850" s="206"/>
      <c r="Q850" s="206"/>
      <c r="R850" s="177">
        <f t="shared" si="397"/>
        <v>0</v>
      </c>
      <c r="S850" s="178" t="str">
        <f t="shared" si="398"/>
        <v/>
      </c>
      <c r="T850" s="208" t="str">
        <f t="shared" si="399"/>
        <v/>
      </c>
      <c r="U850" s="41"/>
      <c r="V850" s="45"/>
      <c r="X850" s="37" t="str">
        <f t="shared" si="392"/>
        <v/>
      </c>
      <c r="Z850" s="181"/>
      <c r="AB850" s="173"/>
      <c r="AD850" s="10" t="str">
        <f t="shared" si="393"/>
        <v/>
      </c>
      <c r="AE850" s="92" t="str">
        <f>+IF(OR($T$850="",X850="",X850="NO"),"",L850)</f>
        <v/>
      </c>
      <c r="AF850" s="92" t="str">
        <f>+IF(AE850="","",L850/$S$850)</f>
        <v/>
      </c>
      <c r="AG850" s="174"/>
    </row>
    <row r="851" spans="1:34" s="27" customFormat="1" ht="12.75" x14ac:dyDescent="0.2">
      <c r="A851" s="27" t="str">
        <f t="shared" si="394"/>
        <v/>
      </c>
      <c r="B851" s="38">
        <v>6</v>
      </c>
      <c r="C851" s="39"/>
      <c r="D851" s="39"/>
      <c r="E851" s="46"/>
      <c r="F851" s="46"/>
      <c r="G851" s="39"/>
      <c r="H851" s="40"/>
      <c r="I851" s="41"/>
      <c r="J851" s="42"/>
      <c r="K851" s="43"/>
      <c r="L851" s="44">
        <f t="shared" si="395"/>
        <v>0</v>
      </c>
      <c r="M851" s="206"/>
      <c r="N851" s="206"/>
      <c r="O851" s="207" t="str">
        <f t="shared" si="396"/>
        <v/>
      </c>
      <c r="P851" s="206"/>
      <c r="Q851" s="206"/>
      <c r="R851" s="177">
        <f t="shared" si="397"/>
        <v>0</v>
      </c>
      <c r="S851" s="178" t="str">
        <f t="shared" si="398"/>
        <v/>
      </c>
      <c r="T851" s="208" t="str">
        <f t="shared" si="399"/>
        <v/>
      </c>
      <c r="U851" s="41"/>
      <c r="V851" s="45"/>
      <c r="X851" s="37" t="str">
        <f t="shared" si="392"/>
        <v/>
      </c>
      <c r="Z851" s="181"/>
      <c r="AB851" s="173"/>
      <c r="AD851" s="10" t="str">
        <f t="shared" si="393"/>
        <v/>
      </c>
      <c r="AE851" s="92" t="str">
        <f>+IF(OR($T$851="",X851="",X851="NO"),"",L851)</f>
        <v/>
      </c>
      <c r="AF851" s="92" t="str">
        <f>+IF(AE851="","",L851/$S$851)</f>
        <v/>
      </c>
      <c r="AG851" s="174"/>
    </row>
    <row r="852" spans="1:34" s="27" customFormat="1" ht="12.75" x14ac:dyDescent="0.2">
      <c r="A852" s="27" t="str">
        <f t="shared" si="394"/>
        <v/>
      </c>
      <c r="B852" s="38">
        <v>7</v>
      </c>
      <c r="C852" s="39"/>
      <c r="D852" s="39"/>
      <c r="E852" s="46"/>
      <c r="F852" s="46"/>
      <c r="G852" s="39"/>
      <c r="H852" s="40"/>
      <c r="I852" s="41"/>
      <c r="J852" s="42"/>
      <c r="K852" s="43"/>
      <c r="L852" s="44">
        <f t="shared" si="395"/>
        <v>0</v>
      </c>
      <c r="M852" s="206"/>
      <c r="N852" s="206"/>
      <c r="O852" s="207" t="str">
        <f t="shared" si="396"/>
        <v/>
      </c>
      <c r="P852" s="206"/>
      <c r="Q852" s="206"/>
      <c r="R852" s="177">
        <f t="shared" si="397"/>
        <v>0</v>
      </c>
      <c r="S852" s="178" t="str">
        <f t="shared" si="398"/>
        <v/>
      </c>
      <c r="T852" s="208" t="str">
        <f t="shared" si="399"/>
        <v/>
      </c>
      <c r="U852" s="41"/>
      <c r="V852" s="45"/>
      <c r="X852" s="37" t="str">
        <f t="shared" si="392"/>
        <v/>
      </c>
      <c r="Z852" s="181"/>
      <c r="AB852" s="173"/>
      <c r="AD852" s="10" t="str">
        <f t="shared" si="393"/>
        <v/>
      </c>
      <c r="AE852" s="92" t="str">
        <f>+IF(OR($T$852="",X852="",X852="NO"),"",L852)</f>
        <v/>
      </c>
      <c r="AF852" s="92" t="str">
        <f>+IF(AE852="","",L852/$S$852)</f>
        <v/>
      </c>
      <c r="AG852" s="174"/>
    </row>
    <row r="853" spans="1:34" s="27" customFormat="1" ht="12.75" x14ac:dyDescent="0.2">
      <c r="A853" s="27" t="str">
        <f t="shared" si="394"/>
        <v/>
      </c>
      <c r="B853" s="38">
        <v>8</v>
      </c>
      <c r="C853" s="39"/>
      <c r="D853" s="39"/>
      <c r="E853" s="46"/>
      <c r="F853" s="46"/>
      <c r="G853" s="39"/>
      <c r="H853" s="40"/>
      <c r="I853" s="41"/>
      <c r="J853" s="42"/>
      <c r="K853" s="43"/>
      <c r="L853" s="44">
        <f t="shared" si="395"/>
        <v>0</v>
      </c>
      <c r="M853" s="206"/>
      <c r="N853" s="206"/>
      <c r="O853" s="207" t="str">
        <f t="shared" si="396"/>
        <v/>
      </c>
      <c r="P853" s="206"/>
      <c r="Q853" s="206"/>
      <c r="R853" s="177">
        <f t="shared" si="397"/>
        <v>0</v>
      </c>
      <c r="S853" s="178" t="str">
        <f t="shared" si="398"/>
        <v/>
      </c>
      <c r="T853" s="208" t="str">
        <f t="shared" si="399"/>
        <v/>
      </c>
      <c r="U853" s="41"/>
      <c r="V853" s="45"/>
      <c r="X853" s="37" t="str">
        <f t="shared" si="392"/>
        <v/>
      </c>
      <c r="Z853" s="181"/>
      <c r="AB853" s="173"/>
      <c r="AD853" s="10" t="str">
        <f t="shared" si="393"/>
        <v/>
      </c>
      <c r="AE853" s="92" t="str">
        <f>+IF(OR($T$853="",X853="",X853="NO"),"",L853)</f>
        <v/>
      </c>
      <c r="AF853" s="92" t="str">
        <f>+IF(AE853="","",L853/$S$853)</f>
        <v/>
      </c>
      <c r="AG853" s="174"/>
    </row>
    <row r="854" spans="1:34" s="27" customFormat="1" ht="12.75" x14ac:dyDescent="0.2">
      <c r="A854" s="27" t="str">
        <f t="shared" si="394"/>
        <v/>
      </c>
      <c r="B854" s="38">
        <v>9</v>
      </c>
      <c r="C854" s="39"/>
      <c r="D854" s="39"/>
      <c r="E854" s="46"/>
      <c r="F854" s="46"/>
      <c r="G854" s="39"/>
      <c r="H854" s="40"/>
      <c r="I854" s="41"/>
      <c r="J854" s="42"/>
      <c r="K854" s="43"/>
      <c r="L854" s="44">
        <f t="shared" si="395"/>
        <v>0</v>
      </c>
      <c r="M854" s="206"/>
      <c r="N854" s="206"/>
      <c r="O854" s="207" t="str">
        <f t="shared" si="396"/>
        <v/>
      </c>
      <c r="P854" s="206"/>
      <c r="Q854" s="206"/>
      <c r="R854" s="177">
        <f t="shared" si="397"/>
        <v>0</v>
      </c>
      <c r="S854" s="178" t="str">
        <f t="shared" si="398"/>
        <v/>
      </c>
      <c r="T854" s="208" t="str">
        <f t="shared" si="399"/>
        <v/>
      </c>
      <c r="U854" s="41"/>
      <c r="V854" s="45"/>
      <c r="X854" s="37" t="str">
        <f t="shared" si="392"/>
        <v/>
      </c>
      <c r="Z854" s="181"/>
      <c r="AB854" s="173"/>
      <c r="AD854" s="10" t="str">
        <f t="shared" si="393"/>
        <v/>
      </c>
      <c r="AE854" s="92" t="str">
        <f>+IF(OR($T$854="",X854="",X854="NO"),"",L854)</f>
        <v/>
      </c>
      <c r="AF854" s="92" t="str">
        <f>+IF(AE854="","",L854/$S$854)</f>
        <v/>
      </c>
      <c r="AG854" s="174"/>
    </row>
    <row r="855" spans="1:34" s="27" customFormat="1" ht="13.5" thickBot="1" x14ac:dyDescent="0.25">
      <c r="A855" s="27" t="str">
        <f t="shared" si="394"/>
        <v/>
      </c>
      <c r="B855" s="47">
        <v>10</v>
      </c>
      <c r="C855" s="48"/>
      <c r="D855" s="48"/>
      <c r="E855" s="49"/>
      <c r="F855" s="49"/>
      <c r="G855" s="48"/>
      <c r="H855" s="50"/>
      <c r="I855" s="51"/>
      <c r="J855" s="14"/>
      <c r="K855" s="52"/>
      <c r="L855" s="53">
        <f t="shared" si="395"/>
        <v>0</v>
      </c>
      <c r="M855" s="211"/>
      <c r="N855" s="211"/>
      <c r="O855" s="212" t="str">
        <f t="shared" si="396"/>
        <v/>
      </c>
      <c r="P855" s="211"/>
      <c r="Q855" s="211"/>
      <c r="R855" s="184">
        <f t="shared" si="397"/>
        <v>0</v>
      </c>
      <c r="S855" s="185" t="str">
        <f t="shared" si="398"/>
        <v/>
      </c>
      <c r="T855" s="213" t="str">
        <f t="shared" si="399"/>
        <v/>
      </c>
      <c r="U855" s="51"/>
      <c r="V855" s="54"/>
      <c r="X855" s="55" t="str">
        <f t="shared" si="392"/>
        <v/>
      </c>
      <c r="Z855" s="187"/>
      <c r="AB855" s="188"/>
      <c r="AD855" s="10" t="str">
        <f t="shared" si="393"/>
        <v/>
      </c>
      <c r="AE855" s="92" t="str">
        <f>+IF(OR($T$855="",X855="",X855="NO"),"",L855)</f>
        <v/>
      </c>
      <c r="AF855" s="92" t="str">
        <f>+IF(AE855="","",L855/$S$855)</f>
        <v/>
      </c>
    </row>
    <row r="856" spans="1:34" ht="36" customHeight="1" x14ac:dyDescent="0.2">
      <c r="B856" s="57" t="str">
        <f>"A"&amp;B843</f>
        <v>A50</v>
      </c>
      <c r="C856" s="382" t="str">
        <f>+$C$23</f>
        <v>¿CADA INTEGRANTE DE PROPONENTE PLURAL APORTAN CONTRATO?  (SI; NO; NA)</v>
      </c>
      <c r="D856" s="383"/>
      <c r="E856" s="383"/>
      <c r="F856" s="383"/>
      <c r="G856" s="383"/>
      <c r="H856" s="384"/>
      <c r="I856" s="217" t="str">
        <f>+IF(AG843="","",IF(AG843=1,"NA",IF(AND(AG843=3,(IF(COUNTIFS(C846:C855,AH846,AE846:AE855,"&gt;0")&gt;=1,1,0)+IF(COUNTIFS(C846:C855,AH847,AE846:AE855,"&gt;0")&gt;=1,1,0)+IF(COUNTIFS(C846:C855,AH848,AE846:AE855,"&gt;0")&gt;=1,1,0))&gt;=AG843),"SI",IF(AND(AG843=2,(IF(COUNTIFS(C846:C855,AH846,AE846:AE855,"&gt;0")&gt;=1,1,0)+IF(COUNTIFS(C846:C855,AH847,AE846:AE855,"&gt;0")&gt;=1,1,0))&gt;=AG843),"SI","NO"))))</f>
        <v/>
      </c>
      <c r="J856" s="59"/>
      <c r="K856" s="27"/>
      <c r="L856" s="27"/>
      <c r="M856" s="27"/>
      <c r="N856" s="27"/>
      <c r="O856" s="27"/>
      <c r="P856" s="385" t="str">
        <f>+$P$23</f>
        <v>FACTURACION MENSUAL TOTAL</v>
      </c>
      <c r="Q856" s="386"/>
      <c r="R856" s="386"/>
      <c r="S856" s="386"/>
      <c r="T856" s="189">
        <f>ROUND(SUM(T846:T855),3)</f>
        <v>0</v>
      </c>
      <c r="U856" s="60"/>
      <c r="V856" s="1"/>
      <c r="W856" s="61"/>
      <c r="X856" s="61"/>
      <c r="Y856" s="61"/>
      <c r="Z856" s="61"/>
      <c r="AA856" s="61"/>
      <c r="AB856" s="61"/>
    </row>
    <row r="857" spans="1:34" ht="38.25" customHeight="1" thickBot="1" x14ac:dyDescent="0.25">
      <c r="B857" s="57" t="str">
        <f>"B"&amp;B843</f>
        <v>B50</v>
      </c>
      <c r="C857" s="387" t="str">
        <f>+C840</f>
        <v>En caso de proponente plural: ¿De la totalidad de los contratos aportados por el proponente plural, el valor ejecutado de uno de ellos deberá ser igual o superior al 30% del P.O.?  (SI; NO; NA)</v>
      </c>
      <c r="D857" s="388"/>
      <c r="E857" s="388"/>
      <c r="F857" s="388"/>
      <c r="G857" s="389"/>
      <c r="H857" s="190">
        <f>+$H$6</f>
        <v>268.14722506074827</v>
      </c>
      <c r="I857" s="191" t="str">
        <f>+IF(AG843="","",IF(AG843=1,"NA",IF(AND(AG843&gt;1,(COUNTIFS(AD846:AD855,"SI",AE846:AE855,"&gt;0"))&gt;=1),"SI","NO")))</f>
        <v/>
      </c>
      <c r="J857" s="192"/>
      <c r="K857" s="193"/>
      <c r="L857" s="194"/>
      <c r="M857" s="194"/>
      <c r="N857" s="194"/>
      <c r="O857" s="194"/>
      <c r="P857" s="387" t="str">
        <f>+$P$24</f>
        <v>PROMEDIO FACTURACIÓN MENSUAL DEL PROPONENTE (PFMP)</v>
      </c>
      <c r="Q857" s="388"/>
      <c r="R857" s="388"/>
      <c r="S857" s="388"/>
      <c r="T857" s="195">
        <f t="array" ref="T857">IF(T856=0,0,ROUND(T856/(SUM(IF(FREQUENCY(A846:A855,A846:A855)&gt;0,1))),3))</f>
        <v>0</v>
      </c>
      <c r="U857" s="214"/>
      <c r="V857" s="1"/>
      <c r="W857" s="61"/>
      <c r="X857" s="61"/>
      <c r="Y857" s="61"/>
      <c r="Z857" s="61"/>
      <c r="AA857" s="61"/>
      <c r="AB857" s="61"/>
    </row>
    <row r="858" spans="1:34" ht="21" customHeight="1" thickBot="1" x14ac:dyDescent="0.25">
      <c r="B858" s="197" t="str">
        <f>"C"&amp;B843</f>
        <v>C50</v>
      </c>
      <c r="C858" s="349" t="str">
        <f>+$C$25</f>
        <v>PROPONENTE CUMPLE CON LAS ACTIVIDADES a) y b)? (SI; NO)</v>
      </c>
      <c r="D858" s="350"/>
      <c r="E858" s="350"/>
      <c r="F858" s="350"/>
      <c r="G858" s="350"/>
      <c r="H858" s="351"/>
      <c r="I858" s="198" t="str">
        <f>IF(C843="","",(IF(AND(COUNTIFS(X846:X855,"SI",Z846:Z855,"SI")&gt;=$Z$8,COUNTIFS(X846:X855,"SI",AB846:AB855,"SI")&gt;=$Z$8),"SI","NO")))</f>
        <v/>
      </c>
      <c r="J858" s="199"/>
      <c r="K858" s="200"/>
      <c r="L858" s="200"/>
      <c r="M858" s="200"/>
      <c r="N858" s="200"/>
      <c r="P858" s="378" t="str">
        <f>+$P$25</f>
        <v>VALOR PUNTAJE POR EXPERIENCIA DEL PROPONENTE</v>
      </c>
      <c r="Q858" s="379"/>
      <c r="R858" s="379"/>
      <c r="S858" s="380"/>
      <c r="T858" s="201" t="str">
        <f>IF(OR(C843="",'ASIGNACION DE PUNTAJES'!$C$5=""),"",VLOOKUP(B843,'ASIGNACION DE PUNTAJES'!$A$15:$G$69,7,FALSE))</f>
        <v/>
      </c>
      <c r="V858" s="202"/>
    </row>
    <row r="859" spans="1:34" ht="12" thickBot="1" x14ac:dyDescent="0.25"/>
    <row r="860" spans="1:34" ht="36.75" customHeight="1" thickBot="1" x14ac:dyDescent="0.25">
      <c r="B860" s="23">
        <f>1+B843</f>
        <v>51</v>
      </c>
      <c r="C860" s="336" t="s">
        <v>932</v>
      </c>
      <c r="D860" s="337"/>
      <c r="E860" s="337"/>
      <c r="F860" s="337"/>
      <c r="G860" s="337"/>
      <c r="H860" s="337"/>
      <c r="I860" s="338"/>
      <c r="J860" s="24" t="str">
        <f>+IF(C860="","","INTEGRANTES")</f>
        <v/>
      </c>
      <c r="K860" s="339" t="s">
        <v>932</v>
      </c>
      <c r="L860" s="339"/>
      <c r="M860" s="339"/>
      <c r="N860" s="339"/>
      <c r="O860" s="339"/>
      <c r="P860" s="339"/>
      <c r="Q860" s="339"/>
      <c r="R860" s="396" t="str">
        <f>+$R$10</f>
        <v>PROPONENTE No.</v>
      </c>
      <c r="S860" s="397"/>
      <c r="T860" s="25">
        <f>+B860</f>
        <v>51</v>
      </c>
      <c r="U860" s="161" t="str">
        <f>+$U$10</f>
        <v>PFMP</v>
      </c>
      <c r="V860" s="162">
        <f>IF(T874="",0,T874)</f>
        <v>0</v>
      </c>
      <c r="X860" s="325" t="s">
        <v>168</v>
      </c>
      <c r="Z860" s="163" t="str">
        <f>+$Z$10</f>
        <v>EXP. ESPECÍFICA 
A:</v>
      </c>
      <c r="AB860" s="163" t="str">
        <f>+$AB$10</f>
        <v>EXP. ESPECÍFICA 
B:</v>
      </c>
      <c r="AG860" s="1" t="s">
        <v>932</v>
      </c>
    </row>
    <row r="861" spans="1:34" ht="42" customHeight="1" x14ac:dyDescent="0.2">
      <c r="B861" s="331" t="str">
        <f>+$B$11</f>
        <v>ITEM</v>
      </c>
      <c r="C861" s="318" t="str">
        <f>+$C$11</f>
        <v>PROPONENTE 
/ 
INTEGRANTE OFERENTE PLURAL</v>
      </c>
      <c r="D861" s="333" t="str">
        <f>+$D$11</f>
        <v>INFORMACIÓN DEL CONTRATO</v>
      </c>
      <c r="E861" s="334"/>
      <c r="F861" s="334"/>
      <c r="G861" s="335"/>
      <c r="H861" s="318" t="str">
        <f>+H844</f>
        <v>CONSECUTIVO RUP</v>
      </c>
      <c r="I861" s="318" t="str">
        <f>+$I$11</f>
        <v>¿SE ENCUENTRA INSCRITO EN EL RUP Y CUMPLE CÓDIGOS UNSPSC?</v>
      </c>
      <c r="J861" s="318" t="str">
        <f>+$J$11</f>
        <v xml:space="preserve">VALOR EN RUP (SMMLV) </v>
      </c>
      <c r="K861" s="318" t="str">
        <f>+$K$11</f>
        <v>% PARTIC en el RUP</v>
      </c>
      <c r="L861" s="318" t="str">
        <f>+$L$11</f>
        <v>VALOR DEL CONTRATO TERMINADO (SMMLV) en el   RUP</v>
      </c>
      <c r="M861" s="318" t="str">
        <f>+$M$11</f>
        <v>FECHA DE INICIO</v>
      </c>
      <c r="N861" s="318" t="str">
        <f>+$N$11</f>
        <v>FECHA DE TERMINACION</v>
      </c>
      <c r="O861" s="318" t="str">
        <f>+$O$11</f>
        <v>PLAZO CONTRA-TO (Meses)</v>
      </c>
      <c r="P861" s="390" t="str">
        <f>+$P$11</f>
        <v>Tsusp i</v>
      </c>
      <c r="Q861" s="391"/>
      <c r="R861" s="392"/>
      <c r="S861" s="318" t="str">
        <f>+$S$11</f>
        <v>PLAZO i REAL</v>
      </c>
      <c r="T861" s="318" t="str">
        <f>+$T$11</f>
        <v>FACTURA-CION MENSUAL PROPO-NENTE</v>
      </c>
      <c r="U861" s="318" t="str">
        <f>+$U$11</f>
        <v>VALIDACIÓN DE LA EXPERIENCIA GENERAL
(SI/NO)</v>
      </c>
      <c r="V861" s="393" t="str">
        <f>+$V$11</f>
        <v>OBSERVACIONES</v>
      </c>
      <c r="X861" s="326"/>
      <c r="Z861" s="381" t="str">
        <f>+$Z$11</f>
        <v>Interventoria a la ejecución de obras relacionadas con Colocación de capas granulares (tales como bases y/o sub-bases granulares).</v>
      </c>
      <c r="AB861" s="381" t="str">
        <f>+$AB$11</f>
        <v>Interventoria a la Ejecución de obras de subdrenaje y/o drenaje, en carreteras.</v>
      </c>
    </row>
    <row r="862" spans="1:34" ht="38.25" customHeight="1" thickBot="1" x14ac:dyDescent="0.25">
      <c r="B862" s="395"/>
      <c r="C862" s="348"/>
      <c r="D862" s="165" t="str">
        <f>+$D$12</f>
        <v>ENTIDAD</v>
      </c>
      <c r="E862" s="165" t="str">
        <f>+$E$12</f>
        <v>No. DE CONTRATO</v>
      </c>
      <c r="F862" s="165" t="str">
        <f>+$F$12</f>
        <v>OBJETO</v>
      </c>
      <c r="G862" s="165" t="str">
        <f>+$G$12</f>
        <v>CONTRATISTA</v>
      </c>
      <c r="H862" s="348"/>
      <c r="I862" s="348"/>
      <c r="J862" s="348"/>
      <c r="K862" s="348"/>
      <c r="L862" s="348"/>
      <c r="M862" s="348"/>
      <c r="N862" s="348"/>
      <c r="O862" s="348"/>
      <c r="P862" s="166" t="str">
        <f>+P845</f>
        <v>Finicsuspi</v>
      </c>
      <c r="Q862" s="166" t="str">
        <f>+Q845</f>
        <v xml:space="preserve"> Ftermsuspi </v>
      </c>
      <c r="R862" s="166" t="str">
        <f>+R845</f>
        <v>Tsusp i (meses)</v>
      </c>
      <c r="S862" s="348"/>
      <c r="T862" s="348"/>
      <c r="U862" s="348"/>
      <c r="V862" s="394"/>
      <c r="X862" s="327"/>
      <c r="Z862" s="381"/>
      <c r="AB862" s="381"/>
    </row>
    <row r="863" spans="1:34" s="27" customFormat="1" ht="12.75" x14ac:dyDescent="0.2">
      <c r="A863" s="27" t="str">
        <f>+IF(T863="","",B863)</f>
        <v/>
      </c>
      <c r="B863" s="28">
        <v>1</v>
      </c>
      <c r="C863" s="86"/>
      <c r="D863" s="86"/>
      <c r="E863" s="87"/>
      <c r="F863" s="87"/>
      <c r="G863" s="86"/>
      <c r="H863" s="30"/>
      <c r="I863" s="31"/>
      <c r="J863" s="32"/>
      <c r="K863" s="33"/>
      <c r="L863" s="34">
        <f>IF(OR(H863="",I863&lt;&gt;"SI",I863="NO",J863="",J863=0,K863="",K863=0,X863&lt;&gt;"SI"),0,J863*K863)</f>
        <v>0</v>
      </c>
      <c r="M863" s="204"/>
      <c r="N863" s="204"/>
      <c r="O863" s="169" t="str">
        <f>IF(OR(H863="",I863&lt;&gt;"SI",I863="NO",J863="",J863=0,K863="",K863=0,,M863="",N863=""),"",ROUND((((N863-M863)+1)/30),3))</f>
        <v/>
      </c>
      <c r="P863" s="204"/>
      <c r="Q863" s="204"/>
      <c r="R863" s="170">
        <f>IF(OR((Q863-P863)=0,P863="",Q863=""),0,(ROUND((((Q863-P863)+1)/30),3)))</f>
        <v>0</v>
      </c>
      <c r="S863" s="171" t="str">
        <f>IF(O863="","",ROUND(SUM(O863)-SUM(R863),3))</f>
        <v/>
      </c>
      <c r="T863" s="172" t="str">
        <f>+IF(C863="","",IF(OR(S863="",S863&lt;=0,I863="",I863="NO",U863="",U863="NO",X863="NO"),"",ROUND(SUM(L863)/S863,3)))</f>
        <v/>
      </c>
      <c r="U863" s="35"/>
      <c r="V863" s="36"/>
      <c r="W863" s="205"/>
      <c r="X863" s="37" t="str">
        <f t="shared" ref="X863:X872" si="400">+IF(C863="","",IF(AND(H863&lt;&gt;"",I863="SI",J863&lt;&gt;"",J863&gt;0,K863&lt;&gt;"",K863&gt;0,S863&lt;&gt;"",S863&gt;0,U863="SI"),"SI","NO"))</f>
        <v/>
      </c>
      <c r="Z863" s="173"/>
      <c r="AB863" s="173"/>
      <c r="AD863" s="10" t="str">
        <f t="shared" ref="AD863:AD872" si="401">+IF($C$860="","",IF(C863="","",IF(L863&gt;=$H$6,"SI","NO")))</f>
        <v/>
      </c>
      <c r="AE863" s="92" t="str">
        <f>+IF(OR($T$863="",X863="",X863="NO"),"",L863)</f>
        <v/>
      </c>
      <c r="AF863" s="92" t="str">
        <f>+IF(AE863="","",L863/$S$863)</f>
        <v/>
      </c>
      <c r="AG863" s="174">
        <f>0.1+B860</f>
        <v>51.1</v>
      </c>
      <c r="AH863" s="27" t="s">
        <v>932</v>
      </c>
    </row>
    <row r="864" spans="1:34" s="27" customFormat="1" ht="12.75" x14ac:dyDescent="0.2">
      <c r="A864" s="27" t="str">
        <f t="shared" ref="A864:A872" si="402">+IF(T864="","",B864)</f>
        <v/>
      </c>
      <c r="B864" s="38">
        <v>2</v>
      </c>
      <c r="C864" s="39"/>
      <c r="D864" s="39"/>
      <c r="E864" s="46"/>
      <c r="F864" s="46"/>
      <c r="G864" s="39"/>
      <c r="H864" s="40"/>
      <c r="I864" s="41"/>
      <c r="J864" s="42"/>
      <c r="K864" s="43"/>
      <c r="L864" s="44">
        <f t="shared" ref="L864:L872" si="403">IF(OR(H864="",I864&lt;&gt;"SI",I864="NO",J864="",J864=0,K864="",K864=0,X864&lt;&gt;"SI"),0,J864*K864)</f>
        <v>0</v>
      </c>
      <c r="M864" s="206"/>
      <c r="N864" s="206"/>
      <c r="O864" s="207" t="str">
        <f t="shared" ref="O864:O872" si="404">IF(OR(H864="",I864&lt;&gt;"SI",I864="NO",J864="",J864=0,K864="",K864=0,,M864="",N864=""),"",ROUND((((N864-M864)+1)/30),3))</f>
        <v/>
      </c>
      <c r="P864" s="206"/>
      <c r="Q864" s="206"/>
      <c r="R864" s="177">
        <f t="shared" ref="R864:R872" si="405">IF(OR((Q864-P864)=0,P864="",Q864=""),0,(ROUND((((Q864-P864)+1)/30),3)))</f>
        <v>0</v>
      </c>
      <c r="S864" s="178" t="str">
        <f t="shared" ref="S864:S872" si="406">IF(O864="","",ROUND(SUM(O864)-SUM(R864),3))</f>
        <v/>
      </c>
      <c r="T864" s="208" t="str">
        <f t="shared" ref="T864:T872" si="407">+IF(C864="","",IF(OR(S864="",S864&lt;=0,I864="",I864="NO",U864="",U864="NO",X864="NO"),"",ROUND(SUM(L864)/S864,3)))</f>
        <v/>
      </c>
      <c r="U864" s="41"/>
      <c r="V864" s="209"/>
      <c r="W864" s="205"/>
      <c r="X864" s="37" t="str">
        <f t="shared" si="400"/>
        <v/>
      </c>
      <c r="Z864" s="173"/>
      <c r="AB864" s="173"/>
      <c r="AD864" s="10" t="str">
        <f t="shared" si="401"/>
        <v/>
      </c>
      <c r="AE864" s="92" t="str">
        <f>+IF(OR($T$864="",X864="",X864="NO"),"",L864)</f>
        <v/>
      </c>
      <c r="AF864" s="92" t="str">
        <f>+IF(AE864="","",L864/$S$864)</f>
        <v/>
      </c>
      <c r="AG864" s="174">
        <f>0.2+B860</f>
        <v>51.2</v>
      </c>
      <c r="AH864" s="27" t="s">
        <v>932</v>
      </c>
    </row>
    <row r="865" spans="1:34" s="27" customFormat="1" ht="12.75" x14ac:dyDescent="0.2">
      <c r="A865" s="27" t="str">
        <f t="shared" si="402"/>
        <v/>
      </c>
      <c r="B865" s="38">
        <v>3</v>
      </c>
      <c r="C865" s="39"/>
      <c r="D865" s="39"/>
      <c r="E865" s="46"/>
      <c r="F865" s="46"/>
      <c r="G865" s="39"/>
      <c r="H865" s="40"/>
      <c r="I865" s="41"/>
      <c r="J865" s="42"/>
      <c r="K865" s="43"/>
      <c r="L865" s="44">
        <f t="shared" si="403"/>
        <v>0</v>
      </c>
      <c r="M865" s="206"/>
      <c r="N865" s="206"/>
      <c r="O865" s="207" t="str">
        <f t="shared" si="404"/>
        <v/>
      </c>
      <c r="P865" s="206"/>
      <c r="Q865" s="206"/>
      <c r="R865" s="177">
        <f t="shared" si="405"/>
        <v>0</v>
      </c>
      <c r="S865" s="178" t="str">
        <f t="shared" si="406"/>
        <v/>
      </c>
      <c r="T865" s="208" t="str">
        <f t="shared" si="407"/>
        <v/>
      </c>
      <c r="U865" s="41"/>
      <c r="V865" s="45"/>
      <c r="W865" s="205"/>
      <c r="X865" s="37" t="str">
        <f t="shared" si="400"/>
        <v/>
      </c>
      <c r="Z865" s="173"/>
      <c r="AB865" s="173"/>
      <c r="AD865" s="10" t="str">
        <f t="shared" si="401"/>
        <v/>
      </c>
      <c r="AE865" s="92" t="str">
        <f>+IF(OR($T$865="",X865="",X865="NO"),"",L865)</f>
        <v/>
      </c>
      <c r="AF865" s="92" t="str">
        <f>+IF(AE865="","",L865/$S$865)</f>
        <v/>
      </c>
      <c r="AG865" s="174">
        <f>0.3+B860</f>
        <v>51.3</v>
      </c>
      <c r="AH865" s="27" t="s">
        <v>932</v>
      </c>
    </row>
    <row r="866" spans="1:34" s="27" customFormat="1" ht="12.75" x14ac:dyDescent="0.2">
      <c r="A866" s="27" t="str">
        <f t="shared" si="402"/>
        <v/>
      </c>
      <c r="B866" s="38">
        <v>4</v>
      </c>
      <c r="C866" s="39"/>
      <c r="D866" s="39"/>
      <c r="E866" s="46"/>
      <c r="F866" s="46"/>
      <c r="G866" s="39"/>
      <c r="H866" s="40"/>
      <c r="I866" s="41"/>
      <c r="J866" s="42"/>
      <c r="K866" s="43"/>
      <c r="L866" s="44">
        <f t="shared" si="403"/>
        <v>0</v>
      </c>
      <c r="M866" s="206"/>
      <c r="N866" s="206"/>
      <c r="O866" s="207" t="str">
        <f t="shared" si="404"/>
        <v/>
      </c>
      <c r="P866" s="206"/>
      <c r="Q866" s="206"/>
      <c r="R866" s="177">
        <f t="shared" si="405"/>
        <v>0</v>
      </c>
      <c r="S866" s="178" t="str">
        <f t="shared" si="406"/>
        <v/>
      </c>
      <c r="T866" s="208" t="str">
        <f t="shared" si="407"/>
        <v/>
      </c>
      <c r="U866" s="41"/>
      <c r="V866" s="45"/>
      <c r="W866" s="210"/>
      <c r="X866" s="37" t="str">
        <f t="shared" si="400"/>
        <v/>
      </c>
      <c r="Z866" s="180"/>
      <c r="AB866" s="173"/>
      <c r="AD866" s="10" t="str">
        <f t="shared" si="401"/>
        <v/>
      </c>
      <c r="AE866" s="92" t="str">
        <f>+IF(OR($T$866="",X866="",X866="NO"),"",L866)</f>
        <v/>
      </c>
      <c r="AF866" s="92" t="str">
        <f>+IF(AE866="","",L866/$S$866)</f>
        <v/>
      </c>
      <c r="AG866" s="174"/>
    </row>
    <row r="867" spans="1:34" s="27" customFormat="1" ht="12.75" x14ac:dyDescent="0.2">
      <c r="A867" s="27" t="str">
        <f t="shared" si="402"/>
        <v/>
      </c>
      <c r="B867" s="38">
        <v>5</v>
      </c>
      <c r="C867" s="39"/>
      <c r="D867" s="39"/>
      <c r="E867" s="46"/>
      <c r="F867" s="46"/>
      <c r="G867" s="39"/>
      <c r="H867" s="40"/>
      <c r="I867" s="41"/>
      <c r="J867" s="42"/>
      <c r="K867" s="43"/>
      <c r="L867" s="44">
        <f t="shared" si="403"/>
        <v>0</v>
      </c>
      <c r="M867" s="206"/>
      <c r="N867" s="206"/>
      <c r="O867" s="207" t="str">
        <f t="shared" si="404"/>
        <v/>
      </c>
      <c r="P867" s="206"/>
      <c r="Q867" s="206"/>
      <c r="R867" s="177">
        <f t="shared" si="405"/>
        <v>0</v>
      </c>
      <c r="S867" s="178" t="str">
        <f t="shared" si="406"/>
        <v/>
      </c>
      <c r="T867" s="208" t="str">
        <f t="shared" si="407"/>
        <v/>
      </c>
      <c r="U867" s="41"/>
      <c r="V867" s="45"/>
      <c r="X867" s="37" t="str">
        <f t="shared" si="400"/>
        <v/>
      </c>
      <c r="Z867" s="181"/>
      <c r="AB867" s="173"/>
      <c r="AD867" s="10" t="str">
        <f t="shared" si="401"/>
        <v/>
      </c>
      <c r="AE867" s="92" t="str">
        <f>+IF(OR($T$867="",X867="",X867="NO"),"",L867)</f>
        <v/>
      </c>
      <c r="AF867" s="92" t="str">
        <f>+IF(AE867="","",L867/$S$867)</f>
        <v/>
      </c>
      <c r="AG867" s="174"/>
    </row>
    <row r="868" spans="1:34" s="27" customFormat="1" ht="12.75" x14ac:dyDescent="0.2">
      <c r="A868" s="27" t="str">
        <f t="shared" si="402"/>
        <v/>
      </c>
      <c r="B868" s="38">
        <v>6</v>
      </c>
      <c r="C868" s="39"/>
      <c r="D868" s="39"/>
      <c r="E868" s="46"/>
      <c r="F868" s="46"/>
      <c r="G868" s="39"/>
      <c r="H868" s="40"/>
      <c r="I868" s="41"/>
      <c r="J868" s="42"/>
      <c r="K868" s="43"/>
      <c r="L868" s="44">
        <f t="shared" si="403"/>
        <v>0</v>
      </c>
      <c r="M868" s="206"/>
      <c r="N868" s="206"/>
      <c r="O868" s="207" t="str">
        <f t="shared" si="404"/>
        <v/>
      </c>
      <c r="P868" s="206"/>
      <c r="Q868" s="206"/>
      <c r="R868" s="177">
        <f t="shared" si="405"/>
        <v>0</v>
      </c>
      <c r="S868" s="178" t="str">
        <f t="shared" si="406"/>
        <v/>
      </c>
      <c r="T868" s="208" t="str">
        <f t="shared" si="407"/>
        <v/>
      </c>
      <c r="U868" s="41"/>
      <c r="V868" s="45"/>
      <c r="X868" s="37" t="str">
        <f t="shared" si="400"/>
        <v/>
      </c>
      <c r="Z868" s="181"/>
      <c r="AB868" s="173"/>
      <c r="AD868" s="10" t="str">
        <f t="shared" si="401"/>
        <v/>
      </c>
      <c r="AE868" s="92" t="str">
        <f>+IF(OR($T$868="",X868="",X868="NO"),"",L868)</f>
        <v/>
      </c>
      <c r="AF868" s="92" t="str">
        <f>+IF(AE868="","",L868/$S$868)</f>
        <v/>
      </c>
      <c r="AG868" s="174"/>
    </row>
    <row r="869" spans="1:34" s="27" customFormat="1" ht="12.75" x14ac:dyDescent="0.2">
      <c r="A869" s="27" t="str">
        <f t="shared" si="402"/>
        <v/>
      </c>
      <c r="B869" s="38">
        <v>7</v>
      </c>
      <c r="C869" s="39"/>
      <c r="D869" s="39"/>
      <c r="E869" s="46"/>
      <c r="F869" s="46"/>
      <c r="G869" s="39"/>
      <c r="H869" s="40"/>
      <c r="I869" s="41"/>
      <c r="J869" s="42"/>
      <c r="K869" s="43"/>
      <c r="L869" s="44">
        <f t="shared" si="403"/>
        <v>0</v>
      </c>
      <c r="M869" s="206"/>
      <c r="N869" s="206"/>
      <c r="O869" s="207" t="str">
        <f t="shared" si="404"/>
        <v/>
      </c>
      <c r="P869" s="206"/>
      <c r="Q869" s="206"/>
      <c r="R869" s="177">
        <f t="shared" si="405"/>
        <v>0</v>
      </c>
      <c r="S869" s="178" t="str">
        <f t="shared" si="406"/>
        <v/>
      </c>
      <c r="T869" s="208" t="str">
        <f t="shared" si="407"/>
        <v/>
      </c>
      <c r="U869" s="41"/>
      <c r="V869" s="45"/>
      <c r="X869" s="37" t="str">
        <f t="shared" si="400"/>
        <v/>
      </c>
      <c r="Z869" s="181"/>
      <c r="AB869" s="173"/>
      <c r="AD869" s="10" t="str">
        <f t="shared" si="401"/>
        <v/>
      </c>
      <c r="AE869" s="92" t="str">
        <f>+IF(OR($T$869="",X869="",X869="NO"),"",L869)</f>
        <v/>
      </c>
      <c r="AF869" s="92" t="str">
        <f>+IF(AE869="","",L869/$S$869)</f>
        <v/>
      </c>
      <c r="AG869" s="174"/>
    </row>
    <row r="870" spans="1:34" s="27" customFormat="1" ht="12.75" x14ac:dyDescent="0.2">
      <c r="A870" s="27" t="str">
        <f t="shared" si="402"/>
        <v/>
      </c>
      <c r="B870" s="38">
        <v>8</v>
      </c>
      <c r="C870" s="39"/>
      <c r="D870" s="39"/>
      <c r="E870" s="46"/>
      <c r="F870" s="46"/>
      <c r="G870" s="39"/>
      <c r="H870" s="40"/>
      <c r="I870" s="41"/>
      <c r="J870" s="42"/>
      <c r="K870" s="43"/>
      <c r="L870" s="44">
        <f t="shared" si="403"/>
        <v>0</v>
      </c>
      <c r="M870" s="206"/>
      <c r="N870" s="206"/>
      <c r="O870" s="207" t="str">
        <f t="shared" si="404"/>
        <v/>
      </c>
      <c r="P870" s="206"/>
      <c r="Q870" s="206"/>
      <c r="R870" s="177">
        <f t="shared" si="405"/>
        <v>0</v>
      </c>
      <c r="S870" s="178" t="str">
        <f t="shared" si="406"/>
        <v/>
      </c>
      <c r="T870" s="208" t="str">
        <f t="shared" si="407"/>
        <v/>
      </c>
      <c r="U870" s="41"/>
      <c r="V870" s="45"/>
      <c r="X870" s="37" t="str">
        <f t="shared" si="400"/>
        <v/>
      </c>
      <c r="Z870" s="181"/>
      <c r="AB870" s="173"/>
      <c r="AD870" s="10" t="str">
        <f t="shared" si="401"/>
        <v/>
      </c>
      <c r="AE870" s="92" t="str">
        <f>+IF(OR($T$870="",X870="",X870="NO"),"",L870)</f>
        <v/>
      </c>
      <c r="AF870" s="92" t="str">
        <f>+IF(AE870="","",L870/$S$870)</f>
        <v/>
      </c>
      <c r="AG870" s="174"/>
    </row>
    <row r="871" spans="1:34" s="27" customFormat="1" ht="12.75" x14ac:dyDescent="0.2">
      <c r="A871" s="27" t="str">
        <f t="shared" si="402"/>
        <v/>
      </c>
      <c r="B871" s="38">
        <v>9</v>
      </c>
      <c r="C871" s="39"/>
      <c r="D871" s="39"/>
      <c r="E871" s="46"/>
      <c r="F871" s="46"/>
      <c r="G871" s="39"/>
      <c r="H871" s="40"/>
      <c r="I871" s="41"/>
      <c r="J871" s="42"/>
      <c r="K871" s="43"/>
      <c r="L871" s="44">
        <f t="shared" si="403"/>
        <v>0</v>
      </c>
      <c r="M871" s="206"/>
      <c r="N871" s="206"/>
      <c r="O871" s="207" t="str">
        <f t="shared" si="404"/>
        <v/>
      </c>
      <c r="P871" s="206"/>
      <c r="Q871" s="206"/>
      <c r="R871" s="177">
        <f t="shared" si="405"/>
        <v>0</v>
      </c>
      <c r="S871" s="178" t="str">
        <f t="shared" si="406"/>
        <v/>
      </c>
      <c r="T871" s="208" t="str">
        <f t="shared" si="407"/>
        <v/>
      </c>
      <c r="U871" s="41"/>
      <c r="V871" s="45"/>
      <c r="X871" s="37" t="str">
        <f t="shared" si="400"/>
        <v/>
      </c>
      <c r="Z871" s="181"/>
      <c r="AB871" s="173"/>
      <c r="AD871" s="10" t="str">
        <f t="shared" si="401"/>
        <v/>
      </c>
      <c r="AE871" s="92" t="str">
        <f>+IF(OR($T$871="",X871="",X871="NO"),"",L871)</f>
        <v/>
      </c>
      <c r="AF871" s="92" t="str">
        <f>+IF(AE871="","",L871/$S$871)</f>
        <v/>
      </c>
      <c r="AG871" s="174"/>
    </row>
    <row r="872" spans="1:34" s="27" customFormat="1" ht="13.5" thickBot="1" x14ac:dyDescent="0.25">
      <c r="A872" s="27" t="str">
        <f t="shared" si="402"/>
        <v/>
      </c>
      <c r="B872" s="47">
        <v>10</v>
      </c>
      <c r="C872" s="48"/>
      <c r="D872" s="48"/>
      <c r="E872" s="49"/>
      <c r="F872" s="49"/>
      <c r="G872" s="48"/>
      <c r="H872" s="50"/>
      <c r="I872" s="51"/>
      <c r="J872" s="14"/>
      <c r="K872" s="52"/>
      <c r="L872" s="53">
        <f t="shared" si="403"/>
        <v>0</v>
      </c>
      <c r="M872" s="211"/>
      <c r="N872" s="211"/>
      <c r="O872" s="212" t="str">
        <f t="shared" si="404"/>
        <v/>
      </c>
      <c r="P872" s="211"/>
      <c r="Q872" s="211"/>
      <c r="R872" s="184">
        <f t="shared" si="405"/>
        <v>0</v>
      </c>
      <c r="S872" s="185" t="str">
        <f t="shared" si="406"/>
        <v/>
      </c>
      <c r="T872" s="213" t="str">
        <f t="shared" si="407"/>
        <v/>
      </c>
      <c r="U872" s="51"/>
      <c r="V872" s="54"/>
      <c r="X872" s="55" t="str">
        <f t="shared" si="400"/>
        <v/>
      </c>
      <c r="Z872" s="187"/>
      <c r="AB872" s="188"/>
      <c r="AD872" s="10" t="str">
        <f t="shared" si="401"/>
        <v/>
      </c>
      <c r="AE872" s="92" t="str">
        <f>+IF(OR($T$872="",X872="",X872="NO"),"",L872)</f>
        <v/>
      </c>
      <c r="AF872" s="92" t="str">
        <f>+IF(AE872="","",L872/$S$872)</f>
        <v/>
      </c>
    </row>
    <row r="873" spans="1:34" ht="36" customHeight="1" x14ac:dyDescent="0.2">
      <c r="B873" s="57" t="str">
        <f>"A"&amp;B860</f>
        <v>A51</v>
      </c>
      <c r="C873" s="382" t="str">
        <f>+$C$23</f>
        <v>¿CADA INTEGRANTE DE PROPONENTE PLURAL APORTAN CONTRATO?  (SI; NO; NA)</v>
      </c>
      <c r="D873" s="383"/>
      <c r="E873" s="383"/>
      <c r="F873" s="383"/>
      <c r="G873" s="383"/>
      <c r="H873" s="384"/>
      <c r="I873" s="217" t="str">
        <f>+IF(AG860="","",IF(AG860=1,"NA",IF(AND(AG860=3,(IF(COUNTIFS(C863:C872,AH863,AE863:AE872,"&gt;0")&gt;=1,1,0)+IF(COUNTIFS(C863:C872,AH864,AE863:AE872,"&gt;0")&gt;=1,1,0)+IF(COUNTIFS(C863:C872,AH865,AE863:AE872,"&gt;0")&gt;=1,1,0))&gt;=AG860),"SI",IF(AND(AG860=2,(IF(COUNTIFS(C863:C872,AH863,AE863:AE872,"&gt;0")&gt;=1,1,0)+IF(COUNTIFS(C863:C872,AH864,AE863:AE872,"&gt;0")&gt;=1,1,0))&gt;=AG860),"SI","NO"))))</f>
        <v/>
      </c>
      <c r="J873" s="59"/>
      <c r="K873" s="27"/>
      <c r="L873" s="27"/>
      <c r="M873" s="27"/>
      <c r="N873" s="27"/>
      <c r="O873" s="27"/>
      <c r="P873" s="385" t="str">
        <f>+$P$23</f>
        <v>FACTURACION MENSUAL TOTAL</v>
      </c>
      <c r="Q873" s="386"/>
      <c r="R873" s="386"/>
      <c r="S873" s="386"/>
      <c r="T873" s="189">
        <f>ROUND(SUM(T863:T872),3)</f>
        <v>0</v>
      </c>
      <c r="U873" s="60"/>
      <c r="V873" s="1"/>
      <c r="W873" s="61"/>
      <c r="X873" s="61"/>
      <c r="Y873" s="61"/>
      <c r="Z873" s="61"/>
      <c r="AA873" s="61"/>
      <c r="AB873" s="61"/>
    </row>
    <row r="874" spans="1:34" ht="38.25" customHeight="1" thickBot="1" x14ac:dyDescent="0.25">
      <c r="B874" s="57" t="str">
        <f>"B"&amp;B860</f>
        <v>B51</v>
      </c>
      <c r="C874" s="387" t="str">
        <f>+C857</f>
        <v>En caso de proponente plural: ¿De la totalidad de los contratos aportados por el proponente plural, el valor ejecutado de uno de ellos deberá ser igual o superior al 30% del P.O.?  (SI; NO; NA)</v>
      </c>
      <c r="D874" s="388"/>
      <c r="E874" s="388"/>
      <c r="F874" s="388"/>
      <c r="G874" s="389"/>
      <c r="H874" s="190">
        <f>+$H$6</f>
        <v>268.14722506074827</v>
      </c>
      <c r="I874" s="191" t="str">
        <f>+IF(AG860="","",IF(AG860=1,"NA",IF(AND(AG860&gt;1,(COUNTIFS(AD863:AD872,"SI",AE863:AE872,"&gt;0"))&gt;=1),"SI","NO")))</f>
        <v/>
      </c>
      <c r="J874" s="192"/>
      <c r="K874" s="193"/>
      <c r="L874" s="194"/>
      <c r="M874" s="194"/>
      <c r="N874" s="194"/>
      <c r="O874" s="194"/>
      <c r="P874" s="387" t="str">
        <f>+$P$24</f>
        <v>PROMEDIO FACTURACIÓN MENSUAL DEL PROPONENTE (PFMP)</v>
      </c>
      <c r="Q874" s="388"/>
      <c r="R874" s="388"/>
      <c r="S874" s="388"/>
      <c r="T874" s="195">
        <f t="array" ref="T874">IF(T873=0,0,ROUND(T873/(SUM(IF(FREQUENCY(A863:A872,A863:A872)&gt;0,1))),3))</f>
        <v>0</v>
      </c>
      <c r="U874" s="214"/>
      <c r="V874" s="1"/>
      <c r="W874" s="61"/>
      <c r="X874" s="61"/>
      <c r="Y874" s="61"/>
      <c r="Z874" s="61"/>
      <c r="AA874" s="61"/>
      <c r="AB874" s="61"/>
    </row>
    <row r="875" spans="1:34" ht="21" customHeight="1" thickBot="1" x14ac:dyDescent="0.25">
      <c r="B875" s="197" t="str">
        <f>"C"&amp;B860</f>
        <v>C51</v>
      </c>
      <c r="C875" s="349" t="str">
        <f>+$C$25</f>
        <v>PROPONENTE CUMPLE CON LAS ACTIVIDADES a) y b)? (SI; NO)</v>
      </c>
      <c r="D875" s="350"/>
      <c r="E875" s="350"/>
      <c r="F875" s="350"/>
      <c r="G875" s="350"/>
      <c r="H875" s="351"/>
      <c r="I875" s="198" t="str">
        <f>IF(C860="","",(IF(AND(COUNTIFS(X863:X872,"SI",Z863:Z872,"SI")&gt;=$Z$8,COUNTIFS(X863:X872,"SI",AB863:AB872,"SI")&gt;=$Z$8),"SI","NO")))</f>
        <v/>
      </c>
      <c r="J875" s="199"/>
      <c r="K875" s="200"/>
      <c r="L875" s="200"/>
      <c r="M875" s="200"/>
      <c r="N875" s="200"/>
      <c r="P875" s="378" t="str">
        <f>+$P$25</f>
        <v>VALOR PUNTAJE POR EXPERIENCIA DEL PROPONENTE</v>
      </c>
      <c r="Q875" s="379"/>
      <c r="R875" s="379"/>
      <c r="S875" s="380"/>
      <c r="T875" s="201" t="str">
        <f>IF(OR(C860="",'ASIGNACION DE PUNTAJES'!$C$5=""),"",VLOOKUP(B860,'ASIGNACION DE PUNTAJES'!$A$15:$G$69,7,FALSE))</f>
        <v/>
      </c>
      <c r="V875" s="202"/>
    </row>
    <row r="876" spans="1:34" ht="12" thickBot="1" x14ac:dyDescent="0.25"/>
    <row r="877" spans="1:34" ht="36.75" customHeight="1" thickBot="1" x14ac:dyDescent="0.25">
      <c r="B877" s="23">
        <f>1+B860</f>
        <v>52</v>
      </c>
      <c r="C877" s="336" t="s">
        <v>932</v>
      </c>
      <c r="D877" s="337"/>
      <c r="E877" s="337"/>
      <c r="F877" s="337"/>
      <c r="G877" s="337"/>
      <c r="H877" s="337"/>
      <c r="I877" s="338"/>
      <c r="J877" s="24" t="str">
        <f>+IF(C877="","","INTEGRANTES")</f>
        <v/>
      </c>
      <c r="K877" s="339" t="s">
        <v>932</v>
      </c>
      <c r="L877" s="339"/>
      <c r="M877" s="339"/>
      <c r="N877" s="339"/>
      <c r="O877" s="339"/>
      <c r="P877" s="339"/>
      <c r="Q877" s="339"/>
      <c r="R877" s="396" t="str">
        <f>+$R$10</f>
        <v>PROPONENTE No.</v>
      </c>
      <c r="S877" s="397"/>
      <c r="T877" s="25">
        <f>+B877</f>
        <v>52</v>
      </c>
      <c r="U877" s="161" t="str">
        <f>+$U$10</f>
        <v>PFMP</v>
      </c>
      <c r="V877" s="162">
        <f>IF(T891="",0,T891)</f>
        <v>0</v>
      </c>
      <c r="X877" s="325" t="s">
        <v>168</v>
      </c>
      <c r="Z877" s="163" t="str">
        <f>+$Z$10</f>
        <v>EXP. ESPECÍFICA 
A:</v>
      </c>
      <c r="AB877" s="163" t="str">
        <f>+$AB$10</f>
        <v>EXP. ESPECÍFICA 
B:</v>
      </c>
      <c r="AG877" s="1" t="s">
        <v>932</v>
      </c>
    </row>
    <row r="878" spans="1:34" ht="42" customHeight="1" x14ac:dyDescent="0.2">
      <c r="B878" s="331" t="str">
        <f>+$B$11</f>
        <v>ITEM</v>
      </c>
      <c r="C878" s="318" t="str">
        <f>+$C$11</f>
        <v>PROPONENTE 
/ 
INTEGRANTE OFERENTE PLURAL</v>
      </c>
      <c r="D878" s="333" t="str">
        <f>+$D$11</f>
        <v>INFORMACIÓN DEL CONTRATO</v>
      </c>
      <c r="E878" s="334"/>
      <c r="F878" s="334"/>
      <c r="G878" s="335"/>
      <c r="H878" s="318" t="str">
        <f>+H861</f>
        <v>CONSECUTIVO RUP</v>
      </c>
      <c r="I878" s="318" t="str">
        <f>+$I$11</f>
        <v>¿SE ENCUENTRA INSCRITO EN EL RUP Y CUMPLE CÓDIGOS UNSPSC?</v>
      </c>
      <c r="J878" s="318" t="str">
        <f>+$J$11</f>
        <v xml:space="preserve">VALOR EN RUP (SMMLV) </v>
      </c>
      <c r="K878" s="318" t="str">
        <f>+$K$11</f>
        <v>% PARTIC en el RUP</v>
      </c>
      <c r="L878" s="318" t="str">
        <f>+$L$11</f>
        <v>VALOR DEL CONTRATO TERMINADO (SMMLV) en el   RUP</v>
      </c>
      <c r="M878" s="318" t="str">
        <f>+$M$11</f>
        <v>FECHA DE INICIO</v>
      </c>
      <c r="N878" s="318" t="str">
        <f>+$N$11</f>
        <v>FECHA DE TERMINACION</v>
      </c>
      <c r="O878" s="318" t="str">
        <f>+$O$11</f>
        <v>PLAZO CONTRA-TO (Meses)</v>
      </c>
      <c r="P878" s="390" t="str">
        <f>+$P$11</f>
        <v>Tsusp i</v>
      </c>
      <c r="Q878" s="391"/>
      <c r="R878" s="392"/>
      <c r="S878" s="318" t="str">
        <f>+$S$11</f>
        <v>PLAZO i REAL</v>
      </c>
      <c r="T878" s="318" t="str">
        <f>+$T$11</f>
        <v>FACTURA-CION MENSUAL PROPO-NENTE</v>
      </c>
      <c r="U878" s="318" t="str">
        <f>+$U$11</f>
        <v>VALIDACIÓN DE LA EXPERIENCIA GENERAL
(SI/NO)</v>
      </c>
      <c r="V878" s="393" t="str">
        <f>+$V$11</f>
        <v>OBSERVACIONES</v>
      </c>
      <c r="X878" s="326"/>
      <c r="Z878" s="381" t="str">
        <f>+$Z$11</f>
        <v>Interventoria a la ejecución de obras relacionadas con Colocación de capas granulares (tales como bases y/o sub-bases granulares).</v>
      </c>
      <c r="AB878" s="381" t="str">
        <f>+$AB$11</f>
        <v>Interventoria a la Ejecución de obras de subdrenaje y/o drenaje, en carreteras.</v>
      </c>
    </row>
    <row r="879" spans="1:34" ht="38.25" customHeight="1" thickBot="1" x14ac:dyDescent="0.25">
      <c r="B879" s="395"/>
      <c r="C879" s="348"/>
      <c r="D879" s="165" t="str">
        <f>+$D$12</f>
        <v>ENTIDAD</v>
      </c>
      <c r="E879" s="165" t="str">
        <f>+$E$12</f>
        <v>No. DE CONTRATO</v>
      </c>
      <c r="F879" s="165" t="str">
        <f>+$F$12</f>
        <v>OBJETO</v>
      </c>
      <c r="G879" s="165" t="str">
        <f>+$G$12</f>
        <v>CONTRATISTA</v>
      </c>
      <c r="H879" s="348"/>
      <c r="I879" s="348"/>
      <c r="J879" s="348"/>
      <c r="K879" s="348"/>
      <c r="L879" s="348"/>
      <c r="M879" s="348"/>
      <c r="N879" s="348"/>
      <c r="O879" s="348"/>
      <c r="P879" s="166" t="str">
        <f>+P862</f>
        <v>Finicsuspi</v>
      </c>
      <c r="Q879" s="166" t="str">
        <f>+Q862</f>
        <v xml:space="preserve"> Ftermsuspi </v>
      </c>
      <c r="R879" s="166" t="str">
        <f>+R862</f>
        <v>Tsusp i (meses)</v>
      </c>
      <c r="S879" s="348"/>
      <c r="T879" s="348"/>
      <c r="U879" s="348"/>
      <c r="V879" s="394"/>
      <c r="X879" s="327"/>
      <c r="Z879" s="381"/>
      <c r="AB879" s="381"/>
    </row>
    <row r="880" spans="1:34" s="27" customFormat="1" ht="12.75" x14ac:dyDescent="0.2">
      <c r="A880" s="27" t="str">
        <f>+IF(T880="","",B880)</f>
        <v/>
      </c>
      <c r="B880" s="28">
        <v>1</v>
      </c>
      <c r="C880" s="86"/>
      <c r="D880" s="86"/>
      <c r="E880" s="87"/>
      <c r="F880" s="87"/>
      <c r="G880" s="86"/>
      <c r="H880" s="30"/>
      <c r="I880" s="31"/>
      <c r="J880" s="32"/>
      <c r="K880" s="33"/>
      <c r="L880" s="34">
        <f>IF(OR(H880="",I880&lt;&gt;"SI",I880="NO",J880="",J880=0,K880="",K880=0,X880&lt;&gt;"SI"),0,J880*K880)</f>
        <v>0</v>
      </c>
      <c r="M880" s="204"/>
      <c r="N880" s="204"/>
      <c r="O880" s="169" t="str">
        <f>IF(OR(H880="",I880&lt;&gt;"SI",I880="NO",J880="",J880=0,K880="",K880=0,,M880="",N880=""),"",ROUND((((N880-M880)+1)/30),3))</f>
        <v/>
      </c>
      <c r="P880" s="204"/>
      <c r="Q880" s="204"/>
      <c r="R880" s="170">
        <f>IF(OR((Q880-P880)=0,P880="",Q880=""),0,(ROUND((((Q880-P880)+1)/30),3)))</f>
        <v>0</v>
      </c>
      <c r="S880" s="171" t="str">
        <f>IF(O880="","",ROUND(SUM(O880)-SUM(R880),3))</f>
        <v/>
      </c>
      <c r="T880" s="172" t="str">
        <f>+IF(C880="","",IF(OR(S880="",S880&lt;=0,I880="",I880="NO",U880="",U880="NO",X880="NO"),"",ROUND(SUM(L880)/S880,3)))</f>
        <v/>
      </c>
      <c r="U880" s="35"/>
      <c r="V880" s="36"/>
      <c r="W880" s="205"/>
      <c r="X880" s="37" t="str">
        <f t="shared" ref="X880:X889" si="408">+IF(C880="","",IF(AND(H880&lt;&gt;"",I880="SI",J880&lt;&gt;"",J880&gt;0,K880&lt;&gt;"",K880&gt;0,S880&lt;&gt;"",S880&gt;0,U880="SI"),"SI","NO"))</f>
        <v/>
      </c>
      <c r="Z880" s="173"/>
      <c r="AB880" s="173"/>
      <c r="AD880" s="10" t="str">
        <f t="shared" ref="AD880:AD889" si="409">+IF($C$877="","",IF(C880="","",IF(L880&gt;=$H$6,"SI","NO")))</f>
        <v/>
      </c>
      <c r="AE880" s="92" t="str">
        <f>+IF(OR($T$880="",X880="",X880="NO"),"",L880)</f>
        <v/>
      </c>
      <c r="AF880" s="92" t="str">
        <f>+IF(AE880="","",L880/$S$880)</f>
        <v/>
      </c>
      <c r="AG880" s="174">
        <f>0.1+B877</f>
        <v>52.1</v>
      </c>
      <c r="AH880" s="27" t="s">
        <v>932</v>
      </c>
    </row>
    <row r="881" spans="1:34" s="27" customFormat="1" ht="12.75" x14ac:dyDescent="0.2">
      <c r="A881" s="27" t="str">
        <f t="shared" ref="A881:A889" si="410">+IF(T881="","",B881)</f>
        <v/>
      </c>
      <c r="B881" s="38">
        <v>2</v>
      </c>
      <c r="C881" s="39"/>
      <c r="D881" s="39"/>
      <c r="E881" s="46"/>
      <c r="F881" s="46"/>
      <c r="G881" s="39"/>
      <c r="H881" s="40"/>
      <c r="I881" s="41"/>
      <c r="J881" s="42"/>
      <c r="K881" s="43"/>
      <c r="L881" s="44">
        <f t="shared" ref="L881:L889" si="411">IF(OR(H881="",I881&lt;&gt;"SI",I881="NO",J881="",J881=0,K881="",K881=0,X881&lt;&gt;"SI"),0,J881*K881)</f>
        <v>0</v>
      </c>
      <c r="M881" s="206"/>
      <c r="N881" s="206"/>
      <c r="O881" s="207" t="str">
        <f t="shared" ref="O881:O889" si="412">IF(OR(H881="",I881&lt;&gt;"SI",I881="NO",J881="",J881=0,K881="",K881=0,,M881="",N881=""),"",ROUND((((N881-M881)+1)/30),3))</f>
        <v/>
      </c>
      <c r="P881" s="206"/>
      <c r="Q881" s="206"/>
      <c r="R881" s="177">
        <f t="shared" ref="R881:R889" si="413">IF(OR((Q881-P881)=0,P881="",Q881=""),0,(ROUND((((Q881-P881)+1)/30),3)))</f>
        <v>0</v>
      </c>
      <c r="S881" s="178" t="str">
        <f t="shared" ref="S881:S889" si="414">IF(O881="","",ROUND(SUM(O881)-SUM(R881),3))</f>
        <v/>
      </c>
      <c r="T881" s="208" t="str">
        <f t="shared" ref="T881:T889" si="415">+IF(C881="","",IF(OR(S881="",S881&lt;=0,I881="",I881="NO",U881="",U881="NO",X881="NO"),"",ROUND(SUM(L881)/S881,3)))</f>
        <v/>
      </c>
      <c r="U881" s="41"/>
      <c r="V881" s="209"/>
      <c r="W881" s="205"/>
      <c r="X881" s="37" t="str">
        <f t="shared" si="408"/>
        <v/>
      </c>
      <c r="Z881" s="173"/>
      <c r="AB881" s="173"/>
      <c r="AD881" s="10" t="str">
        <f t="shared" si="409"/>
        <v/>
      </c>
      <c r="AE881" s="92" t="str">
        <f>+IF(OR($T$881="",X881="",X881="NO"),"",L881)</f>
        <v/>
      </c>
      <c r="AF881" s="92" t="str">
        <f>+IF(AE881="","",L881/$S$881)</f>
        <v/>
      </c>
      <c r="AG881" s="174">
        <f>0.2+B877</f>
        <v>52.2</v>
      </c>
      <c r="AH881" s="27" t="s">
        <v>932</v>
      </c>
    </row>
    <row r="882" spans="1:34" s="27" customFormat="1" ht="12.75" x14ac:dyDescent="0.2">
      <c r="A882" s="27" t="str">
        <f t="shared" si="410"/>
        <v/>
      </c>
      <c r="B882" s="38">
        <v>3</v>
      </c>
      <c r="C882" s="39"/>
      <c r="D882" s="39"/>
      <c r="E882" s="46"/>
      <c r="F882" s="46"/>
      <c r="G882" s="39"/>
      <c r="H882" s="40"/>
      <c r="I882" s="41"/>
      <c r="J882" s="42"/>
      <c r="K882" s="43"/>
      <c r="L882" s="44">
        <f t="shared" si="411"/>
        <v>0</v>
      </c>
      <c r="M882" s="206"/>
      <c r="N882" s="206"/>
      <c r="O882" s="207" t="str">
        <f t="shared" si="412"/>
        <v/>
      </c>
      <c r="P882" s="206"/>
      <c r="Q882" s="206"/>
      <c r="R882" s="177">
        <f t="shared" si="413"/>
        <v>0</v>
      </c>
      <c r="S882" s="178" t="str">
        <f t="shared" si="414"/>
        <v/>
      </c>
      <c r="T882" s="208" t="str">
        <f t="shared" si="415"/>
        <v/>
      </c>
      <c r="U882" s="41"/>
      <c r="V882" s="45"/>
      <c r="W882" s="205"/>
      <c r="X882" s="37" t="str">
        <f t="shared" si="408"/>
        <v/>
      </c>
      <c r="Z882" s="173"/>
      <c r="AB882" s="173"/>
      <c r="AD882" s="10" t="str">
        <f t="shared" si="409"/>
        <v/>
      </c>
      <c r="AE882" s="92" t="str">
        <f>+IF(OR($T$882="",X882="",X882="NO"),"",L882)</f>
        <v/>
      </c>
      <c r="AF882" s="92" t="str">
        <f>+IF(AE882="","",L882/$S$882)</f>
        <v/>
      </c>
      <c r="AG882" s="174">
        <f>0.3+B877</f>
        <v>52.3</v>
      </c>
      <c r="AH882" s="27" t="s">
        <v>932</v>
      </c>
    </row>
    <row r="883" spans="1:34" s="27" customFormat="1" ht="12.75" x14ac:dyDescent="0.2">
      <c r="A883" s="27" t="str">
        <f t="shared" si="410"/>
        <v/>
      </c>
      <c r="B883" s="38">
        <v>4</v>
      </c>
      <c r="C883" s="39"/>
      <c r="D883" s="39"/>
      <c r="E883" s="46"/>
      <c r="F883" s="46"/>
      <c r="G883" s="39"/>
      <c r="H883" s="40"/>
      <c r="I883" s="41"/>
      <c r="J883" s="42"/>
      <c r="K883" s="43"/>
      <c r="L883" s="44">
        <f t="shared" si="411"/>
        <v>0</v>
      </c>
      <c r="M883" s="206"/>
      <c r="N883" s="206"/>
      <c r="O883" s="207" t="str">
        <f t="shared" si="412"/>
        <v/>
      </c>
      <c r="P883" s="206"/>
      <c r="Q883" s="206"/>
      <c r="R883" s="177">
        <f t="shared" si="413"/>
        <v>0</v>
      </c>
      <c r="S883" s="178" t="str">
        <f t="shared" si="414"/>
        <v/>
      </c>
      <c r="T883" s="208" t="str">
        <f t="shared" si="415"/>
        <v/>
      </c>
      <c r="U883" s="41"/>
      <c r="V883" s="45"/>
      <c r="W883" s="210"/>
      <c r="X883" s="37" t="str">
        <f t="shared" si="408"/>
        <v/>
      </c>
      <c r="Z883" s="180"/>
      <c r="AB883" s="173"/>
      <c r="AD883" s="10" t="str">
        <f t="shared" si="409"/>
        <v/>
      </c>
      <c r="AE883" s="92" t="str">
        <f>+IF(OR($T$883="",X883="",X883="NO"),"",L883)</f>
        <v/>
      </c>
      <c r="AF883" s="92" t="str">
        <f>+IF(AE883="","",L883/$S$883)</f>
        <v/>
      </c>
      <c r="AG883" s="174"/>
    </row>
    <row r="884" spans="1:34" s="27" customFormat="1" ht="12.75" x14ac:dyDescent="0.2">
      <c r="A884" s="27" t="str">
        <f t="shared" si="410"/>
        <v/>
      </c>
      <c r="B884" s="38">
        <v>5</v>
      </c>
      <c r="C884" s="39"/>
      <c r="D884" s="39"/>
      <c r="E884" s="46"/>
      <c r="F884" s="46"/>
      <c r="G884" s="39"/>
      <c r="H884" s="40"/>
      <c r="I884" s="41"/>
      <c r="J884" s="42"/>
      <c r="K884" s="43"/>
      <c r="L884" s="44">
        <f t="shared" si="411"/>
        <v>0</v>
      </c>
      <c r="M884" s="206"/>
      <c r="N884" s="206"/>
      <c r="O884" s="207" t="str">
        <f t="shared" si="412"/>
        <v/>
      </c>
      <c r="P884" s="206"/>
      <c r="Q884" s="206"/>
      <c r="R884" s="177">
        <f t="shared" si="413"/>
        <v>0</v>
      </c>
      <c r="S884" s="178" t="str">
        <f t="shared" si="414"/>
        <v/>
      </c>
      <c r="T884" s="208" t="str">
        <f t="shared" si="415"/>
        <v/>
      </c>
      <c r="U884" s="41"/>
      <c r="V884" s="45"/>
      <c r="X884" s="37" t="str">
        <f t="shared" si="408"/>
        <v/>
      </c>
      <c r="Z884" s="181"/>
      <c r="AB884" s="173"/>
      <c r="AD884" s="10" t="str">
        <f t="shared" si="409"/>
        <v/>
      </c>
      <c r="AE884" s="92" t="str">
        <f>+IF(OR($T$884="",X884="",X884="NO"),"",L884)</f>
        <v/>
      </c>
      <c r="AF884" s="92" t="str">
        <f>+IF(AE884="","",L884/$S$884)</f>
        <v/>
      </c>
      <c r="AG884" s="174"/>
    </row>
    <row r="885" spans="1:34" s="27" customFormat="1" ht="12.75" x14ac:dyDescent="0.2">
      <c r="A885" s="27" t="str">
        <f t="shared" si="410"/>
        <v/>
      </c>
      <c r="B885" s="38">
        <v>6</v>
      </c>
      <c r="C885" s="39"/>
      <c r="D885" s="39"/>
      <c r="E885" s="46"/>
      <c r="F885" s="46"/>
      <c r="G885" s="39"/>
      <c r="H885" s="40"/>
      <c r="I885" s="41"/>
      <c r="J885" s="42"/>
      <c r="K885" s="43"/>
      <c r="L885" s="44">
        <f t="shared" si="411"/>
        <v>0</v>
      </c>
      <c r="M885" s="206"/>
      <c r="N885" s="206"/>
      <c r="O885" s="207" t="str">
        <f t="shared" si="412"/>
        <v/>
      </c>
      <c r="P885" s="206"/>
      <c r="Q885" s="206"/>
      <c r="R885" s="177">
        <f t="shared" si="413"/>
        <v>0</v>
      </c>
      <c r="S885" s="178" t="str">
        <f t="shared" si="414"/>
        <v/>
      </c>
      <c r="T885" s="208" t="str">
        <f t="shared" si="415"/>
        <v/>
      </c>
      <c r="U885" s="41"/>
      <c r="V885" s="45"/>
      <c r="X885" s="37" t="str">
        <f t="shared" si="408"/>
        <v/>
      </c>
      <c r="Z885" s="181"/>
      <c r="AB885" s="173"/>
      <c r="AD885" s="10" t="str">
        <f t="shared" si="409"/>
        <v/>
      </c>
      <c r="AE885" s="92" t="str">
        <f>+IF(OR($T$885="",X885="",X885="NO"),"",L885)</f>
        <v/>
      </c>
      <c r="AF885" s="92" t="str">
        <f>+IF(AE885="","",L885/$S$885)</f>
        <v/>
      </c>
      <c r="AG885" s="174"/>
    </row>
    <row r="886" spans="1:34" s="27" customFormat="1" ht="12.75" x14ac:dyDescent="0.2">
      <c r="A886" s="27" t="str">
        <f t="shared" si="410"/>
        <v/>
      </c>
      <c r="B886" s="38">
        <v>7</v>
      </c>
      <c r="C886" s="39"/>
      <c r="D886" s="39"/>
      <c r="E886" s="46"/>
      <c r="F886" s="46"/>
      <c r="G886" s="39"/>
      <c r="H886" s="40"/>
      <c r="I886" s="41"/>
      <c r="J886" s="42"/>
      <c r="K886" s="43"/>
      <c r="L886" s="44">
        <f t="shared" si="411"/>
        <v>0</v>
      </c>
      <c r="M886" s="206"/>
      <c r="N886" s="206"/>
      <c r="O886" s="207" t="str">
        <f t="shared" si="412"/>
        <v/>
      </c>
      <c r="P886" s="206"/>
      <c r="Q886" s="206"/>
      <c r="R886" s="177">
        <f t="shared" si="413"/>
        <v>0</v>
      </c>
      <c r="S886" s="178" t="str">
        <f t="shared" si="414"/>
        <v/>
      </c>
      <c r="T886" s="208" t="str">
        <f t="shared" si="415"/>
        <v/>
      </c>
      <c r="U886" s="41"/>
      <c r="V886" s="45"/>
      <c r="X886" s="37" t="str">
        <f t="shared" si="408"/>
        <v/>
      </c>
      <c r="Z886" s="181"/>
      <c r="AB886" s="173"/>
      <c r="AD886" s="10" t="str">
        <f t="shared" si="409"/>
        <v/>
      </c>
      <c r="AE886" s="92" t="str">
        <f>+IF(OR($T$886="",X886="",X886="NO"),"",L886)</f>
        <v/>
      </c>
      <c r="AF886" s="92" t="str">
        <f>+IF(AE886="","",L886/$S$886)</f>
        <v/>
      </c>
      <c r="AG886" s="174"/>
    </row>
    <row r="887" spans="1:34" s="27" customFormat="1" ht="12.75" x14ac:dyDescent="0.2">
      <c r="A887" s="27" t="str">
        <f t="shared" si="410"/>
        <v/>
      </c>
      <c r="B887" s="38">
        <v>8</v>
      </c>
      <c r="C887" s="39"/>
      <c r="D887" s="39"/>
      <c r="E887" s="46"/>
      <c r="F887" s="46"/>
      <c r="G887" s="39"/>
      <c r="H887" s="40"/>
      <c r="I887" s="41"/>
      <c r="J887" s="42"/>
      <c r="K887" s="43"/>
      <c r="L887" s="44">
        <f t="shared" si="411"/>
        <v>0</v>
      </c>
      <c r="M887" s="206"/>
      <c r="N887" s="206"/>
      <c r="O887" s="207" t="str">
        <f t="shared" si="412"/>
        <v/>
      </c>
      <c r="P887" s="206"/>
      <c r="Q887" s="206"/>
      <c r="R887" s="177">
        <f t="shared" si="413"/>
        <v>0</v>
      </c>
      <c r="S887" s="178" t="str">
        <f t="shared" si="414"/>
        <v/>
      </c>
      <c r="T887" s="208" t="str">
        <f t="shared" si="415"/>
        <v/>
      </c>
      <c r="U887" s="41"/>
      <c r="V887" s="45"/>
      <c r="X887" s="37" t="str">
        <f t="shared" si="408"/>
        <v/>
      </c>
      <c r="Z887" s="181"/>
      <c r="AB887" s="173"/>
      <c r="AD887" s="10" t="str">
        <f t="shared" si="409"/>
        <v/>
      </c>
      <c r="AE887" s="92" t="str">
        <f>+IF(OR($T$887="",X887="",X887="NO"),"",L887)</f>
        <v/>
      </c>
      <c r="AF887" s="92" t="str">
        <f>+IF(AE887="","",L887/$S$887)</f>
        <v/>
      </c>
      <c r="AG887" s="174"/>
    </row>
    <row r="888" spans="1:34" s="27" customFormat="1" ht="12.75" x14ac:dyDescent="0.2">
      <c r="A888" s="27" t="str">
        <f t="shared" si="410"/>
        <v/>
      </c>
      <c r="B888" s="38">
        <v>9</v>
      </c>
      <c r="C888" s="39"/>
      <c r="D888" s="39"/>
      <c r="E888" s="46"/>
      <c r="F888" s="46"/>
      <c r="G888" s="39"/>
      <c r="H888" s="40"/>
      <c r="I888" s="41"/>
      <c r="J888" s="42"/>
      <c r="K888" s="43"/>
      <c r="L888" s="44">
        <f t="shared" si="411"/>
        <v>0</v>
      </c>
      <c r="M888" s="206"/>
      <c r="N888" s="206"/>
      <c r="O888" s="207" t="str">
        <f t="shared" si="412"/>
        <v/>
      </c>
      <c r="P888" s="206"/>
      <c r="Q888" s="206"/>
      <c r="R888" s="177">
        <f t="shared" si="413"/>
        <v>0</v>
      </c>
      <c r="S888" s="178" t="str">
        <f t="shared" si="414"/>
        <v/>
      </c>
      <c r="T888" s="208" t="str">
        <f t="shared" si="415"/>
        <v/>
      </c>
      <c r="U888" s="41"/>
      <c r="V888" s="45"/>
      <c r="X888" s="37" t="str">
        <f t="shared" si="408"/>
        <v/>
      </c>
      <c r="Z888" s="181"/>
      <c r="AB888" s="173"/>
      <c r="AD888" s="10" t="str">
        <f t="shared" si="409"/>
        <v/>
      </c>
      <c r="AE888" s="92" t="str">
        <f>+IF(OR($T$888="",X888="",X888="NO"),"",L888)</f>
        <v/>
      </c>
      <c r="AF888" s="92" t="str">
        <f>+IF(AE888="","",L888/$S$888)</f>
        <v/>
      </c>
      <c r="AG888" s="174"/>
    </row>
    <row r="889" spans="1:34" s="27" customFormat="1" ht="13.5" thickBot="1" x14ac:dyDescent="0.25">
      <c r="A889" s="27" t="str">
        <f t="shared" si="410"/>
        <v/>
      </c>
      <c r="B889" s="47">
        <v>10</v>
      </c>
      <c r="C889" s="48"/>
      <c r="D889" s="48"/>
      <c r="E889" s="49"/>
      <c r="F889" s="49"/>
      <c r="G889" s="48"/>
      <c r="H889" s="50"/>
      <c r="I889" s="51"/>
      <c r="J889" s="14"/>
      <c r="K889" s="52"/>
      <c r="L889" s="53">
        <f t="shared" si="411"/>
        <v>0</v>
      </c>
      <c r="M889" s="211"/>
      <c r="N889" s="211"/>
      <c r="O889" s="212" t="str">
        <f t="shared" si="412"/>
        <v/>
      </c>
      <c r="P889" s="211"/>
      <c r="Q889" s="211"/>
      <c r="R889" s="184">
        <f t="shared" si="413"/>
        <v>0</v>
      </c>
      <c r="S889" s="185" t="str">
        <f t="shared" si="414"/>
        <v/>
      </c>
      <c r="T889" s="213" t="str">
        <f t="shared" si="415"/>
        <v/>
      </c>
      <c r="U889" s="51"/>
      <c r="V889" s="54"/>
      <c r="X889" s="55" t="str">
        <f t="shared" si="408"/>
        <v/>
      </c>
      <c r="Z889" s="187"/>
      <c r="AB889" s="188"/>
      <c r="AD889" s="10" t="str">
        <f t="shared" si="409"/>
        <v/>
      </c>
      <c r="AE889" s="92" t="str">
        <f>+IF(OR($T$889="",X889="",X889="NO"),"",L889)</f>
        <v/>
      </c>
      <c r="AF889" s="92" t="str">
        <f>+IF(AE889="","",L889/$S$889)</f>
        <v/>
      </c>
    </row>
    <row r="890" spans="1:34" ht="36" customHeight="1" x14ac:dyDescent="0.2">
      <c r="B890" s="57" t="str">
        <f>"A"&amp;B877</f>
        <v>A52</v>
      </c>
      <c r="C890" s="382" t="str">
        <f>+$C$23</f>
        <v>¿CADA INTEGRANTE DE PROPONENTE PLURAL APORTAN CONTRATO?  (SI; NO; NA)</v>
      </c>
      <c r="D890" s="383"/>
      <c r="E890" s="383"/>
      <c r="F890" s="383"/>
      <c r="G890" s="383"/>
      <c r="H890" s="384"/>
      <c r="I890" s="217" t="str">
        <f>+IF(AG877="","",IF(AG877=1,"NA",IF(AND(AG877=3,(IF(COUNTIFS(C880:C889,AH880,AE880:AE889,"&gt;0")&gt;=1,1,0)+IF(COUNTIFS(C880:C889,AH881,AE880:AE889,"&gt;0")&gt;=1,1,0)+IF(COUNTIFS(C880:C889,AH882,AE880:AE889,"&gt;0")&gt;=1,1,0))&gt;=AG877),"SI",IF(AND(AG877=2,(IF(COUNTIFS(C880:C889,AH880,AE880:AE889,"&gt;0")&gt;=1,1,0)+IF(COUNTIFS(C880:C889,AH881,AE880:AE889,"&gt;0")&gt;=1,1,0))&gt;=AG877),"SI","NO"))))</f>
        <v/>
      </c>
      <c r="J890" s="59"/>
      <c r="K890" s="27"/>
      <c r="L890" s="27"/>
      <c r="M890" s="27"/>
      <c r="N890" s="27"/>
      <c r="O890" s="27"/>
      <c r="P890" s="385" t="str">
        <f>+$P$23</f>
        <v>FACTURACION MENSUAL TOTAL</v>
      </c>
      <c r="Q890" s="386"/>
      <c r="R890" s="386"/>
      <c r="S890" s="386"/>
      <c r="T890" s="189">
        <f>ROUND(SUM(T880:T889),3)</f>
        <v>0</v>
      </c>
      <c r="U890" s="60"/>
      <c r="V890" s="1"/>
      <c r="W890" s="61"/>
      <c r="X890" s="61"/>
      <c r="Y890" s="61"/>
      <c r="Z890" s="61"/>
      <c r="AA890" s="61"/>
      <c r="AB890" s="61"/>
    </row>
    <row r="891" spans="1:34" ht="38.25" customHeight="1" thickBot="1" x14ac:dyDescent="0.25">
      <c r="B891" s="57" t="str">
        <f>"B"&amp;B877</f>
        <v>B52</v>
      </c>
      <c r="C891" s="387" t="str">
        <f>+C874</f>
        <v>En caso de proponente plural: ¿De la totalidad de los contratos aportados por el proponente plural, el valor ejecutado de uno de ellos deberá ser igual o superior al 30% del P.O.?  (SI; NO; NA)</v>
      </c>
      <c r="D891" s="388"/>
      <c r="E891" s="388"/>
      <c r="F891" s="388"/>
      <c r="G891" s="389"/>
      <c r="H891" s="190">
        <f>+$H$6</f>
        <v>268.14722506074827</v>
      </c>
      <c r="I891" s="191" t="str">
        <f>+IF(AG877="","",IF(AG877=1,"NA",IF(AND(AG877&gt;1,(COUNTIFS(AD880:AD889,"SI",AE880:AE889,"&gt;0"))&gt;=1),"SI","NO")))</f>
        <v/>
      </c>
      <c r="J891" s="192"/>
      <c r="K891" s="193"/>
      <c r="L891" s="194"/>
      <c r="M891" s="194"/>
      <c r="N891" s="194"/>
      <c r="O891" s="194"/>
      <c r="P891" s="387" t="str">
        <f>+$P$24</f>
        <v>PROMEDIO FACTURACIÓN MENSUAL DEL PROPONENTE (PFMP)</v>
      </c>
      <c r="Q891" s="388"/>
      <c r="R891" s="388"/>
      <c r="S891" s="388"/>
      <c r="T891" s="195">
        <f t="array" ref="T891">IF(T890=0,0,ROUND(T890/(SUM(IF(FREQUENCY(A880:A889,A880:A889)&gt;0,1))),3))</f>
        <v>0</v>
      </c>
      <c r="U891" s="214"/>
      <c r="V891" s="1"/>
      <c r="W891" s="61"/>
      <c r="X891" s="61"/>
      <c r="Y891" s="61"/>
      <c r="Z891" s="61"/>
      <c r="AA891" s="61"/>
      <c r="AB891" s="61"/>
    </row>
    <row r="892" spans="1:34" ht="21" customHeight="1" thickBot="1" x14ac:dyDescent="0.25">
      <c r="B892" s="197" t="str">
        <f>"C"&amp;B877</f>
        <v>C52</v>
      </c>
      <c r="C892" s="349" t="str">
        <f>+$C$25</f>
        <v>PROPONENTE CUMPLE CON LAS ACTIVIDADES a) y b)? (SI; NO)</v>
      </c>
      <c r="D892" s="350"/>
      <c r="E892" s="350"/>
      <c r="F892" s="350"/>
      <c r="G892" s="350"/>
      <c r="H892" s="351"/>
      <c r="I892" s="198" t="str">
        <f>IF(C877="","",(IF(AND(COUNTIFS(X880:X889,"SI",Z880:Z889,"SI")&gt;=$Z$8,COUNTIFS(X880:X889,"SI",AB880:AB889,"SI")&gt;=$Z$8),"SI","NO")))</f>
        <v/>
      </c>
      <c r="J892" s="199"/>
      <c r="K892" s="200"/>
      <c r="L892" s="200"/>
      <c r="M892" s="200"/>
      <c r="N892" s="200"/>
      <c r="P892" s="378" t="str">
        <f>+$P$25</f>
        <v>VALOR PUNTAJE POR EXPERIENCIA DEL PROPONENTE</v>
      </c>
      <c r="Q892" s="379"/>
      <c r="R892" s="379"/>
      <c r="S892" s="380"/>
      <c r="T892" s="201" t="str">
        <f>IF(OR(C877="",'ASIGNACION DE PUNTAJES'!$C$5=""),"",VLOOKUP(B877,'ASIGNACION DE PUNTAJES'!$A$15:$G$69,7,FALSE))</f>
        <v/>
      </c>
      <c r="V892" s="202"/>
    </row>
    <row r="893" spans="1:34" ht="12" thickBot="1" x14ac:dyDescent="0.25"/>
    <row r="894" spans="1:34" ht="36.75" customHeight="1" thickBot="1" x14ac:dyDescent="0.25">
      <c r="B894" s="23">
        <f>1+B877</f>
        <v>53</v>
      </c>
      <c r="C894" s="336" t="s">
        <v>932</v>
      </c>
      <c r="D894" s="337"/>
      <c r="E894" s="337"/>
      <c r="F894" s="337"/>
      <c r="G894" s="337"/>
      <c r="H894" s="337"/>
      <c r="I894" s="338"/>
      <c r="J894" s="24" t="str">
        <f>+IF(C894="","","INTEGRANTES")</f>
        <v/>
      </c>
      <c r="K894" s="339" t="s">
        <v>932</v>
      </c>
      <c r="L894" s="339"/>
      <c r="M894" s="339"/>
      <c r="N894" s="339"/>
      <c r="O894" s="339"/>
      <c r="P894" s="339"/>
      <c r="Q894" s="339"/>
      <c r="R894" s="396" t="str">
        <f>+$R$10</f>
        <v>PROPONENTE No.</v>
      </c>
      <c r="S894" s="397"/>
      <c r="T894" s="25">
        <f>+B894</f>
        <v>53</v>
      </c>
      <c r="U894" s="161" t="str">
        <f>+$U$10</f>
        <v>PFMP</v>
      </c>
      <c r="V894" s="162">
        <f>IF(T908="",0,T908)</f>
        <v>0</v>
      </c>
      <c r="X894" s="325" t="s">
        <v>168</v>
      </c>
      <c r="Z894" s="163" t="str">
        <f>+$Z$10</f>
        <v>EXP. ESPECÍFICA 
A:</v>
      </c>
      <c r="AB894" s="163" t="str">
        <f>+$AB$10</f>
        <v>EXP. ESPECÍFICA 
B:</v>
      </c>
      <c r="AG894" s="1" t="s">
        <v>932</v>
      </c>
    </row>
    <row r="895" spans="1:34" ht="42" customHeight="1" x14ac:dyDescent="0.2">
      <c r="B895" s="331" t="str">
        <f>+$B$11</f>
        <v>ITEM</v>
      </c>
      <c r="C895" s="318" t="str">
        <f>+$C$11</f>
        <v>PROPONENTE 
/ 
INTEGRANTE OFERENTE PLURAL</v>
      </c>
      <c r="D895" s="333" t="str">
        <f>+$D$11</f>
        <v>INFORMACIÓN DEL CONTRATO</v>
      </c>
      <c r="E895" s="334"/>
      <c r="F895" s="334"/>
      <c r="G895" s="335"/>
      <c r="H895" s="318" t="str">
        <f>+H878</f>
        <v>CONSECUTIVO RUP</v>
      </c>
      <c r="I895" s="318" t="str">
        <f>+$I$11</f>
        <v>¿SE ENCUENTRA INSCRITO EN EL RUP Y CUMPLE CÓDIGOS UNSPSC?</v>
      </c>
      <c r="J895" s="318" t="str">
        <f>+$J$11</f>
        <v xml:space="preserve">VALOR EN RUP (SMMLV) </v>
      </c>
      <c r="K895" s="318" t="str">
        <f>+$K$11</f>
        <v>% PARTIC en el RUP</v>
      </c>
      <c r="L895" s="318" t="str">
        <f>+$L$11</f>
        <v>VALOR DEL CONTRATO TERMINADO (SMMLV) en el   RUP</v>
      </c>
      <c r="M895" s="318" t="str">
        <f>+$M$11</f>
        <v>FECHA DE INICIO</v>
      </c>
      <c r="N895" s="318" t="str">
        <f>+$N$11</f>
        <v>FECHA DE TERMINACION</v>
      </c>
      <c r="O895" s="318" t="str">
        <f>+$O$11</f>
        <v>PLAZO CONTRA-TO (Meses)</v>
      </c>
      <c r="P895" s="390" t="str">
        <f>+$P$11</f>
        <v>Tsusp i</v>
      </c>
      <c r="Q895" s="391"/>
      <c r="R895" s="392"/>
      <c r="S895" s="318" t="str">
        <f>+$S$11</f>
        <v>PLAZO i REAL</v>
      </c>
      <c r="T895" s="318" t="str">
        <f>+$T$11</f>
        <v>FACTURA-CION MENSUAL PROPO-NENTE</v>
      </c>
      <c r="U895" s="318" t="str">
        <f>+$U$11</f>
        <v>VALIDACIÓN DE LA EXPERIENCIA GENERAL
(SI/NO)</v>
      </c>
      <c r="V895" s="393" t="str">
        <f>+$V$11</f>
        <v>OBSERVACIONES</v>
      </c>
      <c r="X895" s="326"/>
      <c r="Z895" s="381" t="str">
        <f>+$Z$11</f>
        <v>Interventoria a la ejecución de obras relacionadas con Colocación de capas granulares (tales como bases y/o sub-bases granulares).</v>
      </c>
      <c r="AB895" s="381" t="str">
        <f>+$AB$11</f>
        <v>Interventoria a la Ejecución de obras de subdrenaje y/o drenaje, en carreteras.</v>
      </c>
    </row>
    <row r="896" spans="1:34" ht="38.25" customHeight="1" thickBot="1" x14ac:dyDescent="0.25">
      <c r="B896" s="395"/>
      <c r="C896" s="348"/>
      <c r="D896" s="165" t="str">
        <f>+$D$12</f>
        <v>ENTIDAD</v>
      </c>
      <c r="E896" s="165" t="str">
        <f>+$E$12</f>
        <v>No. DE CONTRATO</v>
      </c>
      <c r="F896" s="165" t="str">
        <f>+$F$12</f>
        <v>OBJETO</v>
      </c>
      <c r="G896" s="165" t="str">
        <f>+$G$12</f>
        <v>CONTRATISTA</v>
      </c>
      <c r="H896" s="348"/>
      <c r="I896" s="348"/>
      <c r="J896" s="348"/>
      <c r="K896" s="348"/>
      <c r="L896" s="348"/>
      <c r="M896" s="348"/>
      <c r="N896" s="348"/>
      <c r="O896" s="348"/>
      <c r="P896" s="166" t="str">
        <f>+P879</f>
        <v>Finicsuspi</v>
      </c>
      <c r="Q896" s="166" t="str">
        <f>+Q879</f>
        <v xml:space="preserve"> Ftermsuspi </v>
      </c>
      <c r="R896" s="166" t="str">
        <f>+R879</f>
        <v>Tsusp i (meses)</v>
      </c>
      <c r="S896" s="348"/>
      <c r="T896" s="348"/>
      <c r="U896" s="348"/>
      <c r="V896" s="394"/>
      <c r="X896" s="327"/>
      <c r="Z896" s="381"/>
      <c r="AB896" s="381"/>
    </row>
    <row r="897" spans="1:34" s="27" customFormat="1" ht="12.75" x14ac:dyDescent="0.2">
      <c r="A897" s="27" t="str">
        <f>+IF(T897="","",B897)</f>
        <v/>
      </c>
      <c r="B897" s="28">
        <v>1</v>
      </c>
      <c r="C897" s="86"/>
      <c r="D897" s="86"/>
      <c r="E897" s="87"/>
      <c r="F897" s="87"/>
      <c r="G897" s="86"/>
      <c r="H897" s="30"/>
      <c r="I897" s="31"/>
      <c r="J897" s="32"/>
      <c r="K897" s="33"/>
      <c r="L897" s="34">
        <f>IF(OR(H897="",I897&lt;&gt;"SI",I897="NO",J897="",J897=0,K897="",K897=0,X897&lt;&gt;"SI"),0,J897*K897)</f>
        <v>0</v>
      </c>
      <c r="M897" s="204"/>
      <c r="N897" s="204"/>
      <c r="O897" s="169" t="str">
        <f>IF(OR(H897="",I897&lt;&gt;"SI",I897="NO",J897="",J897=0,K897="",K897=0,,M897="",N897=""),"",ROUND((((N897-M897)+1)/30),3))</f>
        <v/>
      </c>
      <c r="P897" s="204"/>
      <c r="Q897" s="204"/>
      <c r="R897" s="170">
        <f>IF(OR((Q897-P897)=0,P897="",Q897=""),0,(ROUND((((Q897-P897)+1)/30),3)))</f>
        <v>0</v>
      </c>
      <c r="S897" s="171" t="str">
        <f>IF(O897="","",ROUND(SUM(O897)-SUM(R897),3))</f>
        <v/>
      </c>
      <c r="T897" s="172" t="str">
        <f>+IF(C897="","",IF(OR(S897="",S897&lt;=0,I897="",I897="NO",U897="",U897="NO",X897="NO"),"",ROUND(SUM(L897)/S897,3)))</f>
        <v/>
      </c>
      <c r="U897" s="35"/>
      <c r="V897" s="36"/>
      <c r="W897" s="205"/>
      <c r="X897" s="37" t="str">
        <f t="shared" ref="X897:X906" si="416">+IF(C897="","",IF(AND(H897&lt;&gt;"",I897="SI",J897&lt;&gt;"",J897&gt;0,K897&lt;&gt;"",K897&gt;0,S897&lt;&gt;"",S897&gt;0,U897="SI"),"SI","NO"))</f>
        <v/>
      </c>
      <c r="Z897" s="173"/>
      <c r="AB897" s="173"/>
      <c r="AD897" s="10" t="str">
        <f t="shared" ref="AD897:AD906" si="417">+IF($C$894="","",IF(C897="","",IF(L897&gt;=$H$6,"SI","NO")))</f>
        <v/>
      </c>
      <c r="AE897" s="92" t="str">
        <f>+IF(OR($T$897="",X897="",X897="NO"),"",L897)</f>
        <v/>
      </c>
      <c r="AF897" s="92" t="str">
        <f>+IF(AE897="","",L897/$S$897)</f>
        <v/>
      </c>
      <c r="AG897" s="174">
        <f>0.1+B894</f>
        <v>53.1</v>
      </c>
      <c r="AH897" s="27" t="s">
        <v>932</v>
      </c>
    </row>
    <row r="898" spans="1:34" s="27" customFormat="1" ht="12.75" x14ac:dyDescent="0.2">
      <c r="A898" s="27" t="str">
        <f t="shared" ref="A898:A906" si="418">+IF(T898="","",B898)</f>
        <v/>
      </c>
      <c r="B898" s="38">
        <v>2</v>
      </c>
      <c r="C898" s="39"/>
      <c r="D898" s="39"/>
      <c r="E898" s="46"/>
      <c r="F898" s="46"/>
      <c r="G898" s="39"/>
      <c r="H898" s="40"/>
      <c r="I898" s="41"/>
      <c r="J898" s="42"/>
      <c r="K898" s="43"/>
      <c r="L898" s="44">
        <f t="shared" ref="L898:L906" si="419">IF(OR(H898="",I898&lt;&gt;"SI",I898="NO",J898="",J898=0,K898="",K898=0,X898&lt;&gt;"SI"),0,J898*K898)</f>
        <v>0</v>
      </c>
      <c r="M898" s="206"/>
      <c r="N898" s="206"/>
      <c r="O898" s="207" t="str">
        <f t="shared" ref="O898:O906" si="420">IF(OR(H898="",I898&lt;&gt;"SI",I898="NO",J898="",J898=0,K898="",K898=0,,M898="",N898=""),"",ROUND((((N898-M898)+1)/30),3))</f>
        <v/>
      </c>
      <c r="P898" s="206"/>
      <c r="Q898" s="206"/>
      <c r="R898" s="177">
        <f t="shared" ref="R898:R906" si="421">IF(OR((Q898-P898)=0,P898="",Q898=""),0,(ROUND((((Q898-P898)+1)/30),3)))</f>
        <v>0</v>
      </c>
      <c r="S898" s="178" t="str">
        <f t="shared" ref="S898:S906" si="422">IF(O898="","",ROUND(SUM(O898)-SUM(R898),3))</f>
        <v/>
      </c>
      <c r="T898" s="208" t="str">
        <f t="shared" ref="T898:T906" si="423">+IF(C898="","",IF(OR(S898="",S898&lt;=0,I898="",I898="NO",U898="",U898="NO",X898="NO"),"",ROUND(SUM(L898)/S898,3)))</f>
        <v/>
      </c>
      <c r="U898" s="41"/>
      <c r="V898" s="209"/>
      <c r="W898" s="205"/>
      <c r="X898" s="37" t="str">
        <f t="shared" si="416"/>
        <v/>
      </c>
      <c r="Z898" s="173"/>
      <c r="AB898" s="173"/>
      <c r="AD898" s="10" t="str">
        <f t="shared" si="417"/>
        <v/>
      </c>
      <c r="AE898" s="92" t="str">
        <f>+IF(OR($T$898="",X898="",X898="NO"),"",L898)</f>
        <v/>
      </c>
      <c r="AF898" s="92" t="str">
        <f>+IF(AE898="","",L898/$S$898)</f>
        <v/>
      </c>
      <c r="AG898" s="174">
        <f>0.2+B894</f>
        <v>53.2</v>
      </c>
      <c r="AH898" s="27" t="s">
        <v>932</v>
      </c>
    </row>
    <row r="899" spans="1:34" s="27" customFormat="1" ht="12.75" x14ac:dyDescent="0.2">
      <c r="A899" s="27" t="str">
        <f t="shared" si="418"/>
        <v/>
      </c>
      <c r="B899" s="38">
        <v>3</v>
      </c>
      <c r="C899" s="39"/>
      <c r="D899" s="39"/>
      <c r="E899" s="46"/>
      <c r="F899" s="46"/>
      <c r="G899" s="39"/>
      <c r="H899" s="40"/>
      <c r="I899" s="41"/>
      <c r="J899" s="42"/>
      <c r="K899" s="43"/>
      <c r="L899" s="44">
        <f t="shared" si="419"/>
        <v>0</v>
      </c>
      <c r="M899" s="206"/>
      <c r="N899" s="206"/>
      <c r="O899" s="207" t="str">
        <f t="shared" si="420"/>
        <v/>
      </c>
      <c r="P899" s="206"/>
      <c r="Q899" s="206"/>
      <c r="R899" s="177">
        <f t="shared" si="421"/>
        <v>0</v>
      </c>
      <c r="S899" s="178" t="str">
        <f t="shared" si="422"/>
        <v/>
      </c>
      <c r="T899" s="208" t="str">
        <f t="shared" si="423"/>
        <v/>
      </c>
      <c r="U899" s="41"/>
      <c r="V899" s="45"/>
      <c r="W899" s="205"/>
      <c r="X899" s="37" t="str">
        <f t="shared" si="416"/>
        <v/>
      </c>
      <c r="Z899" s="173"/>
      <c r="AB899" s="173"/>
      <c r="AD899" s="10" t="str">
        <f t="shared" si="417"/>
        <v/>
      </c>
      <c r="AE899" s="92" t="str">
        <f>+IF(OR($T$899="",X899="",X899="NO"),"",L899)</f>
        <v/>
      </c>
      <c r="AF899" s="92" t="str">
        <f>+IF(AE899="","",L899/$S$899)</f>
        <v/>
      </c>
      <c r="AG899" s="174">
        <f>0.3+B894</f>
        <v>53.3</v>
      </c>
      <c r="AH899" s="27" t="s">
        <v>932</v>
      </c>
    </row>
    <row r="900" spans="1:34" s="27" customFormat="1" ht="12.75" x14ac:dyDescent="0.2">
      <c r="A900" s="27" t="str">
        <f t="shared" si="418"/>
        <v/>
      </c>
      <c r="B900" s="38">
        <v>4</v>
      </c>
      <c r="C900" s="39"/>
      <c r="D900" s="39"/>
      <c r="E900" s="46"/>
      <c r="F900" s="46"/>
      <c r="G900" s="39"/>
      <c r="H900" s="40"/>
      <c r="I900" s="41"/>
      <c r="J900" s="42"/>
      <c r="K900" s="43"/>
      <c r="L900" s="44">
        <f t="shared" si="419"/>
        <v>0</v>
      </c>
      <c r="M900" s="206"/>
      <c r="N900" s="206"/>
      <c r="O900" s="207" t="str">
        <f t="shared" si="420"/>
        <v/>
      </c>
      <c r="P900" s="206"/>
      <c r="Q900" s="206"/>
      <c r="R900" s="177">
        <f t="shared" si="421"/>
        <v>0</v>
      </c>
      <c r="S900" s="178" t="str">
        <f t="shared" si="422"/>
        <v/>
      </c>
      <c r="T900" s="208" t="str">
        <f t="shared" si="423"/>
        <v/>
      </c>
      <c r="U900" s="41"/>
      <c r="V900" s="45"/>
      <c r="W900" s="210"/>
      <c r="X900" s="37" t="str">
        <f t="shared" si="416"/>
        <v/>
      </c>
      <c r="Z900" s="180"/>
      <c r="AB900" s="173"/>
      <c r="AD900" s="10" t="str">
        <f t="shared" si="417"/>
        <v/>
      </c>
      <c r="AE900" s="92" t="str">
        <f>+IF(OR($T$900="",X900="",X900="NO"),"",L900)</f>
        <v/>
      </c>
      <c r="AF900" s="92" t="str">
        <f>+IF(AE900="","",L900/$S$900)</f>
        <v/>
      </c>
      <c r="AG900" s="174"/>
    </row>
    <row r="901" spans="1:34" s="27" customFormat="1" ht="12.75" x14ac:dyDescent="0.2">
      <c r="A901" s="27" t="str">
        <f t="shared" si="418"/>
        <v/>
      </c>
      <c r="B901" s="38">
        <v>5</v>
      </c>
      <c r="C901" s="39"/>
      <c r="D901" s="39"/>
      <c r="E901" s="46"/>
      <c r="F901" s="46"/>
      <c r="G901" s="39"/>
      <c r="H901" s="40"/>
      <c r="I901" s="41"/>
      <c r="J901" s="42"/>
      <c r="K901" s="43"/>
      <c r="L901" s="44">
        <f t="shared" si="419"/>
        <v>0</v>
      </c>
      <c r="M901" s="206"/>
      <c r="N901" s="206"/>
      <c r="O901" s="207" t="str">
        <f t="shared" si="420"/>
        <v/>
      </c>
      <c r="P901" s="206"/>
      <c r="Q901" s="206"/>
      <c r="R901" s="177">
        <f t="shared" si="421"/>
        <v>0</v>
      </c>
      <c r="S901" s="178" t="str">
        <f t="shared" si="422"/>
        <v/>
      </c>
      <c r="T901" s="208" t="str">
        <f t="shared" si="423"/>
        <v/>
      </c>
      <c r="U901" s="41"/>
      <c r="V901" s="45"/>
      <c r="X901" s="37" t="str">
        <f t="shared" si="416"/>
        <v/>
      </c>
      <c r="Z901" s="181"/>
      <c r="AB901" s="173"/>
      <c r="AD901" s="10" t="str">
        <f t="shared" si="417"/>
        <v/>
      </c>
      <c r="AE901" s="92" t="str">
        <f>+IF(OR($T$901="",X901="",X901="NO"),"",L901)</f>
        <v/>
      </c>
      <c r="AF901" s="92" t="str">
        <f>+IF(AE901="","",L901/$S$901)</f>
        <v/>
      </c>
      <c r="AG901" s="174"/>
    </row>
    <row r="902" spans="1:34" s="27" customFormat="1" ht="12.75" x14ac:dyDescent="0.2">
      <c r="A902" s="27" t="str">
        <f t="shared" si="418"/>
        <v/>
      </c>
      <c r="B902" s="38">
        <v>6</v>
      </c>
      <c r="C902" s="39"/>
      <c r="D902" s="39"/>
      <c r="E902" s="46"/>
      <c r="F902" s="46"/>
      <c r="G902" s="39"/>
      <c r="H902" s="40"/>
      <c r="I902" s="41"/>
      <c r="J902" s="42"/>
      <c r="K902" s="43"/>
      <c r="L902" s="44">
        <f t="shared" si="419"/>
        <v>0</v>
      </c>
      <c r="M902" s="206"/>
      <c r="N902" s="206"/>
      <c r="O902" s="207" t="str">
        <f t="shared" si="420"/>
        <v/>
      </c>
      <c r="P902" s="206"/>
      <c r="Q902" s="206"/>
      <c r="R902" s="177">
        <f t="shared" si="421"/>
        <v>0</v>
      </c>
      <c r="S902" s="178" t="str">
        <f t="shared" si="422"/>
        <v/>
      </c>
      <c r="T902" s="208" t="str">
        <f t="shared" si="423"/>
        <v/>
      </c>
      <c r="U902" s="41"/>
      <c r="V902" s="45"/>
      <c r="X902" s="37" t="str">
        <f t="shared" si="416"/>
        <v/>
      </c>
      <c r="Z902" s="181"/>
      <c r="AB902" s="173"/>
      <c r="AD902" s="10" t="str">
        <f t="shared" si="417"/>
        <v/>
      </c>
      <c r="AE902" s="92" t="str">
        <f>+IF(OR($T$902="",X902="",X902="NO"),"",L902)</f>
        <v/>
      </c>
      <c r="AF902" s="92" t="str">
        <f>+IF(AE902="","",L902/$S$902)</f>
        <v/>
      </c>
      <c r="AG902" s="174"/>
    </row>
    <row r="903" spans="1:34" s="27" customFormat="1" ht="12.75" x14ac:dyDescent="0.2">
      <c r="A903" s="27" t="str">
        <f t="shared" si="418"/>
        <v/>
      </c>
      <c r="B903" s="38">
        <v>7</v>
      </c>
      <c r="C903" s="39"/>
      <c r="D903" s="39"/>
      <c r="E903" s="46"/>
      <c r="F903" s="46"/>
      <c r="G903" s="39"/>
      <c r="H903" s="40"/>
      <c r="I903" s="41"/>
      <c r="J903" s="42"/>
      <c r="K903" s="43"/>
      <c r="L903" s="44">
        <f t="shared" si="419"/>
        <v>0</v>
      </c>
      <c r="M903" s="206"/>
      <c r="N903" s="206"/>
      <c r="O903" s="207" t="str">
        <f t="shared" si="420"/>
        <v/>
      </c>
      <c r="P903" s="206"/>
      <c r="Q903" s="206"/>
      <c r="R903" s="177">
        <f t="shared" si="421"/>
        <v>0</v>
      </c>
      <c r="S903" s="178" t="str">
        <f t="shared" si="422"/>
        <v/>
      </c>
      <c r="T903" s="208" t="str">
        <f t="shared" si="423"/>
        <v/>
      </c>
      <c r="U903" s="41"/>
      <c r="V903" s="45"/>
      <c r="X903" s="37" t="str">
        <f t="shared" si="416"/>
        <v/>
      </c>
      <c r="Z903" s="181"/>
      <c r="AB903" s="173"/>
      <c r="AD903" s="10" t="str">
        <f t="shared" si="417"/>
        <v/>
      </c>
      <c r="AE903" s="92" t="str">
        <f>+IF(OR($T$903="",X903="",X903="NO"),"",L903)</f>
        <v/>
      </c>
      <c r="AF903" s="92" t="str">
        <f>+IF(AE903="","",L903/$S$903)</f>
        <v/>
      </c>
      <c r="AG903" s="174"/>
    </row>
    <row r="904" spans="1:34" s="27" customFormat="1" ht="12.75" x14ac:dyDescent="0.2">
      <c r="A904" s="27" t="str">
        <f t="shared" si="418"/>
        <v/>
      </c>
      <c r="B904" s="38">
        <v>8</v>
      </c>
      <c r="C904" s="39"/>
      <c r="D904" s="39"/>
      <c r="E904" s="46"/>
      <c r="F904" s="46"/>
      <c r="G904" s="39"/>
      <c r="H904" s="40"/>
      <c r="I904" s="41"/>
      <c r="J904" s="42"/>
      <c r="K904" s="43"/>
      <c r="L904" s="44">
        <f t="shared" si="419"/>
        <v>0</v>
      </c>
      <c r="M904" s="206"/>
      <c r="N904" s="206"/>
      <c r="O904" s="207" t="str">
        <f t="shared" si="420"/>
        <v/>
      </c>
      <c r="P904" s="206"/>
      <c r="Q904" s="206"/>
      <c r="R904" s="177">
        <f t="shared" si="421"/>
        <v>0</v>
      </c>
      <c r="S904" s="178" t="str">
        <f t="shared" si="422"/>
        <v/>
      </c>
      <c r="T904" s="208" t="str">
        <f t="shared" si="423"/>
        <v/>
      </c>
      <c r="U904" s="41"/>
      <c r="V904" s="45"/>
      <c r="X904" s="37" t="str">
        <f t="shared" si="416"/>
        <v/>
      </c>
      <c r="Z904" s="181"/>
      <c r="AB904" s="173"/>
      <c r="AD904" s="10" t="str">
        <f t="shared" si="417"/>
        <v/>
      </c>
      <c r="AE904" s="92" t="str">
        <f>+IF(OR($T$904="",X904="",X904="NO"),"",L904)</f>
        <v/>
      </c>
      <c r="AF904" s="92" t="str">
        <f>+IF(AE904="","",L904/$S$904)</f>
        <v/>
      </c>
      <c r="AG904" s="174"/>
    </row>
    <row r="905" spans="1:34" s="27" customFormat="1" ht="12.75" x14ac:dyDescent="0.2">
      <c r="A905" s="27" t="str">
        <f t="shared" si="418"/>
        <v/>
      </c>
      <c r="B905" s="38">
        <v>9</v>
      </c>
      <c r="C905" s="39"/>
      <c r="D905" s="39"/>
      <c r="E905" s="46"/>
      <c r="F905" s="46"/>
      <c r="G905" s="39"/>
      <c r="H905" s="40"/>
      <c r="I905" s="41"/>
      <c r="J905" s="42"/>
      <c r="K905" s="43"/>
      <c r="L905" s="44">
        <f t="shared" si="419"/>
        <v>0</v>
      </c>
      <c r="M905" s="206"/>
      <c r="N905" s="206"/>
      <c r="O905" s="207" t="str">
        <f t="shared" si="420"/>
        <v/>
      </c>
      <c r="P905" s="206"/>
      <c r="Q905" s="206"/>
      <c r="R905" s="177">
        <f t="shared" si="421"/>
        <v>0</v>
      </c>
      <c r="S905" s="178" t="str">
        <f t="shared" si="422"/>
        <v/>
      </c>
      <c r="T905" s="208" t="str">
        <f t="shared" si="423"/>
        <v/>
      </c>
      <c r="U905" s="41"/>
      <c r="V905" s="45"/>
      <c r="X905" s="37" t="str">
        <f t="shared" si="416"/>
        <v/>
      </c>
      <c r="Z905" s="181"/>
      <c r="AB905" s="173"/>
      <c r="AD905" s="10" t="str">
        <f t="shared" si="417"/>
        <v/>
      </c>
      <c r="AE905" s="92" t="str">
        <f>+IF(OR($T$905="",X905="",X905="NO"),"",L905)</f>
        <v/>
      </c>
      <c r="AF905" s="92" t="str">
        <f>+IF(AE905="","",L905/$S$905)</f>
        <v/>
      </c>
      <c r="AG905" s="174"/>
    </row>
    <row r="906" spans="1:34" s="27" customFormat="1" ht="13.5" thickBot="1" x14ac:dyDescent="0.25">
      <c r="A906" s="27" t="str">
        <f t="shared" si="418"/>
        <v/>
      </c>
      <c r="B906" s="47">
        <v>10</v>
      </c>
      <c r="C906" s="48"/>
      <c r="D906" s="48"/>
      <c r="E906" s="49"/>
      <c r="F906" s="49"/>
      <c r="G906" s="48"/>
      <c r="H906" s="50"/>
      <c r="I906" s="51"/>
      <c r="J906" s="14"/>
      <c r="K906" s="52"/>
      <c r="L906" s="53">
        <f t="shared" si="419"/>
        <v>0</v>
      </c>
      <c r="M906" s="211"/>
      <c r="N906" s="211"/>
      <c r="O906" s="212" t="str">
        <f t="shared" si="420"/>
        <v/>
      </c>
      <c r="P906" s="211"/>
      <c r="Q906" s="211"/>
      <c r="R906" s="184">
        <f t="shared" si="421"/>
        <v>0</v>
      </c>
      <c r="S906" s="185" t="str">
        <f t="shared" si="422"/>
        <v/>
      </c>
      <c r="T906" s="213" t="str">
        <f t="shared" si="423"/>
        <v/>
      </c>
      <c r="U906" s="51"/>
      <c r="V906" s="54"/>
      <c r="X906" s="55" t="str">
        <f t="shared" si="416"/>
        <v/>
      </c>
      <c r="Z906" s="187"/>
      <c r="AB906" s="188"/>
      <c r="AD906" s="10" t="str">
        <f t="shared" si="417"/>
        <v/>
      </c>
      <c r="AE906" s="92" t="str">
        <f>+IF(OR($T$906="",X906="",X906="NO"),"",L906)</f>
        <v/>
      </c>
      <c r="AF906" s="92" t="str">
        <f>+IF(AE906="","",L906/$S$906)</f>
        <v/>
      </c>
    </row>
    <row r="907" spans="1:34" ht="36" customHeight="1" x14ac:dyDescent="0.2">
      <c r="B907" s="57" t="str">
        <f>"A"&amp;B894</f>
        <v>A53</v>
      </c>
      <c r="C907" s="382" t="str">
        <f>+$C$23</f>
        <v>¿CADA INTEGRANTE DE PROPONENTE PLURAL APORTAN CONTRATO?  (SI; NO; NA)</v>
      </c>
      <c r="D907" s="383"/>
      <c r="E907" s="383"/>
      <c r="F907" s="383"/>
      <c r="G907" s="383"/>
      <c r="H907" s="384"/>
      <c r="I907" s="217" t="str">
        <f>+IF(AG894="","",IF(AG894=1,"NA",IF(AND(AG894=3,(IF(COUNTIFS(C897:C906,AH897,AE897:AE906,"&gt;0")&gt;=1,1,0)+IF(COUNTIFS(C897:C906,AH898,AE897:AE906,"&gt;0")&gt;=1,1,0)+IF(COUNTIFS(C897:C906,AH899,AE897:AE906,"&gt;0")&gt;=1,1,0))&gt;=AG894),"SI",IF(AND(AG894=2,(IF(COUNTIFS(C897:C906,AH897,AE897:AE906,"&gt;0")&gt;=1,1,0)+IF(COUNTIFS(C897:C906,AH898,AE897:AE906,"&gt;0")&gt;=1,1,0))&gt;=AG894),"SI","NO"))))</f>
        <v/>
      </c>
      <c r="J907" s="59"/>
      <c r="K907" s="27"/>
      <c r="L907" s="27"/>
      <c r="M907" s="27"/>
      <c r="N907" s="27"/>
      <c r="O907" s="27"/>
      <c r="P907" s="385" t="str">
        <f>+$P$23</f>
        <v>FACTURACION MENSUAL TOTAL</v>
      </c>
      <c r="Q907" s="386"/>
      <c r="R907" s="386"/>
      <c r="S907" s="386"/>
      <c r="T907" s="189">
        <f>ROUND(SUM(T897:T906),3)</f>
        <v>0</v>
      </c>
      <c r="U907" s="60"/>
      <c r="V907" s="1"/>
      <c r="W907" s="61"/>
      <c r="X907" s="61"/>
      <c r="Y907" s="61"/>
      <c r="Z907" s="61"/>
      <c r="AA907" s="61"/>
      <c r="AB907" s="61"/>
    </row>
    <row r="908" spans="1:34" ht="38.25" customHeight="1" thickBot="1" x14ac:dyDescent="0.25">
      <c r="B908" s="57" t="str">
        <f>"B"&amp;B894</f>
        <v>B53</v>
      </c>
      <c r="C908" s="387" t="str">
        <f>+C891</f>
        <v>En caso de proponente plural: ¿De la totalidad de los contratos aportados por el proponente plural, el valor ejecutado de uno de ellos deberá ser igual o superior al 30% del P.O.?  (SI; NO; NA)</v>
      </c>
      <c r="D908" s="388"/>
      <c r="E908" s="388"/>
      <c r="F908" s="388"/>
      <c r="G908" s="389"/>
      <c r="H908" s="190">
        <f>+$H$6</f>
        <v>268.14722506074827</v>
      </c>
      <c r="I908" s="191" t="str">
        <f>+IF(AG894="","",IF(AG894=1,"NA",IF(AND(AG894&gt;1,(COUNTIFS(AD897:AD906,"SI",AE897:AE906,"&gt;0"))&gt;=1),"SI","NO")))</f>
        <v/>
      </c>
      <c r="J908" s="192"/>
      <c r="K908" s="193"/>
      <c r="L908" s="194"/>
      <c r="M908" s="194"/>
      <c r="N908" s="194"/>
      <c r="O908" s="194"/>
      <c r="P908" s="387" t="str">
        <f>+$P$24</f>
        <v>PROMEDIO FACTURACIÓN MENSUAL DEL PROPONENTE (PFMP)</v>
      </c>
      <c r="Q908" s="388"/>
      <c r="R908" s="388"/>
      <c r="S908" s="388"/>
      <c r="T908" s="195">
        <f t="array" ref="T908">IF(T907=0,0,ROUND(T907/(SUM(IF(FREQUENCY(A897:A906,A897:A906)&gt;0,1))),3))</f>
        <v>0</v>
      </c>
      <c r="U908" s="214"/>
      <c r="V908" s="1"/>
      <c r="W908" s="61"/>
      <c r="X908" s="61"/>
      <c r="Y908" s="61"/>
      <c r="Z908" s="61"/>
      <c r="AA908" s="61"/>
      <c r="AB908" s="61"/>
    </row>
    <row r="909" spans="1:34" ht="21" customHeight="1" thickBot="1" x14ac:dyDescent="0.25">
      <c r="B909" s="197" t="str">
        <f>"C"&amp;B894</f>
        <v>C53</v>
      </c>
      <c r="C909" s="349" t="str">
        <f>+$C$25</f>
        <v>PROPONENTE CUMPLE CON LAS ACTIVIDADES a) y b)? (SI; NO)</v>
      </c>
      <c r="D909" s="350"/>
      <c r="E909" s="350"/>
      <c r="F909" s="350"/>
      <c r="G909" s="350"/>
      <c r="H909" s="351"/>
      <c r="I909" s="198" t="str">
        <f>IF(C894="","",(IF(AND(COUNTIFS(X897:X906,"SI",Z897:Z906,"SI")&gt;=$Z$8,COUNTIFS(X897:X906,"SI",AB897:AB906,"SI")&gt;=$Z$8),"SI","NO")))</f>
        <v/>
      </c>
      <c r="J909" s="199"/>
      <c r="K909" s="200"/>
      <c r="L909" s="200"/>
      <c r="M909" s="200"/>
      <c r="N909" s="200"/>
      <c r="P909" s="378" t="str">
        <f>+$P$25</f>
        <v>VALOR PUNTAJE POR EXPERIENCIA DEL PROPONENTE</v>
      </c>
      <c r="Q909" s="379"/>
      <c r="R909" s="379"/>
      <c r="S909" s="380"/>
      <c r="T909" s="201" t="str">
        <f>IF(OR(C894="",'ASIGNACION DE PUNTAJES'!$C$5=""),"",VLOOKUP(B894,'ASIGNACION DE PUNTAJES'!$A$15:$G$69,7,FALSE))</f>
        <v/>
      </c>
      <c r="V909" s="202"/>
    </row>
    <row r="910" spans="1:34" ht="12" thickBot="1" x14ac:dyDescent="0.25"/>
    <row r="911" spans="1:34" ht="36.75" customHeight="1" thickBot="1" x14ac:dyDescent="0.25">
      <c r="B911" s="23">
        <f>1+B894</f>
        <v>54</v>
      </c>
      <c r="C911" s="336" t="s">
        <v>932</v>
      </c>
      <c r="D911" s="337"/>
      <c r="E911" s="337"/>
      <c r="F911" s="337"/>
      <c r="G911" s="337"/>
      <c r="H911" s="337"/>
      <c r="I911" s="338"/>
      <c r="J911" s="24" t="str">
        <f>+IF(C911="","","INTEGRANTES")</f>
        <v/>
      </c>
      <c r="K911" s="339" t="s">
        <v>932</v>
      </c>
      <c r="L911" s="339"/>
      <c r="M911" s="339"/>
      <c r="N911" s="339"/>
      <c r="O911" s="339"/>
      <c r="P911" s="339"/>
      <c r="Q911" s="339"/>
      <c r="R911" s="396" t="str">
        <f>+$R$10</f>
        <v>PROPONENTE No.</v>
      </c>
      <c r="S911" s="397"/>
      <c r="T911" s="25">
        <f>+B911</f>
        <v>54</v>
      </c>
      <c r="U911" s="161" t="str">
        <f>+$U$10</f>
        <v>PFMP</v>
      </c>
      <c r="V911" s="162">
        <f>IF(T925="",0,T925)</f>
        <v>0</v>
      </c>
      <c r="X911" s="325" t="s">
        <v>168</v>
      </c>
      <c r="Z911" s="163" t="str">
        <f>+$Z$10</f>
        <v>EXP. ESPECÍFICA 
A:</v>
      </c>
      <c r="AB911" s="163" t="str">
        <f>+$AB$10</f>
        <v>EXP. ESPECÍFICA 
B:</v>
      </c>
      <c r="AG911" s="1" t="s">
        <v>932</v>
      </c>
    </row>
    <row r="912" spans="1:34" ht="42" customHeight="1" x14ac:dyDescent="0.2">
      <c r="B912" s="331" t="str">
        <f>+$B$11</f>
        <v>ITEM</v>
      </c>
      <c r="C912" s="318" t="str">
        <f>+$C$11</f>
        <v>PROPONENTE 
/ 
INTEGRANTE OFERENTE PLURAL</v>
      </c>
      <c r="D912" s="333" t="str">
        <f>+$D$11</f>
        <v>INFORMACIÓN DEL CONTRATO</v>
      </c>
      <c r="E912" s="334"/>
      <c r="F912" s="334"/>
      <c r="G912" s="335"/>
      <c r="H912" s="318" t="str">
        <f>+H895</f>
        <v>CONSECUTIVO RUP</v>
      </c>
      <c r="I912" s="318" t="str">
        <f>+$I$11</f>
        <v>¿SE ENCUENTRA INSCRITO EN EL RUP Y CUMPLE CÓDIGOS UNSPSC?</v>
      </c>
      <c r="J912" s="318" t="str">
        <f>+$J$11</f>
        <v xml:space="preserve">VALOR EN RUP (SMMLV) </v>
      </c>
      <c r="K912" s="318" t="str">
        <f>+$K$11</f>
        <v>% PARTIC en el RUP</v>
      </c>
      <c r="L912" s="318" t="str">
        <f>+$L$11</f>
        <v>VALOR DEL CONTRATO TERMINADO (SMMLV) en el   RUP</v>
      </c>
      <c r="M912" s="318" t="str">
        <f>+$M$11</f>
        <v>FECHA DE INICIO</v>
      </c>
      <c r="N912" s="318" t="str">
        <f>+$N$11</f>
        <v>FECHA DE TERMINACION</v>
      </c>
      <c r="O912" s="318" t="str">
        <f>+$O$11</f>
        <v>PLAZO CONTRA-TO (Meses)</v>
      </c>
      <c r="P912" s="390" t="str">
        <f>+$P$11</f>
        <v>Tsusp i</v>
      </c>
      <c r="Q912" s="391"/>
      <c r="R912" s="392"/>
      <c r="S912" s="318" t="str">
        <f>+$S$11</f>
        <v>PLAZO i REAL</v>
      </c>
      <c r="T912" s="318" t="str">
        <f>+$T$11</f>
        <v>FACTURA-CION MENSUAL PROPO-NENTE</v>
      </c>
      <c r="U912" s="318" t="str">
        <f>+$U$11</f>
        <v>VALIDACIÓN DE LA EXPERIENCIA GENERAL
(SI/NO)</v>
      </c>
      <c r="V912" s="393" t="str">
        <f>+$V$11</f>
        <v>OBSERVACIONES</v>
      </c>
      <c r="X912" s="326"/>
      <c r="Z912" s="381" t="str">
        <f>+$Z$11</f>
        <v>Interventoria a la ejecución de obras relacionadas con Colocación de capas granulares (tales como bases y/o sub-bases granulares).</v>
      </c>
      <c r="AB912" s="381" t="str">
        <f>+$AB$11</f>
        <v>Interventoria a la Ejecución de obras de subdrenaje y/o drenaje, en carreteras.</v>
      </c>
    </row>
    <row r="913" spans="1:34" ht="38.25" customHeight="1" thickBot="1" x14ac:dyDescent="0.25">
      <c r="B913" s="395"/>
      <c r="C913" s="348"/>
      <c r="D913" s="165" t="str">
        <f>+$D$12</f>
        <v>ENTIDAD</v>
      </c>
      <c r="E913" s="165" t="str">
        <f>+$E$12</f>
        <v>No. DE CONTRATO</v>
      </c>
      <c r="F913" s="165" t="str">
        <f>+$F$12</f>
        <v>OBJETO</v>
      </c>
      <c r="G913" s="165" t="str">
        <f>+$G$12</f>
        <v>CONTRATISTA</v>
      </c>
      <c r="H913" s="348"/>
      <c r="I913" s="348"/>
      <c r="J913" s="348"/>
      <c r="K913" s="348"/>
      <c r="L913" s="348"/>
      <c r="M913" s="348"/>
      <c r="N913" s="348"/>
      <c r="O913" s="348"/>
      <c r="P913" s="166" t="str">
        <f>+P896</f>
        <v>Finicsuspi</v>
      </c>
      <c r="Q913" s="166" t="str">
        <f>+Q896</f>
        <v xml:space="preserve"> Ftermsuspi </v>
      </c>
      <c r="R913" s="166" t="str">
        <f>+R896</f>
        <v>Tsusp i (meses)</v>
      </c>
      <c r="S913" s="348"/>
      <c r="T913" s="348"/>
      <c r="U913" s="348"/>
      <c r="V913" s="394"/>
      <c r="X913" s="327"/>
      <c r="Z913" s="381"/>
      <c r="AB913" s="381"/>
    </row>
    <row r="914" spans="1:34" s="27" customFormat="1" ht="12.75" x14ac:dyDescent="0.2">
      <c r="A914" s="27" t="str">
        <f>+IF(T914="","",B914)</f>
        <v/>
      </c>
      <c r="B914" s="28">
        <v>1</v>
      </c>
      <c r="C914" s="86"/>
      <c r="D914" s="86"/>
      <c r="E914" s="87"/>
      <c r="F914" s="87"/>
      <c r="G914" s="86"/>
      <c r="H914" s="30"/>
      <c r="I914" s="31"/>
      <c r="J914" s="32"/>
      <c r="K914" s="33"/>
      <c r="L914" s="34">
        <f>IF(OR(H914="",I914&lt;&gt;"SI",I914="NO",J914="",J914=0,K914="",K914=0,X914&lt;&gt;"SI"),0,J914*K914)</f>
        <v>0</v>
      </c>
      <c r="M914" s="204"/>
      <c r="N914" s="204"/>
      <c r="O914" s="169" t="str">
        <f>IF(OR(H914="",I914&lt;&gt;"SI",I914="NO",J914="",J914=0,K914="",K914=0,,M914="",N914=""),"",ROUND((((N914-M914)+1)/30),3))</f>
        <v/>
      </c>
      <c r="P914" s="204"/>
      <c r="Q914" s="204"/>
      <c r="R914" s="170">
        <f>IF(OR((Q914-P914)=0,P914="",Q914=""),0,(ROUND((((Q914-P914)+1)/30),3)))</f>
        <v>0</v>
      </c>
      <c r="S914" s="171" t="str">
        <f>IF(O914="","",ROUND(SUM(O914)-SUM(R914),3))</f>
        <v/>
      </c>
      <c r="T914" s="172" t="str">
        <f>+IF(C914="","",IF(OR(S914="",S914&lt;=0,I914="",I914="NO",U914="",U914="NO",X914="NO"),"",ROUND(SUM(L914)/S914,3)))</f>
        <v/>
      </c>
      <c r="U914" s="35"/>
      <c r="V914" s="36"/>
      <c r="W914" s="205"/>
      <c r="X914" s="37" t="str">
        <f t="shared" ref="X914:X923" si="424">+IF(C914="","",IF(AND(H914&lt;&gt;"",I914="SI",J914&lt;&gt;"",J914&gt;0,K914&lt;&gt;"",K914&gt;0,S914&lt;&gt;"",S914&gt;0,U914="SI"),"SI","NO"))</f>
        <v/>
      </c>
      <c r="Z914" s="173"/>
      <c r="AB914" s="173"/>
      <c r="AD914" s="10" t="str">
        <f t="shared" ref="AD914:AD923" si="425">+IF($C$911="","",IF(C914="","",IF(L914&gt;=$H$6,"SI","NO")))</f>
        <v/>
      </c>
      <c r="AE914" s="92" t="str">
        <f>+IF(OR($T$914="",X914="",X914="NO"),"",L914)</f>
        <v/>
      </c>
      <c r="AF914" s="92" t="str">
        <f>+IF(AE914="","",L914/$S$914)</f>
        <v/>
      </c>
      <c r="AG914" s="174">
        <f>0.1+B911</f>
        <v>54.1</v>
      </c>
      <c r="AH914" s="27" t="s">
        <v>932</v>
      </c>
    </row>
    <row r="915" spans="1:34" s="27" customFormat="1" ht="12.75" x14ac:dyDescent="0.2">
      <c r="A915" s="27" t="str">
        <f t="shared" ref="A915:A923" si="426">+IF(T915="","",B915)</f>
        <v/>
      </c>
      <c r="B915" s="38">
        <v>2</v>
      </c>
      <c r="C915" s="39"/>
      <c r="D915" s="39"/>
      <c r="E915" s="46"/>
      <c r="F915" s="46"/>
      <c r="G915" s="39"/>
      <c r="H915" s="40"/>
      <c r="I915" s="41"/>
      <c r="J915" s="42"/>
      <c r="K915" s="43"/>
      <c r="L915" s="44">
        <f t="shared" ref="L915:L923" si="427">IF(OR(H915="",I915&lt;&gt;"SI",I915="NO",J915="",J915=0,K915="",K915=0,X915&lt;&gt;"SI"),0,J915*K915)</f>
        <v>0</v>
      </c>
      <c r="M915" s="206"/>
      <c r="N915" s="206"/>
      <c r="O915" s="207" t="str">
        <f t="shared" ref="O915:O923" si="428">IF(OR(H915="",I915&lt;&gt;"SI",I915="NO",J915="",J915=0,K915="",K915=0,,M915="",N915=""),"",ROUND((((N915-M915)+1)/30),3))</f>
        <v/>
      </c>
      <c r="P915" s="206"/>
      <c r="Q915" s="206"/>
      <c r="R915" s="177">
        <f t="shared" ref="R915:R923" si="429">IF(OR((Q915-P915)=0,P915="",Q915=""),0,(ROUND((((Q915-P915)+1)/30),3)))</f>
        <v>0</v>
      </c>
      <c r="S915" s="178" t="str">
        <f t="shared" ref="S915:S923" si="430">IF(O915="","",ROUND(SUM(O915)-SUM(R915),3))</f>
        <v/>
      </c>
      <c r="T915" s="208" t="str">
        <f t="shared" ref="T915:T923" si="431">+IF(C915="","",IF(OR(S915="",S915&lt;=0,I915="",I915="NO",U915="",U915="NO",X915="NO"),"",ROUND(SUM(L915)/S915,3)))</f>
        <v/>
      </c>
      <c r="U915" s="41"/>
      <c r="V915" s="209"/>
      <c r="W915" s="205"/>
      <c r="X915" s="37" t="str">
        <f t="shared" si="424"/>
        <v/>
      </c>
      <c r="Z915" s="173"/>
      <c r="AB915" s="173"/>
      <c r="AD915" s="10" t="str">
        <f t="shared" si="425"/>
        <v/>
      </c>
      <c r="AE915" s="92" t="str">
        <f>+IF(OR($T$915="",X915="",X915="NO"),"",L915)</f>
        <v/>
      </c>
      <c r="AF915" s="92" t="str">
        <f>+IF(AE915="","",L915/$S$915)</f>
        <v/>
      </c>
      <c r="AG915" s="174">
        <f>0.2+B911</f>
        <v>54.2</v>
      </c>
      <c r="AH915" s="27" t="s">
        <v>932</v>
      </c>
    </row>
    <row r="916" spans="1:34" s="27" customFormat="1" ht="12.75" x14ac:dyDescent="0.2">
      <c r="A916" s="27" t="str">
        <f t="shared" si="426"/>
        <v/>
      </c>
      <c r="B916" s="38">
        <v>3</v>
      </c>
      <c r="C916" s="39"/>
      <c r="D916" s="39"/>
      <c r="E916" s="46"/>
      <c r="F916" s="46"/>
      <c r="G916" s="39"/>
      <c r="H916" s="40"/>
      <c r="I916" s="41"/>
      <c r="J916" s="42"/>
      <c r="K916" s="43"/>
      <c r="L916" s="44">
        <f t="shared" si="427"/>
        <v>0</v>
      </c>
      <c r="M916" s="206"/>
      <c r="N916" s="206"/>
      <c r="O916" s="207" t="str">
        <f t="shared" si="428"/>
        <v/>
      </c>
      <c r="P916" s="206"/>
      <c r="Q916" s="206"/>
      <c r="R916" s="177">
        <f t="shared" si="429"/>
        <v>0</v>
      </c>
      <c r="S916" s="178" t="str">
        <f t="shared" si="430"/>
        <v/>
      </c>
      <c r="T916" s="208" t="str">
        <f t="shared" si="431"/>
        <v/>
      </c>
      <c r="U916" s="41"/>
      <c r="V916" s="45"/>
      <c r="W916" s="205"/>
      <c r="X916" s="37" t="str">
        <f t="shared" si="424"/>
        <v/>
      </c>
      <c r="Z916" s="173"/>
      <c r="AB916" s="173"/>
      <c r="AD916" s="10" t="str">
        <f t="shared" si="425"/>
        <v/>
      </c>
      <c r="AE916" s="92" t="str">
        <f>+IF(OR($T$916="",X916="",X916="NO"),"",L916)</f>
        <v/>
      </c>
      <c r="AF916" s="92" t="str">
        <f>+IF(AE916="","",L916/$S$916)</f>
        <v/>
      </c>
      <c r="AG916" s="174">
        <f>0.3+B911</f>
        <v>54.3</v>
      </c>
      <c r="AH916" s="27" t="s">
        <v>932</v>
      </c>
    </row>
    <row r="917" spans="1:34" s="27" customFormat="1" ht="12.75" x14ac:dyDescent="0.2">
      <c r="A917" s="27" t="str">
        <f t="shared" si="426"/>
        <v/>
      </c>
      <c r="B917" s="38">
        <v>4</v>
      </c>
      <c r="C917" s="39"/>
      <c r="D917" s="39"/>
      <c r="E917" s="46"/>
      <c r="F917" s="46"/>
      <c r="G917" s="39"/>
      <c r="H917" s="40"/>
      <c r="I917" s="41"/>
      <c r="J917" s="42"/>
      <c r="K917" s="43"/>
      <c r="L917" s="44">
        <f t="shared" si="427"/>
        <v>0</v>
      </c>
      <c r="M917" s="206"/>
      <c r="N917" s="206"/>
      <c r="O917" s="207" t="str">
        <f t="shared" si="428"/>
        <v/>
      </c>
      <c r="P917" s="206"/>
      <c r="Q917" s="206"/>
      <c r="R917" s="177">
        <f t="shared" si="429"/>
        <v>0</v>
      </c>
      <c r="S917" s="178" t="str">
        <f t="shared" si="430"/>
        <v/>
      </c>
      <c r="T917" s="208" t="str">
        <f t="shared" si="431"/>
        <v/>
      </c>
      <c r="U917" s="41"/>
      <c r="V917" s="45"/>
      <c r="W917" s="210"/>
      <c r="X917" s="37" t="str">
        <f t="shared" si="424"/>
        <v/>
      </c>
      <c r="Z917" s="180"/>
      <c r="AB917" s="173"/>
      <c r="AD917" s="10" t="str">
        <f t="shared" si="425"/>
        <v/>
      </c>
      <c r="AE917" s="92" t="str">
        <f>+IF(OR($T$917="",X917="",X917="NO"),"",L917)</f>
        <v/>
      </c>
      <c r="AF917" s="92" t="str">
        <f>+IF(AE917="","",L917/$S$917)</f>
        <v/>
      </c>
      <c r="AG917" s="174"/>
    </row>
    <row r="918" spans="1:34" s="27" customFormat="1" ht="12.75" x14ac:dyDescent="0.2">
      <c r="A918" s="27" t="str">
        <f t="shared" si="426"/>
        <v/>
      </c>
      <c r="B918" s="38">
        <v>5</v>
      </c>
      <c r="C918" s="39"/>
      <c r="D918" s="39"/>
      <c r="E918" s="46"/>
      <c r="F918" s="46"/>
      <c r="G918" s="39"/>
      <c r="H918" s="40"/>
      <c r="I918" s="41"/>
      <c r="J918" s="42"/>
      <c r="K918" s="43"/>
      <c r="L918" s="44">
        <f t="shared" si="427"/>
        <v>0</v>
      </c>
      <c r="M918" s="206"/>
      <c r="N918" s="206"/>
      <c r="O918" s="207" t="str">
        <f t="shared" si="428"/>
        <v/>
      </c>
      <c r="P918" s="206"/>
      <c r="Q918" s="206"/>
      <c r="R918" s="177">
        <f t="shared" si="429"/>
        <v>0</v>
      </c>
      <c r="S918" s="178" t="str">
        <f t="shared" si="430"/>
        <v/>
      </c>
      <c r="T918" s="208" t="str">
        <f t="shared" si="431"/>
        <v/>
      </c>
      <c r="U918" s="41"/>
      <c r="V918" s="45"/>
      <c r="X918" s="37" t="str">
        <f t="shared" si="424"/>
        <v/>
      </c>
      <c r="Z918" s="181"/>
      <c r="AB918" s="173"/>
      <c r="AD918" s="10" t="str">
        <f t="shared" si="425"/>
        <v/>
      </c>
      <c r="AE918" s="92" t="str">
        <f>+IF(OR($T$918="",X918="",X918="NO"),"",L918)</f>
        <v/>
      </c>
      <c r="AF918" s="92" t="str">
        <f>+IF(AE918="","",L918/$S$918)</f>
        <v/>
      </c>
      <c r="AG918" s="174"/>
    </row>
    <row r="919" spans="1:34" s="27" customFormat="1" ht="12.75" x14ac:dyDescent="0.2">
      <c r="A919" s="27" t="str">
        <f t="shared" si="426"/>
        <v/>
      </c>
      <c r="B919" s="38">
        <v>6</v>
      </c>
      <c r="C919" s="39"/>
      <c r="D919" s="39"/>
      <c r="E919" s="46"/>
      <c r="F919" s="46"/>
      <c r="G919" s="39"/>
      <c r="H919" s="40"/>
      <c r="I919" s="41"/>
      <c r="J919" s="42"/>
      <c r="K919" s="43"/>
      <c r="L919" s="44">
        <f t="shared" si="427"/>
        <v>0</v>
      </c>
      <c r="M919" s="206"/>
      <c r="N919" s="206"/>
      <c r="O919" s="207" t="str">
        <f t="shared" si="428"/>
        <v/>
      </c>
      <c r="P919" s="206"/>
      <c r="Q919" s="206"/>
      <c r="R919" s="177">
        <f t="shared" si="429"/>
        <v>0</v>
      </c>
      <c r="S919" s="178" t="str">
        <f t="shared" si="430"/>
        <v/>
      </c>
      <c r="T919" s="208" t="str">
        <f t="shared" si="431"/>
        <v/>
      </c>
      <c r="U919" s="41"/>
      <c r="V919" s="45"/>
      <c r="X919" s="37" t="str">
        <f t="shared" si="424"/>
        <v/>
      </c>
      <c r="Z919" s="181"/>
      <c r="AB919" s="173"/>
      <c r="AD919" s="10" t="str">
        <f t="shared" si="425"/>
        <v/>
      </c>
      <c r="AE919" s="92" t="str">
        <f>+IF(OR($T$919="",X919="",X919="NO"),"",L919)</f>
        <v/>
      </c>
      <c r="AF919" s="92" t="str">
        <f>+IF(AE919="","",L919/$S$919)</f>
        <v/>
      </c>
      <c r="AG919" s="174"/>
    </row>
    <row r="920" spans="1:34" s="27" customFormat="1" ht="12.75" x14ac:dyDescent="0.2">
      <c r="A920" s="27" t="str">
        <f t="shared" si="426"/>
        <v/>
      </c>
      <c r="B920" s="38">
        <v>7</v>
      </c>
      <c r="C920" s="39"/>
      <c r="D920" s="39"/>
      <c r="E920" s="46"/>
      <c r="F920" s="46"/>
      <c r="G920" s="39"/>
      <c r="H920" s="40"/>
      <c r="I920" s="41"/>
      <c r="J920" s="42"/>
      <c r="K920" s="43"/>
      <c r="L920" s="44">
        <f t="shared" si="427"/>
        <v>0</v>
      </c>
      <c r="M920" s="206"/>
      <c r="N920" s="206"/>
      <c r="O920" s="207" t="str">
        <f t="shared" si="428"/>
        <v/>
      </c>
      <c r="P920" s="206"/>
      <c r="Q920" s="206"/>
      <c r="R920" s="177">
        <f t="shared" si="429"/>
        <v>0</v>
      </c>
      <c r="S920" s="178" t="str">
        <f t="shared" si="430"/>
        <v/>
      </c>
      <c r="T920" s="208" t="str">
        <f t="shared" si="431"/>
        <v/>
      </c>
      <c r="U920" s="41"/>
      <c r="V920" s="45"/>
      <c r="X920" s="37" t="str">
        <f t="shared" si="424"/>
        <v/>
      </c>
      <c r="Z920" s="181"/>
      <c r="AB920" s="173"/>
      <c r="AD920" s="10" t="str">
        <f t="shared" si="425"/>
        <v/>
      </c>
      <c r="AE920" s="92" t="str">
        <f>+IF(OR($T$920="",X920="",X920="NO"),"",L920)</f>
        <v/>
      </c>
      <c r="AF920" s="92" t="str">
        <f>+IF(AE920="","",L920/$S$920)</f>
        <v/>
      </c>
      <c r="AG920" s="174"/>
    </row>
    <row r="921" spans="1:34" s="27" customFormat="1" ht="12.75" x14ac:dyDescent="0.2">
      <c r="A921" s="27" t="str">
        <f t="shared" si="426"/>
        <v/>
      </c>
      <c r="B921" s="38">
        <v>8</v>
      </c>
      <c r="C921" s="39"/>
      <c r="D921" s="39"/>
      <c r="E921" s="46"/>
      <c r="F921" s="46"/>
      <c r="G921" s="39"/>
      <c r="H921" s="40"/>
      <c r="I921" s="41"/>
      <c r="J921" s="42"/>
      <c r="K921" s="43"/>
      <c r="L921" s="44">
        <f t="shared" si="427"/>
        <v>0</v>
      </c>
      <c r="M921" s="206"/>
      <c r="N921" s="206"/>
      <c r="O921" s="207" t="str">
        <f t="shared" si="428"/>
        <v/>
      </c>
      <c r="P921" s="206"/>
      <c r="Q921" s="206"/>
      <c r="R921" s="177">
        <f t="shared" si="429"/>
        <v>0</v>
      </c>
      <c r="S921" s="178" t="str">
        <f t="shared" si="430"/>
        <v/>
      </c>
      <c r="T921" s="208" t="str">
        <f t="shared" si="431"/>
        <v/>
      </c>
      <c r="U921" s="41"/>
      <c r="V921" s="45"/>
      <c r="X921" s="37" t="str">
        <f t="shared" si="424"/>
        <v/>
      </c>
      <c r="Z921" s="181"/>
      <c r="AB921" s="173"/>
      <c r="AD921" s="10" t="str">
        <f t="shared" si="425"/>
        <v/>
      </c>
      <c r="AE921" s="92" t="str">
        <f>+IF(OR($T$921="",X921="",X921="NO"),"",L921)</f>
        <v/>
      </c>
      <c r="AF921" s="92" t="str">
        <f>+IF(AE921="","",L921/$S$921)</f>
        <v/>
      </c>
      <c r="AG921" s="174"/>
    </row>
    <row r="922" spans="1:34" s="27" customFormat="1" ht="12.75" x14ac:dyDescent="0.2">
      <c r="A922" s="27" t="str">
        <f t="shared" si="426"/>
        <v/>
      </c>
      <c r="B922" s="38">
        <v>9</v>
      </c>
      <c r="C922" s="39"/>
      <c r="D922" s="39"/>
      <c r="E922" s="46"/>
      <c r="F922" s="46"/>
      <c r="G922" s="39"/>
      <c r="H922" s="40"/>
      <c r="I922" s="41"/>
      <c r="J922" s="42"/>
      <c r="K922" s="43"/>
      <c r="L922" s="44">
        <f t="shared" si="427"/>
        <v>0</v>
      </c>
      <c r="M922" s="206"/>
      <c r="N922" s="206"/>
      <c r="O922" s="207" t="str">
        <f t="shared" si="428"/>
        <v/>
      </c>
      <c r="P922" s="206"/>
      <c r="Q922" s="206"/>
      <c r="R922" s="177">
        <f t="shared" si="429"/>
        <v>0</v>
      </c>
      <c r="S922" s="178" t="str">
        <f t="shared" si="430"/>
        <v/>
      </c>
      <c r="T922" s="208" t="str">
        <f t="shared" si="431"/>
        <v/>
      </c>
      <c r="U922" s="41"/>
      <c r="V922" s="45"/>
      <c r="X922" s="37" t="str">
        <f t="shared" si="424"/>
        <v/>
      </c>
      <c r="Z922" s="181"/>
      <c r="AB922" s="173"/>
      <c r="AD922" s="10" t="str">
        <f t="shared" si="425"/>
        <v/>
      </c>
      <c r="AE922" s="92" t="str">
        <f>+IF(OR($T$922="",X922="",X922="NO"),"",L922)</f>
        <v/>
      </c>
      <c r="AF922" s="92" t="str">
        <f>+IF(AE922="","",L922/$S$922)</f>
        <v/>
      </c>
      <c r="AG922" s="174"/>
    </row>
    <row r="923" spans="1:34" s="27" customFormat="1" ht="13.5" thickBot="1" x14ac:dyDescent="0.25">
      <c r="A923" s="27" t="str">
        <f t="shared" si="426"/>
        <v/>
      </c>
      <c r="B923" s="47">
        <v>10</v>
      </c>
      <c r="C923" s="48"/>
      <c r="D923" s="48"/>
      <c r="E923" s="49"/>
      <c r="F923" s="49"/>
      <c r="G923" s="48"/>
      <c r="H923" s="50"/>
      <c r="I923" s="51"/>
      <c r="J923" s="14"/>
      <c r="K923" s="52"/>
      <c r="L923" s="53">
        <f t="shared" si="427"/>
        <v>0</v>
      </c>
      <c r="M923" s="211"/>
      <c r="N923" s="211"/>
      <c r="O923" s="212" t="str">
        <f t="shared" si="428"/>
        <v/>
      </c>
      <c r="P923" s="211"/>
      <c r="Q923" s="211"/>
      <c r="R923" s="184">
        <f t="shared" si="429"/>
        <v>0</v>
      </c>
      <c r="S923" s="185" t="str">
        <f t="shared" si="430"/>
        <v/>
      </c>
      <c r="T923" s="213" t="str">
        <f t="shared" si="431"/>
        <v/>
      </c>
      <c r="U923" s="51"/>
      <c r="V923" s="54"/>
      <c r="X923" s="55" t="str">
        <f t="shared" si="424"/>
        <v/>
      </c>
      <c r="Z923" s="187"/>
      <c r="AB923" s="188"/>
      <c r="AD923" s="10" t="str">
        <f t="shared" si="425"/>
        <v/>
      </c>
      <c r="AE923" s="92" t="str">
        <f>+IF(OR($T$923="",X923="",X923="NO"),"",L923)</f>
        <v/>
      </c>
      <c r="AF923" s="92" t="str">
        <f>+IF(AE923="","",L923/$S$923)</f>
        <v/>
      </c>
    </row>
    <row r="924" spans="1:34" ht="36" customHeight="1" x14ac:dyDescent="0.2">
      <c r="B924" s="57" t="str">
        <f>"A"&amp;B911</f>
        <v>A54</v>
      </c>
      <c r="C924" s="382" t="str">
        <f>+$C$23</f>
        <v>¿CADA INTEGRANTE DE PROPONENTE PLURAL APORTAN CONTRATO?  (SI; NO; NA)</v>
      </c>
      <c r="D924" s="383"/>
      <c r="E924" s="383"/>
      <c r="F924" s="383"/>
      <c r="G924" s="383"/>
      <c r="H924" s="384"/>
      <c r="I924" s="217" t="str">
        <f>+IF(AG911="","",IF(AG911=1,"NA",IF(AND(AG911=3,(IF(COUNTIFS(C914:C923,AH914,AE914:AE923,"&gt;0")&gt;=1,1,0)+IF(COUNTIFS(C914:C923,AH915,AE914:AE923,"&gt;0")&gt;=1,1,0)+IF(COUNTIFS(C914:C923,AH916,AE914:AE923,"&gt;0")&gt;=1,1,0))&gt;=AG911),"SI",IF(AND(AG911=2,(IF(COUNTIFS(C914:C923,AH914,AE914:AE923,"&gt;0")&gt;=1,1,0)+IF(COUNTIFS(C914:C923,AH915,AE914:AE923,"&gt;0")&gt;=1,1,0))&gt;=AG911),"SI","NO"))))</f>
        <v/>
      </c>
      <c r="J924" s="59"/>
      <c r="K924" s="27"/>
      <c r="L924" s="27"/>
      <c r="M924" s="27"/>
      <c r="N924" s="27"/>
      <c r="O924" s="27"/>
      <c r="P924" s="385" t="str">
        <f>+$P$23</f>
        <v>FACTURACION MENSUAL TOTAL</v>
      </c>
      <c r="Q924" s="386"/>
      <c r="R924" s="386"/>
      <c r="S924" s="386"/>
      <c r="T924" s="189">
        <f>ROUND(SUM(T914:T923),3)</f>
        <v>0</v>
      </c>
      <c r="U924" s="60"/>
      <c r="V924" s="1"/>
      <c r="W924" s="61"/>
      <c r="X924" s="61"/>
      <c r="Y924" s="61"/>
      <c r="Z924" s="61"/>
      <c r="AA924" s="61"/>
      <c r="AB924" s="61"/>
    </row>
    <row r="925" spans="1:34" ht="38.25" customHeight="1" thickBot="1" x14ac:dyDescent="0.25">
      <c r="B925" s="57" t="str">
        <f>"B"&amp;B911</f>
        <v>B54</v>
      </c>
      <c r="C925" s="387" t="str">
        <f>+C908</f>
        <v>En caso de proponente plural: ¿De la totalidad de los contratos aportados por el proponente plural, el valor ejecutado de uno de ellos deberá ser igual o superior al 30% del P.O.?  (SI; NO; NA)</v>
      </c>
      <c r="D925" s="388"/>
      <c r="E925" s="388"/>
      <c r="F925" s="388"/>
      <c r="G925" s="389"/>
      <c r="H925" s="190">
        <f>+$H$6</f>
        <v>268.14722506074827</v>
      </c>
      <c r="I925" s="191" t="str">
        <f>+IF(AG911="","",IF(AG911=1,"NA",IF(AND(AG911&gt;1,(COUNTIFS(AD914:AD923,"SI",AE914:AE923,"&gt;0"))&gt;=1),"SI","NO")))</f>
        <v/>
      </c>
      <c r="J925" s="192"/>
      <c r="K925" s="193"/>
      <c r="L925" s="194"/>
      <c r="M925" s="194"/>
      <c r="N925" s="194"/>
      <c r="O925" s="194"/>
      <c r="P925" s="387" t="str">
        <f>+$P$24</f>
        <v>PROMEDIO FACTURACIÓN MENSUAL DEL PROPONENTE (PFMP)</v>
      </c>
      <c r="Q925" s="388"/>
      <c r="R925" s="388"/>
      <c r="S925" s="388"/>
      <c r="T925" s="195">
        <f t="array" ref="T925">IF(T924=0,0,ROUND(T924/(SUM(IF(FREQUENCY(A914:A923,A914:A923)&gt;0,1))),3))</f>
        <v>0</v>
      </c>
      <c r="U925" s="214"/>
      <c r="V925" s="1"/>
      <c r="W925" s="61"/>
      <c r="X925" s="61"/>
      <c r="Y925" s="61"/>
      <c r="Z925" s="61"/>
      <c r="AA925" s="61"/>
      <c r="AB925" s="61"/>
    </row>
    <row r="926" spans="1:34" ht="21" customHeight="1" thickBot="1" x14ac:dyDescent="0.25">
      <c r="B926" s="197" t="str">
        <f>"C"&amp;B911</f>
        <v>C54</v>
      </c>
      <c r="C926" s="349" t="str">
        <f>+$C$25</f>
        <v>PROPONENTE CUMPLE CON LAS ACTIVIDADES a) y b)? (SI; NO)</v>
      </c>
      <c r="D926" s="350"/>
      <c r="E926" s="350"/>
      <c r="F926" s="350"/>
      <c r="G926" s="350"/>
      <c r="H926" s="351"/>
      <c r="I926" s="198" t="str">
        <f>IF(C911="","",(IF(AND(COUNTIFS(X914:X923,"SI",Z914:Z923,"SI")&gt;=$Z$8,COUNTIFS(X914:X923,"SI",AB914:AB923,"SI")&gt;=$Z$8),"SI","NO")))</f>
        <v/>
      </c>
      <c r="J926" s="199"/>
      <c r="K926" s="200"/>
      <c r="L926" s="200"/>
      <c r="M926" s="200"/>
      <c r="N926" s="200"/>
      <c r="P926" s="378" t="str">
        <f>+$P$25</f>
        <v>VALOR PUNTAJE POR EXPERIENCIA DEL PROPONENTE</v>
      </c>
      <c r="Q926" s="379"/>
      <c r="R926" s="379"/>
      <c r="S926" s="380"/>
      <c r="T926" s="201" t="str">
        <f>IF(OR(C911="",'ASIGNACION DE PUNTAJES'!$C$5=""),"",VLOOKUP(B911,'ASIGNACION DE PUNTAJES'!$A$15:$G$69,7,FALSE))</f>
        <v/>
      </c>
      <c r="V926" s="202"/>
    </row>
    <row r="927" spans="1:34" ht="12" thickBot="1" x14ac:dyDescent="0.25"/>
    <row r="928" spans="1:34" ht="36.75" customHeight="1" thickBot="1" x14ac:dyDescent="0.25">
      <c r="B928" s="23">
        <f>1+B911</f>
        <v>55</v>
      </c>
      <c r="C928" s="336" t="s">
        <v>932</v>
      </c>
      <c r="D928" s="337"/>
      <c r="E928" s="337"/>
      <c r="F928" s="337"/>
      <c r="G928" s="337"/>
      <c r="H928" s="337"/>
      <c r="I928" s="338"/>
      <c r="J928" s="24" t="str">
        <f>+IF(C928="","","INTEGRANTES")</f>
        <v/>
      </c>
      <c r="K928" s="339" t="s">
        <v>932</v>
      </c>
      <c r="L928" s="339"/>
      <c r="M928" s="339"/>
      <c r="N928" s="339"/>
      <c r="O928" s="339"/>
      <c r="P928" s="339"/>
      <c r="Q928" s="339"/>
      <c r="R928" s="396" t="str">
        <f>+$R$10</f>
        <v>PROPONENTE No.</v>
      </c>
      <c r="S928" s="397"/>
      <c r="T928" s="25">
        <f>+B928</f>
        <v>55</v>
      </c>
      <c r="U928" s="161" t="str">
        <f>+$U$10</f>
        <v>PFMP</v>
      </c>
      <c r="V928" s="162">
        <f>IF(T942="",0,T942)</f>
        <v>0</v>
      </c>
      <c r="X928" s="325" t="s">
        <v>168</v>
      </c>
      <c r="Z928" s="163" t="str">
        <f>+$Z$10</f>
        <v>EXP. ESPECÍFICA 
A:</v>
      </c>
      <c r="AB928" s="163" t="str">
        <f>+$AB$10</f>
        <v>EXP. ESPECÍFICA 
B:</v>
      </c>
      <c r="AG928" s="1" t="s">
        <v>932</v>
      </c>
    </row>
    <row r="929" spans="1:34" ht="42" customHeight="1" x14ac:dyDescent="0.2">
      <c r="B929" s="331" t="str">
        <f>+$B$11</f>
        <v>ITEM</v>
      </c>
      <c r="C929" s="318" t="str">
        <f>+$C$11</f>
        <v>PROPONENTE 
/ 
INTEGRANTE OFERENTE PLURAL</v>
      </c>
      <c r="D929" s="333" t="str">
        <f>+$D$11</f>
        <v>INFORMACIÓN DEL CONTRATO</v>
      </c>
      <c r="E929" s="334"/>
      <c r="F929" s="334"/>
      <c r="G929" s="335"/>
      <c r="H929" s="318" t="str">
        <f>+H912</f>
        <v>CONSECUTIVO RUP</v>
      </c>
      <c r="I929" s="318" t="str">
        <f>+$I$11</f>
        <v>¿SE ENCUENTRA INSCRITO EN EL RUP Y CUMPLE CÓDIGOS UNSPSC?</v>
      </c>
      <c r="J929" s="318" t="str">
        <f>+$J$11</f>
        <v xml:space="preserve">VALOR EN RUP (SMMLV) </v>
      </c>
      <c r="K929" s="318" t="str">
        <f>+$K$11</f>
        <v>% PARTIC en el RUP</v>
      </c>
      <c r="L929" s="318" t="str">
        <f>+$L$11</f>
        <v>VALOR DEL CONTRATO TERMINADO (SMMLV) en el   RUP</v>
      </c>
      <c r="M929" s="318" t="str">
        <f>+$M$11</f>
        <v>FECHA DE INICIO</v>
      </c>
      <c r="N929" s="318" t="str">
        <f>+$N$11</f>
        <v>FECHA DE TERMINACION</v>
      </c>
      <c r="O929" s="318" t="str">
        <f>+$O$11</f>
        <v>PLAZO CONTRA-TO (Meses)</v>
      </c>
      <c r="P929" s="390" t="str">
        <f>+$P$11</f>
        <v>Tsusp i</v>
      </c>
      <c r="Q929" s="391"/>
      <c r="R929" s="392"/>
      <c r="S929" s="318" t="str">
        <f>+$S$11</f>
        <v>PLAZO i REAL</v>
      </c>
      <c r="T929" s="318" t="str">
        <f>+$T$11</f>
        <v>FACTURA-CION MENSUAL PROPO-NENTE</v>
      </c>
      <c r="U929" s="318" t="str">
        <f>+$U$11</f>
        <v>VALIDACIÓN DE LA EXPERIENCIA GENERAL
(SI/NO)</v>
      </c>
      <c r="V929" s="393" t="str">
        <f>+$V$11</f>
        <v>OBSERVACIONES</v>
      </c>
      <c r="X929" s="326"/>
      <c r="Z929" s="381" t="str">
        <f>+$Z$11</f>
        <v>Interventoria a la ejecución de obras relacionadas con Colocación de capas granulares (tales como bases y/o sub-bases granulares).</v>
      </c>
      <c r="AB929" s="381" t="str">
        <f>+$AB$11</f>
        <v>Interventoria a la Ejecución de obras de subdrenaje y/o drenaje, en carreteras.</v>
      </c>
    </row>
    <row r="930" spans="1:34" ht="38.25" customHeight="1" thickBot="1" x14ac:dyDescent="0.25">
      <c r="B930" s="395"/>
      <c r="C930" s="348"/>
      <c r="D930" s="165" t="str">
        <f>+$D$12</f>
        <v>ENTIDAD</v>
      </c>
      <c r="E930" s="165" t="str">
        <f>+$E$12</f>
        <v>No. DE CONTRATO</v>
      </c>
      <c r="F930" s="165" t="str">
        <f>+$F$12</f>
        <v>OBJETO</v>
      </c>
      <c r="G930" s="165" t="str">
        <f>+$G$12</f>
        <v>CONTRATISTA</v>
      </c>
      <c r="H930" s="348"/>
      <c r="I930" s="348"/>
      <c r="J930" s="348"/>
      <c r="K930" s="348"/>
      <c r="L930" s="348"/>
      <c r="M930" s="348"/>
      <c r="N930" s="348"/>
      <c r="O930" s="348"/>
      <c r="P930" s="166" t="str">
        <f>+P913</f>
        <v>Finicsuspi</v>
      </c>
      <c r="Q930" s="166" t="str">
        <f>+Q913</f>
        <v xml:space="preserve"> Ftermsuspi </v>
      </c>
      <c r="R930" s="166" t="str">
        <f>+R913</f>
        <v>Tsusp i (meses)</v>
      </c>
      <c r="S930" s="348"/>
      <c r="T930" s="348"/>
      <c r="U930" s="348"/>
      <c r="V930" s="394"/>
      <c r="X930" s="327"/>
      <c r="Z930" s="381"/>
      <c r="AB930" s="381"/>
    </row>
    <row r="931" spans="1:34" s="27" customFormat="1" ht="12.75" x14ac:dyDescent="0.2">
      <c r="A931" s="27" t="str">
        <f>+IF(T931="","",B931)</f>
        <v/>
      </c>
      <c r="B931" s="28">
        <v>1</v>
      </c>
      <c r="C931" s="86"/>
      <c r="D931" s="86"/>
      <c r="E931" s="87"/>
      <c r="F931" s="87"/>
      <c r="G931" s="86"/>
      <c r="H931" s="30"/>
      <c r="I931" s="31"/>
      <c r="J931" s="32"/>
      <c r="K931" s="33"/>
      <c r="L931" s="34">
        <f>IF(OR(H931="",I931&lt;&gt;"SI",I931="NO",J931="",J931=0,K931="",K931=0,X931&lt;&gt;"SI"),0,J931*K931)</f>
        <v>0</v>
      </c>
      <c r="M931" s="204"/>
      <c r="N931" s="204"/>
      <c r="O931" s="169" t="str">
        <f>IF(OR(H931="",I931&lt;&gt;"SI",I931="NO",J931="",J931=0,K931="",K931=0,,M931="",N931=""),"",ROUND((((N931-M931)+1)/30),3))</f>
        <v/>
      </c>
      <c r="P931" s="204"/>
      <c r="Q931" s="204"/>
      <c r="R931" s="170">
        <f>IF(OR((Q931-P931)=0,P931="",Q931=""),0,(ROUND((((Q931-P931)+1)/30),3)))</f>
        <v>0</v>
      </c>
      <c r="S931" s="171" t="str">
        <f>IF(O931="","",ROUND(SUM(O931)-SUM(R931),3))</f>
        <v/>
      </c>
      <c r="T931" s="172" t="str">
        <f>+IF(C931="","",IF(OR(S931="",S931&lt;=0,I931="",I931="NO",U931="",U931="NO",X931="NO"),"",ROUND(SUM(L931)/S931,3)))</f>
        <v/>
      </c>
      <c r="U931" s="35"/>
      <c r="V931" s="36"/>
      <c r="W931" s="205"/>
      <c r="X931" s="37" t="str">
        <f t="shared" ref="X931:X940" si="432">+IF(C931="","",IF(AND(H931&lt;&gt;"",I931="SI",J931&lt;&gt;"",J931&gt;0,K931&lt;&gt;"",K931&gt;0,S931&lt;&gt;"",S931&gt;0,U931="SI"),"SI","NO"))</f>
        <v/>
      </c>
      <c r="Z931" s="173"/>
      <c r="AB931" s="173"/>
      <c r="AD931" s="10" t="str">
        <f t="shared" ref="AD931:AD940" si="433">+IF($C$928="","",IF(C931="","",IF(L931&gt;=$H$6,"SI","NO")))</f>
        <v/>
      </c>
      <c r="AE931" s="92" t="str">
        <f>+IF(OR($T$931="",X931="",X931="NO"),"",L931)</f>
        <v/>
      </c>
      <c r="AF931" s="92" t="str">
        <f>+IF(AE931="","",L931/$S$931)</f>
        <v/>
      </c>
      <c r="AG931" s="174">
        <f>0.1+B928</f>
        <v>55.1</v>
      </c>
      <c r="AH931" s="27" t="s">
        <v>932</v>
      </c>
    </row>
    <row r="932" spans="1:34" s="27" customFormat="1" ht="12.75" x14ac:dyDescent="0.2">
      <c r="A932" s="27" t="str">
        <f t="shared" ref="A932:A940" si="434">+IF(T932="","",B932)</f>
        <v/>
      </c>
      <c r="B932" s="38">
        <v>2</v>
      </c>
      <c r="C932" s="39"/>
      <c r="D932" s="39"/>
      <c r="E932" s="46"/>
      <c r="F932" s="46"/>
      <c r="G932" s="39"/>
      <c r="H932" s="40"/>
      <c r="I932" s="41"/>
      <c r="J932" s="42"/>
      <c r="K932" s="43"/>
      <c r="L932" s="44">
        <f t="shared" ref="L932:L940" si="435">IF(OR(H932="",I932&lt;&gt;"SI",I932="NO",J932="",J932=0,K932="",K932=0,X932&lt;&gt;"SI"),0,J932*K932)</f>
        <v>0</v>
      </c>
      <c r="M932" s="206"/>
      <c r="N932" s="206"/>
      <c r="O932" s="207" t="str">
        <f t="shared" ref="O932:O940" si="436">IF(OR(H932="",I932&lt;&gt;"SI",I932="NO",J932="",J932=0,K932="",K932=0,,M932="",N932=""),"",ROUND((((N932-M932)+1)/30),3))</f>
        <v/>
      </c>
      <c r="P932" s="206"/>
      <c r="Q932" s="206"/>
      <c r="R932" s="177">
        <f t="shared" ref="R932:R940" si="437">IF(OR((Q932-P932)=0,P932="",Q932=""),0,(ROUND((((Q932-P932)+1)/30),3)))</f>
        <v>0</v>
      </c>
      <c r="S932" s="178" t="str">
        <f t="shared" ref="S932:S940" si="438">IF(O932="","",ROUND(SUM(O932)-SUM(R932),3))</f>
        <v/>
      </c>
      <c r="T932" s="208" t="str">
        <f t="shared" ref="T932:T940" si="439">+IF(C932="","",IF(OR(S932="",S932&lt;=0,I932="",I932="NO",U932="",U932="NO",X932="NO"),"",ROUND(SUM(L932)/S932,3)))</f>
        <v/>
      </c>
      <c r="U932" s="41"/>
      <c r="V932" s="209"/>
      <c r="W932" s="205"/>
      <c r="X932" s="37" t="str">
        <f t="shared" si="432"/>
        <v/>
      </c>
      <c r="Z932" s="173"/>
      <c r="AB932" s="173"/>
      <c r="AD932" s="10" t="str">
        <f t="shared" si="433"/>
        <v/>
      </c>
      <c r="AE932" s="92" t="str">
        <f>+IF(OR($T$932="",X932="",X932="NO"),"",L932)</f>
        <v/>
      </c>
      <c r="AF932" s="92" t="str">
        <f>+IF(AE932="","",L932/$S$932)</f>
        <v/>
      </c>
      <c r="AG932" s="174">
        <f>0.2+B928</f>
        <v>55.2</v>
      </c>
      <c r="AH932" s="27" t="s">
        <v>932</v>
      </c>
    </row>
    <row r="933" spans="1:34" s="27" customFormat="1" ht="12.75" x14ac:dyDescent="0.2">
      <c r="A933" s="27" t="str">
        <f t="shared" si="434"/>
        <v/>
      </c>
      <c r="B933" s="38">
        <v>3</v>
      </c>
      <c r="C933" s="39"/>
      <c r="D933" s="39"/>
      <c r="E933" s="46"/>
      <c r="F933" s="46"/>
      <c r="G933" s="39"/>
      <c r="H933" s="40"/>
      <c r="I933" s="41"/>
      <c r="J933" s="42"/>
      <c r="K933" s="43"/>
      <c r="L933" s="44">
        <f t="shared" si="435"/>
        <v>0</v>
      </c>
      <c r="M933" s="206"/>
      <c r="N933" s="206"/>
      <c r="O933" s="207" t="str">
        <f t="shared" si="436"/>
        <v/>
      </c>
      <c r="P933" s="206"/>
      <c r="Q933" s="206"/>
      <c r="R933" s="177">
        <f t="shared" si="437"/>
        <v>0</v>
      </c>
      <c r="S933" s="178" t="str">
        <f t="shared" si="438"/>
        <v/>
      </c>
      <c r="T933" s="208" t="str">
        <f t="shared" si="439"/>
        <v/>
      </c>
      <c r="U933" s="41"/>
      <c r="V933" s="45"/>
      <c r="W933" s="205"/>
      <c r="X933" s="37" t="str">
        <f t="shared" si="432"/>
        <v/>
      </c>
      <c r="Z933" s="173"/>
      <c r="AB933" s="173"/>
      <c r="AD933" s="10" t="str">
        <f t="shared" si="433"/>
        <v/>
      </c>
      <c r="AE933" s="92" t="str">
        <f>+IF(OR($T$933="",X933="",X933="NO"),"",L933)</f>
        <v/>
      </c>
      <c r="AF933" s="92" t="str">
        <f>+IF(AE933="","",L933/$S$933)</f>
        <v/>
      </c>
      <c r="AG933" s="174">
        <f>0.3+B928</f>
        <v>55.3</v>
      </c>
      <c r="AH933" s="27" t="s">
        <v>932</v>
      </c>
    </row>
    <row r="934" spans="1:34" s="27" customFormat="1" ht="12.75" x14ac:dyDescent="0.2">
      <c r="A934" s="27" t="str">
        <f t="shared" si="434"/>
        <v/>
      </c>
      <c r="B934" s="38">
        <v>4</v>
      </c>
      <c r="C934" s="39"/>
      <c r="D934" s="39"/>
      <c r="E934" s="46"/>
      <c r="F934" s="46"/>
      <c r="G934" s="39"/>
      <c r="H934" s="40"/>
      <c r="I934" s="41"/>
      <c r="J934" s="42"/>
      <c r="K934" s="43"/>
      <c r="L934" s="44">
        <f t="shared" si="435"/>
        <v>0</v>
      </c>
      <c r="M934" s="206"/>
      <c r="N934" s="206"/>
      <c r="O934" s="207" t="str">
        <f t="shared" si="436"/>
        <v/>
      </c>
      <c r="P934" s="206"/>
      <c r="Q934" s="206"/>
      <c r="R934" s="177">
        <f t="shared" si="437"/>
        <v>0</v>
      </c>
      <c r="S934" s="178" t="str">
        <f t="shared" si="438"/>
        <v/>
      </c>
      <c r="T934" s="208" t="str">
        <f t="shared" si="439"/>
        <v/>
      </c>
      <c r="U934" s="41"/>
      <c r="V934" s="45"/>
      <c r="W934" s="210"/>
      <c r="X934" s="37" t="str">
        <f t="shared" si="432"/>
        <v/>
      </c>
      <c r="Z934" s="180"/>
      <c r="AB934" s="173"/>
      <c r="AD934" s="10" t="str">
        <f t="shared" si="433"/>
        <v/>
      </c>
      <c r="AE934" s="92" t="str">
        <f>+IF(OR($T$934="",X934="",X934="NO"),"",L934)</f>
        <v/>
      </c>
      <c r="AF934" s="92" t="str">
        <f>+IF(AE934="","",L934/$S$934)</f>
        <v/>
      </c>
      <c r="AG934" s="174"/>
    </row>
    <row r="935" spans="1:34" s="27" customFormat="1" ht="12.75" x14ac:dyDescent="0.2">
      <c r="A935" s="27" t="str">
        <f t="shared" si="434"/>
        <v/>
      </c>
      <c r="B935" s="38">
        <v>5</v>
      </c>
      <c r="C935" s="39"/>
      <c r="D935" s="39"/>
      <c r="E935" s="46"/>
      <c r="F935" s="46"/>
      <c r="G935" s="39"/>
      <c r="H935" s="40"/>
      <c r="I935" s="41"/>
      <c r="J935" s="42"/>
      <c r="K935" s="43"/>
      <c r="L935" s="44">
        <f t="shared" si="435"/>
        <v>0</v>
      </c>
      <c r="M935" s="206"/>
      <c r="N935" s="206"/>
      <c r="O935" s="207" t="str">
        <f t="shared" si="436"/>
        <v/>
      </c>
      <c r="P935" s="206"/>
      <c r="Q935" s="206"/>
      <c r="R935" s="177">
        <f t="shared" si="437"/>
        <v>0</v>
      </c>
      <c r="S935" s="178" t="str">
        <f t="shared" si="438"/>
        <v/>
      </c>
      <c r="T935" s="208" t="str">
        <f t="shared" si="439"/>
        <v/>
      </c>
      <c r="U935" s="41"/>
      <c r="V935" s="45"/>
      <c r="X935" s="37" t="str">
        <f t="shared" si="432"/>
        <v/>
      </c>
      <c r="Z935" s="181"/>
      <c r="AB935" s="173"/>
      <c r="AD935" s="10" t="str">
        <f t="shared" si="433"/>
        <v/>
      </c>
      <c r="AE935" s="92" t="str">
        <f>+IF(OR($T$935="",X935="",X935="NO"),"",L935)</f>
        <v/>
      </c>
      <c r="AF935" s="92" t="str">
        <f>+IF(AE935="","",L935/$S$935)</f>
        <v/>
      </c>
      <c r="AG935" s="174"/>
    </row>
    <row r="936" spans="1:34" s="27" customFormat="1" ht="12.75" x14ac:dyDescent="0.2">
      <c r="A936" s="27" t="str">
        <f t="shared" si="434"/>
        <v/>
      </c>
      <c r="B936" s="38">
        <v>6</v>
      </c>
      <c r="C936" s="39"/>
      <c r="D936" s="39"/>
      <c r="E936" s="46"/>
      <c r="F936" s="46"/>
      <c r="G936" s="39"/>
      <c r="H936" s="40"/>
      <c r="I936" s="41"/>
      <c r="J936" s="42"/>
      <c r="K936" s="43"/>
      <c r="L936" s="44">
        <f t="shared" si="435"/>
        <v>0</v>
      </c>
      <c r="M936" s="206"/>
      <c r="N936" s="206"/>
      <c r="O936" s="207" t="str">
        <f t="shared" si="436"/>
        <v/>
      </c>
      <c r="P936" s="206"/>
      <c r="Q936" s="206"/>
      <c r="R936" s="177">
        <f t="shared" si="437"/>
        <v>0</v>
      </c>
      <c r="S936" s="178" t="str">
        <f t="shared" si="438"/>
        <v/>
      </c>
      <c r="T936" s="208" t="str">
        <f t="shared" si="439"/>
        <v/>
      </c>
      <c r="U936" s="41"/>
      <c r="V936" s="45"/>
      <c r="X936" s="37" t="str">
        <f t="shared" si="432"/>
        <v/>
      </c>
      <c r="Z936" s="181"/>
      <c r="AB936" s="173"/>
      <c r="AD936" s="10" t="str">
        <f t="shared" si="433"/>
        <v/>
      </c>
      <c r="AE936" s="92" t="str">
        <f>+IF(OR($T$936="",X936="",X936="NO"),"",L936)</f>
        <v/>
      </c>
      <c r="AF936" s="92" t="str">
        <f>+IF(AE936="","",L936/$S$936)</f>
        <v/>
      </c>
      <c r="AG936" s="174"/>
    </row>
    <row r="937" spans="1:34" s="27" customFormat="1" ht="12.75" x14ac:dyDescent="0.2">
      <c r="A937" s="27" t="str">
        <f t="shared" si="434"/>
        <v/>
      </c>
      <c r="B937" s="38">
        <v>7</v>
      </c>
      <c r="C937" s="39"/>
      <c r="D937" s="39"/>
      <c r="E937" s="46"/>
      <c r="F937" s="46"/>
      <c r="G937" s="39"/>
      <c r="H937" s="40"/>
      <c r="I937" s="41"/>
      <c r="J937" s="42"/>
      <c r="K937" s="43"/>
      <c r="L937" s="44">
        <f t="shared" si="435"/>
        <v>0</v>
      </c>
      <c r="M937" s="206"/>
      <c r="N937" s="206"/>
      <c r="O937" s="207" t="str">
        <f t="shared" si="436"/>
        <v/>
      </c>
      <c r="P937" s="206"/>
      <c r="Q937" s="206"/>
      <c r="R937" s="177">
        <f t="shared" si="437"/>
        <v>0</v>
      </c>
      <c r="S937" s="178" t="str">
        <f t="shared" si="438"/>
        <v/>
      </c>
      <c r="T937" s="208" t="str">
        <f t="shared" si="439"/>
        <v/>
      </c>
      <c r="U937" s="41"/>
      <c r="V937" s="45"/>
      <c r="X937" s="37" t="str">
        <f t="shared" si="432"/>
        <v/>
      </c>
      <c r="Z937" s="181"/>
      <c r="AB937" s="173"/>
      <c r="AD937" s="10" t="str">
        <f t="shared" si="433"/>
        <v/>
      </c>
      <c r="AE937" s="92" t="str">
        <f>+IF(OR($T$937="",X937="",X937="NO"),"",L937)</f>
        <v/>
      </c>
      <c r="AF937" s="92" t="str">
        <f>+IF(AE937="","",L937/$S$937)</f>
        <v/>
      </c>
      <c r="AG937" s="174"/>
    </row>
    <row r="938" spans="1:34" s="27" customFormat="1" ht="12.75" x14ac:dyDescent="0.2">
      <c r="A938" s="27" t="str">
        <f t="shared" si="434"/>
        <v/>
      </c>
      <c r="B938" s="38">
        <v>8</v>
      </c>
      <c r="C938" s="39"/>
      <c r="D938" s="39"/>
      <c r="E938" s="46"/>
      <c r="F938" s="46"/>
      <c r="G938" s="39"/>
      <c r="H938" s="40"/>
      <c r="I938" s="41"/>
      <c r="J938" s="42"/>
      <c r="K938" s="43"/>
      <c r="L938" s="44">
        <f t="shared" si="435"/>
        <v>0</v>
      </c>
      <c r="M938" s="206"/>
      <c r="N938" s="206"/>
      <c r="O938" s="207" t="str">
        <f t="shared" si="436"/>
        <v/>
      </c>
      <c r="P938" s="206"/>
      <c r="Q938" s="206"/>
      <c r="R938" s="177">
        <f t="shared" si="437"/>
        <v>0</v>
      </c>
      <c r="S938" s="178" t="str">
        <f t="shared" si="438"/>
        <v/>
      </c>
      <c r="T938" s="208" t="str">
        <f t="shared" si="439"/>
        <v/>
      </c>
      <c r="U938" s="41"/>
      <c r="V938" s="45"/>
      <c r="X938" s="37" t="str">
        <f t="shared" si="432"/>
        <v/>
      </c>
      <c r="Z938" s="181"/>
      <c r="AB938" s="173"/>
      <c r="AD938" s="10" t="str">
        <f t="shared" si="433"/>
        <v/>
      </c>
      <c r="AE938" s="92" t="str">
        <f>+IF(OR($T$938="",X938="",X938="NO"),"",L938)</f>
        <v/>
      </c>
      <c r="AF938" s="92" t="str">
        <f>+IF(AE938="","",L938/$S$938)</f>
        <v/>
      </c>
      <c r="AG938" s="174"/>
    </row>
    <row r="939" spans="1:34" s="27" customFormat="1" ht="12.75" x14ac:dyDescent="0.2">
      <c r="A939" s="27" t="str">
        <f t="shared" si="434"/>
        <v/>
      </c>
      <c r="B939" s="38">
        <v>9</v>
      </c>
      <c r="C939" s="39"/>
      <c r="D939" s="39"/>
      <c r="E939" s="46"/>
      <c r="F939" s="46"/>
      <c r="G939" s="39"/>
      <c r="H939" s="40"/>
      <c r="I939" s="41"/>
      <c r="J939" s="42"/>
      <c r="K939" s="43"/>
      <c r="L939" s="44">
        <f t="shared" si="435"/>
        <v>0</v>
      </c>
      <c r="M939" s="206"/>
      <c r="N939" s="206"/>
      <c r="O939" s="207" t="str">
        <f t="shared" si="436"/>
        <v/>
      </c>
      <c r="P939" s="206"/>
      <c r="Q939" s="206"/>
      <c r="R939" s="177">
        <f t="shared" si="437"/>
        <v>0</v>
      </c>
      <c r="S939" s="178" t="str">
        <f t="shared" si="438"/>
        <v/>
      </c>
      <c r="T939" s="208" t="str">
        <f t="shared" si="439"/>
        <v/>
      </c>
      <c r="U939" s="41"/>
      <c r="V939" s="45"/>
      <c r="X939" s="37" t="str">
        <f t="shared" si="432"/>
        <v/>
      </c>
      <c r="Z939" s="181"/>
      <c r="AB939" s="173"/>
      <c r="AD939" s="10" t="str">
        <f t="shared" si="433"/>
        <v/>
      </c>
      <c r="AE939" s="92" t="str">
        <f>+IF(OR($T$939="",X939="",X939="NO"),"",L939)</f>
        <v/>
      </c>
      <c r="AF939" s="92" t="str">
        <f>+IF(AE939="","",L939/$S$939)</f>
        <v/>
      </c>
      <c r="AG939" s="174"/>
    </row>
    <row r="940" spans="1:34" s="27" customFormat="1" ht="13.5" thickBot="1" x14ac:dyDescent="0.25">
      <c r="A940" s="27" t="str">
        <f t="shared" si="434"/>
        <v/>
      </c>
      <c r="B940" s="47">
        <v>10</v>
      </c>
      <c r="C940" s="48"/>
      <c r="D940" s="48"/>
      <c r="E940" s="49"/>
      <c r="F940" s="49"/>
      <c r="G940" s="48"/>
      <c r="H940" s="50"/>
      <c r="I940" s="51"/>
      <c r="J940" s="14"/>
      <c r="K940" s="52"/>
      <c r="L940" s="53">
        <f t="shared" si="435"/>
        <v>0</v>
      </c>
      <c r="M940" s="211"/>
      <c r="N940" s="211"/>
      <c r="O940" s="212" t="str">
        <f t="shared" si="436"/>
        <v/>
      </c>
      <c r="P940" s="211"/>
      <c r="Q940" s="211"/>
      <c r="R940" s="184">
        <f t="shared" si="437"/>
        <v>0</v>
      </c>
      <c r="S940" s="185" t="str">
        <f t="shared" si="438"/>
        <v/>
      </c>
      <c r="T940" s="213" t="str">
        <f t="shared" si="439"/>
        <v/>
      </c>
      <c r="U940" s="51"/>
      <c r="V940" s="54"/>
      <c r="X940" s="55" t="str">
        <f t="shared" si="432"/>
        <v/>
      </c>
      <c r="Z940" s="187"/>
      <c r="AB940" s="188"/>
      <c r="AD940" s="10" t="str">
        <f t="shared" si="433"/>
        <v/>
      </c>
      <c r="AE940" s="92" t="str">
        <f>+IF(OR($T$940="",X940="",X940="NO"),"",L940)</f>
        <v/>
      </c>
      <c r="AF940" s="92" t="str">
        <f>+IF(AE940="","",L940/$S$940)</f>
        <v/>
      </c>
    </row>
    <row r="941" spans="1:34" ht="36" customHeight="1" x14ac:dyDescent="0.2">
      <c r="B941" s="57" t="str">
        <f>"A"&amp;B928</f>
        <v>A55</v>
      </c>
      <c r="C941" s="382" t="str">
        <f>+$C$23</f>
        <v>¿CADA INTEGRANTE DE PROPONENTE PLURAL APORTAN CONTRATO?  (SI; NO; NA)</v>
      </c>
      <c r="D941" s="383"/>
      <c r="E941" s="383"/>
      <c r="F941" s="383"/>
      <c r="G941" s="383"/>
      <c r="H941" s="384"/>
      <c r="I941" s="217" t="str">
        <f>+IF(AG928="","",IF(AG928=1,"NA",IF(AND(AG928=3,(IF(COUNTIFS(C931:C940,AH931,AE931:AE940,"&gt;0")&gt;=1,1,0)+IF(COUNTIFS(C931:C940,AH932,AE931:AE940,"&gt;0")&gt;=1,1,0)+IF(COUNTIFS(C931:C940,AH933,AE931:AE940,"&gt;0")&gt;=1,1,0))&gt;=AG928),"SI",IF(AND(AG928=2,(IF(COUNTIFS(C931:C940,AH931,AE931:AE940,"&gt;0")&gt;=1,1,0)+IF(COUNTIFS(C931:C940,AH932,AE931:AE940,"&gt;0")&gt;=1,1,0))&gt;=AG928),"SI","NO"))))</f>
        <v/>
      </c>
      <c r="J941" s="59"/>
      <c r="K941" s="27"/>
      <c r="L941" s="27"/>
      <c r="M941" s="27"/>
      <c r="N941" s="27"/>
      <c r="O941" s="27"/>
      <c r="P941" s="385" t="str">
        <f>+$P$23</f>
        <v>FACTURACION MENSUAL TOTAL</v>
      </c>
      <c r="Q941" s="386"/>
      <c r="R941" s="386"/>
      <c r="S941" s="386"/>
      <c r="T941" s="189">
        <f>ROUND(SUM(T931:T940),3)</f>
        <v>0</v>
      </c>
      <c r="U941" s="60"/>
      <c r="V941" s="1"/>
      <c r="W941" s="61"/>
      <c r="X941" s="61"/>
      <c r="Y941" s="61"/>
      <c r="Z941" s="61"/>
      <c r="AA941" s="61"/>
      <c r="AB941" s="61"/>
    </row>
    <row r="942" spans="1:34" ht="38.25" customHeight="1" thickBot="1" x14ac:dyDescent="0.25">
      <c r="B942" s="57" t="str">
        <f>"B"&amp;B928</f>
        <v>B55</v>
      </c>
      <c r="C942" s="387" t="str">
        <f>+C925</f>
        <v>En caso de proponente plural: ¿De la totalidad de los contratos aportados por el proponente plural, el valor ejecutado de uno de ellos deberá ser igual o superior al 30% del P.O.?  (SI; NO; NA)</v>
      </c>
      <c r="D942" s="388"/>
      <c r="E942" s="388"/>
      <c r="F942" s="388"/>
      <c r="G942" s="389"/>
      <c r="H942" s="190">
        <f>+$H$6</f>
        <v>268.14722506074827</v>
      </c>
      <c r="I942" s="191" t="str">
        <f>+IF(AG928="","",IF(AG928=1,"NA",IF(AND(AG928&gt;1,(COUNTIFS(AD931:AD940,"SI",AE931:AE940,"&gt;0"))&gt;=1),"SI","NO")))</f>
        <v/>
      </c>
      <c r="J942" s="192"/>
      <c r="K942" s="193"/>
      <c r="L942" s="194"/>
      <c r="M942" s="194"/>
      <c r="N942" s="194"/>
      <c r="O942" s="194"/>
      <c r="P942" s="387" t="str">
        <f>+$P$24</f>
        <v>PROMEDIO FACTURACIÓN MENSUAL DEL PROPONENTE (PFMP)</v>
      </c>
      <c r="Q942" s="388"/>
      <c r="R942" s="388"/>
      <c r="S942" s="388"/>
      <c r="T942" s="195">
        <f t="array" ref="T942">IF(T941=0,0,ROUND(T941/(SUM(IF(FREQUENCY(A931:A940,A931:A940)&gt;0,1))),3))</f>
        <v>0</v>
      </c>
      <c r="U942" s="214"/>
      <c r="V942" s="1"/>
      <c r="W942" s="61"/>
      <c r="X942" s="61"/>
      <c r="Y942" s="61"/>
      <c r="Z942" s="61"/>
      <c r="AA942" s="61"/>
      <c r="AB942" s="61"/>
    </row>
    <row r="943" spans="1:34" ht="21" customHeight="1" thickBot="1" x14ac:dyDescent="0.25">
      <c r="B943" s="197" t="str">
        <f>"C"&amp;B928</f>
        <v>C55</v>
      </c>
      <c r="C943" s="349" t="str">
        <f>+$C$25</f>
        <v>PROPONENTE CUMPLE CON LAS ACTIVIDADES a) y b)? (SI; NO)</v>
      </c>
      <c r="D943" s="350"/>
      <c r="E943" s="350"/>
      <c r="F943" s="350"/>
      <c r="G943" s="350"/>
      <c r="H943" s="351"/>
      <c r="I943" s="198" t="str">
        <f>IF(C928="","",(IF(AND(COUNTIFS(X931:X940,"SI",Z931:Z940,"SI")&gt;=$Z$8,COUNTIFS(X931:X940,"SI",AB931:AB940,"SI")&gt;=$Z$8),"SI","NO")))</f>
        <v/>
      </c>
      <c r="J943" s="199"/>
      <c r="K943" s="200"/>
      <c r="L943" s="200"/>
      <c r="M943" s="200"/>
      <c r="N943" s="200"/>
      <c r="P943" s="378" t="str">
        <f>+$P$25</f>
        <v>VALOR PUNTAJE POR EXPERIENCIA DEL PROPONENTE</v>
      </c>
      <c r="Q943" s="379"/>
      <c r="R943" s="379"/>
      <c r="S943" s="380"/>
      <c r="T943" s="201" t="str">
        <f>IF(OR(C928="",'ASIGNACION DE PUNTAJES'!$C$5=""),"",VLOOKUP(B928,'ASIGNACION DE PUNTAJES'!$A$15:$G$69,7,FALSE))</f>
        <v/>
      </c>
      <c r="V943" s="202"/>
    </row>
  </sheetData>
  <sheetProtection selectLockedCells="1" selectUnlockedCells="1"/>
  <protectedRanges>
    <protectedRange sqref="G4 G6" name="Rango1_5"/>
  </protectedRanges>
  <dataConsolidate/>
  <mergeCells count="1590">
    <mergeCell ref="B8:C8"/>
    <mergeCell ref="D8:F8"/>
    <mergeCell ref="C10:I10"/>
    <mergeCell ref="K10:Q10"/>
    <mergeCell ref="R10:S10"/>
    <mergeCell ref="X10:X12"/>
    <mergeCell ref="B11:B12"/>
    <mergeCell ref="C11:C12"/>
    <mergeCell ref="D11:G11"/>
    <mergeCell ref="H11:H12"/>
    <mergeCell ref="B1:C2"/>
    <mergeCell ref="D1:AC1"/>
    <mergeCell ref="D2:AC2"/>
    <mergeCell ref="B3:F3"/>
    <mergeCell ref="I3:V3"/>
    <mergeCell ref="B4:F4"/>
    <mergeCell ref="I4:V8"/>
    <mergeCell ref="B5:F5"/>
    <mergeCell ref="C6:F6"/>
    <mergeCell ref="B7:F7"/>
    <mergeCell ref="AB11:AB12"/>
    <mergeCell ref="D13:D14"/>
    <mergeCell ref="E13:E14"/>
    <mergeCell ref="F13:F14"/>
    <mergeCell ref="G13:G14"/>
    <mergeCell ref="W13:W14"/>
    <mergeCell ref="O11:O12"/>
    <mergeCell ref="P11:R11"/>
    <mergeCell ref="S11:S12"/>
    <mergeCell ref="T11:T12"/>
    <mergeCell ref="U11:U12"/>
    <mergeCell ref="V11:V12"/>
    <mergeCell ref="I11:I12"/>
    <mergeCell ref="J11:J12"/>
    <mergeCell ref="K11:K12"/>
    <mergeCell ref="L11:L12"/>
    <mergeCell ref="M11:M12"/>
    <mergeCell ref="N11:N12"/>
    <mergeCell ref="C27:I27"/>
    <mergeCell ref="K27:Q27"/>
    <mergeCell ref="R27:S27"/>
    <mergeCell ref="X27:X29"/>
    <mergeCell ref="B28:B29"/>
    <mergeCell ref="C28:C29"/>
    <mergeCell ref="D28:G28"/>
    <mergeCell ref="H28:H29"/>
    <mergeCell ref="I28:I29"/>
    <mergeCell ref="J28:J29"/>
    <mergeCell ref="C23:H23"/>
    <mergeCell ref="P23:S23"/>
    <mergeCell ref="C24:G24"/>
    <mergeCell ref="P24:S24"/>
    <mergeCell ref="C25:H25"/>
    <mergeCell ref="P25:S25"/>
    <mergeCell ref="Z11:Z12"/>
    <mergeCell ref="C40:H40"/>
    <mergeCell ref="P40:S40"/>
    <mergeCell ref="C41:G41"/>
    <mergeCell ref="P41:S41"/>
    <mergeCell ref="C42:H42"/>
    <mergeCell ref="P42:S42"/>
    <mergeCell ref="S28:S29"/>
    <mergeCell ref="T28:T29"/>
    <mergeCell ref="U28:U29"/>
    <mergeCell ref="V28:V29"/>
    <mergeCell ref="Z28:Z29"/>
    <mergeCell ref="AB28:AB29"/>
    <mergeCell ref="K28:K29"/>
    <mergeCell ref="L28:L29"/>
    <mergeCell ref="M28:M29"/>
    <mergeCell ref="N28:N29"/>
    <mergeCell ref="O28:O29"/>
    <mergeCell ref="P28:R28"/>
    <mergeCell ref="Z45:Z46"/>
    <mergeCell ref="AB45:AB46"/>
    <mergeCell ref="K45:K46"/>
    <mergeCell ref="L45:L46"/>
    <mergeCell ref="M45:M46"/>
    <mergeCell ref="N45:N46"/>
    <mergeCell ref="O45:O46"/>
    <mergeCell ref="P45:R45"/>
    <mergeCell ref="C44:I44"/>
    <mergeCell ref="K44:Q44"/>
    <mergeCell ref="R44:S44"/>
    <mergeCell ref="X44:X46"/>
    <mergeCell ref="B45:B46"/>
    <mergeCell ref="C45:C46"/>
    <mergeCell ref="D45:G45"/>
    <mergeCell ref="H45:H46"/>
    <mergeCell ref="I45:I46"/>
    <mergeCell ref="J45:J46"/>
    <mergeCell ref="C61:I61"/>
    <mergeCell ref="K61:Q61"/>
    <mergeCell ref="R61:S61"/>
    <mergeCell ref="X61:X63"/>
    <mergeCell ref="B62:B63"/>
    <mergeCell ref="C62:C63"/>
    <mergeCell ref="D62:G62"/>
    <mergeCell ref="H62:H63"/>
    <mergeCell ref="I62:I63"/>
    <mergeCell ref="J62:J63"/>
    <mergeCell ref="C57:H57"/>
    <mergeCell ref="P57:S57"/>
    <mergeCell ref="C58:G58"/>
    <mergeCell ref="P58:S58"/>
    <mergeCell ref="C59:H59"/>
    <mergeCell ref="P59:S59"/>
    <mergeCell ref="S45:S46"/>
    <mergeCell ref="T45:T46"/>
    <mergeCell ref="U45:U46"/>
    <mergeCell ref="V45:V46"/>
    <mergeCell ref="C74:H74"/>
    <mergeCell ref="P74:S74"/>
    <mergeCell ref="C75:G75"/>
    <mergeCell ref="P75:S75"/>
    <mergeCell ref="C76:H76"/>
    <mergeCell ref="P76:S76"/>
    <mergeCell ref="S62:S63"/>
    <mergeCell ref="T62:T63"/>
    <mergeCell ref="U62:U63"/>
    <mergeCell ref="V62:V63"/>
    <mergeCell ref="Z62:Z63"/>
    <mergeCell ref="AB62:AB63"/>
    <mergeCell ref="K62:K63"/>
    <mergeCell ref="L62:L63"/>
    <mergeCell ref="M62:M63"/>
    <mergeCell ref="N62:N63"/>
    <mergeCell ref="O62:O63"/>
    <mergeCell ref="P62:R62"/>
    <mergeCell ref="Z79:Z80"/>
    <mergeCell ref="AB79:AB80"/>
    <mergeCell ref="K79:K80"/>
    <mergeCell ref="L79:L80"/>
    <mergeCell ref="M79:M80"/>
    <mergeCell ref="N79:N80"/>
    <mergeCell ref="O79:O80"/>
    <mergeCell ref="P79:R79"/>
    <mergeCell ref="C78:I78"/>
    <mergeCell ref="K78:Q78"/>
    <mergeCell ref="R78:S78"/>
    <mergeCell ref="X78:X80"/>
    <mergeCell ref="B79:B80"/>
    <mergeCell ref="C79:C80"/>
    <mergeCell ref="D79:G79"/>
    <mergeCell ref="H79:H80"/>
    <mergeCell ref="I79:I80"/>
    <mergeCell ref="J79:J80"/>
    <mergeCell ref="C95:I95"/>
    <mergeCell ref="K95:Q95"/>
    <mergeCell ref="R95:S95"/>
    <mergeCell ref="X95:X97"/>
    <mergeCell ref="B96:B97"/>
    <mergeCell ref="C96:C97"/>
    <mergeCell ref="D96:G96"/>
    <mergeCell ref="H96:H97"/>
    <mergeCell ref="I96:I97"/>
    <mergeCell ref="J96:J97"/>
    <mergeCell ref="C91:H91"/>
    <mergeCell ref="P91:S91"/>
    <mergeCell ref="C92:G92"/>
    <mergeCell ref="P92:S92"/>
    <mergeCell ref="C93:H93"/>
    <mergeCell ref="P93:S93"/>
    <mergeCell ref="S79:S80"/>
    <mergeCell ref="T79:T80"/>
    <mergeCell ref="U79:U80"/>
    <mergeCell ref="V79:V80"/>
    <mergeCell ref="C108:H108"/>
    <mergeCell ref="P108:S108"/>
    <mergeCell ref="C109:G109"/>
    <mergeCell ref="P109:S109"/>
    <mergeCell ref="C110:H110"/>
    <mergeCell ref="P110:S110"/>
    <mergeCell ref="S96:S97"/>
    <mergeCell ref="T96:T97"/>
    <mergeCell ref="U96:U97"/>
    <mergeCell ref="V96:V97"/>
    <mergeCell ref="Z96:Z97"/>
    <mergeCell ref="AB96:AB97"/>
    <mergeCell ref="K96:K97"/>
    <mergeCell ref="L96:L97"/>
    <mergeCell ref="M96:M97"/>
    <mergeCell ref="N96:N97"/>
    <mergeCell ref="O96:O97"/>
    <mergeCell ref="P96:R96"/>
    <mergeCell ref="Z113:Z114"/>
    <mergeCell ref="AB113:AB114"/>
    <mergeCell ref="K113:K114"/>
    <mergeCell ref="L113:L114"/>
    <mergeCell ref="M113:M114"/>
    <mergeCell ref="N113:N114"/>
    <mergeCell ref="O113:O114"/>
    <mergeCell ref="P113:R113"/>
    <mergeCell ref="C112:I112"/>
    <mergeCell ref="K112:Q112"/>
    <mergeCell ref="R112:S112"/>
    <mergeCell ref="X112:X114"/>
    <mergeCell ref="B113:B114"/>
    <mergeCell ref="C113:C114"/>
    <mergeCell ref="D113:G113"/>
    <mergeCell ref="H113:H114"/>
    <mergeCell ref="I113:I114"/>
    <mergeCell ref="J113:J114"/>
    <mergeCell ref="C129:I129"/>
    <mergeCell ref="K129:Q129"/>
    <mergeCell ref="R129:S129"/>
    <mergeCell ref="X129:X131"/>
    <mergeCell ref="B130:B131"/>
    <mergeCell ref="C130:C131"/>
    <mergeCell ref="D130:G130"/>
    <mergeCell ref="H130:H131"/>
    <mergeCell ref="I130:I131"/>
    <mergeCell ref="J130:J131"/>
    <mergeCell ref="C125:H125"/>
    <mergeCell ref="P125:S125"/>
    <mergeCell ref="C126:G126"/>
    <mergeCell ref="P126:S126"/>
    <mergeCell ref="C127:H127"/>
    <mergeCell ref="P127:S127"/>
    <mergeCell ref="S113:S114"/>
    <mergeCell ref="T113:T114"/>
    <mergeCell ref="U113:U114"/>
    <mergeCell ref="V113:V114"/>
    <mergeCell ref="C142:H142"/>
    <mergeCell ref="P142:S142"/>
    <mergeCell ref="C143:G143"/>
    <mergeCell ref="P143:S143"/>
    <mergeCell ref="C144:H144"/>
    <mergeCell ref="P144:S144"/>
    <mergeCell ref="S130:S131"/>
    <mergeCell ref="T130:T131"/>
    <mergeCell ref="U130:U131"/>
    <mergeCell ref="V130:V131"/>
    <mergeCell ref="Z130:Z131"/>
    <mergeCell ref="AB130:AB131"/>
    <mergeCell ref="K130:K131"/>
    <mergeCell ref="L130:L131"/>
    <mergeCell ref="M130:M131"/>
    <mergeCell ref="N130:N131"/>
    <mergeCell ref="O130:O131"/>
    <mergeCell ref="P130:R130"/>
    <mergeCell ref="Z147:Z148"/>
    <mergeCell ref="AB147:AB148"/>
    <mergeCell ref="K147:K148"/>
    <mergeCell ref="L147:L148"/>
    <mergeCell ref="M147:M148"/>
    <mergeCell ref="N147:N148"/>
    <mergeCell ref="O147:O148"/>
    <mergeCell ref="P147:R147"/>
    <mergeCell ref="C146:I146"/>
    <mergeCell ref="K146:Q146"/>
    <mergeCell ref="R146:S146"/>
    <mergeCell ref="X146:X148"/>
    <mergeCell ref="B147:B148"/>
    <mergeCell ref="C147:C148"/>
    <mergeCell ref="D147:G147"/>
    <mergeCell ref="H147:H148"/>
    <mergeCell ref="I147:I148"/>
    <mergeCell ref="J147:J148"/>
    <mergeCell ref="C159:H159"/>
    <mergeCell ref="P159:S159"/>
    <mergeCell ref="C160:G160"/>
    <mergeCell ref="P160:S160"/>
    <mergeCell ref="C161:H161"/>
    <mergeCell ref="P161:S161"/>
    <mergeCell ref="D150:D151"/>
    <mergeCell ref="E150:E151"/>
    <mergeCell ref="F150:F151"/>
    <mergeCell ref="G150:G151"/>
    <mergeCell ref="W150:W151"/>
    <mergeCell ref="D152:D153"/>
    <mergeCell ref="E152:E153"/>
    <mergeCell ref="F152:F153"/>
    <mergeCell ref="G152:G153"/>
    <mergeCell ref="W152:W153"/>
    <mergeCell ref="S147:S148"/>
    <mergeCell ref="T147:T148"/>
    <mergeCell ref="U147:U148"/>
    <mergeCell ref="V147:V148"/>
    <mergeCell ref="Z164:Z165"/>
    <mergeCell ref="AB164:AB165"/>
    <mergeCell ref="K164:K165"/>
    <mergeCell ref="L164:L165"/>
    <mergeCell ref="M164:M165"/>
    <mergeCell ref="N164:N165"/>
    <mergeCell ref="O164:O165"/>
    <mergeCell ref="P164:R164"/>
    <mergeCell ref="C163:I163"/>
    <mergeCell ref="K163:Q163"/>
    <mergeCell ref="R163:S163"/>
    <mergeCell ref="X163:X165"/>
    <mergeCell ref="B164:B165"/>
    <mergeCell ref="C164:C165"/>
    <mergeCell ref="D164:G164"/>
    <mergeCell ref="H164:H165"/>
    <mergeCell ref="I164:I165"/>
    <mergeCell ref="J164:J165"/>
    <mergeCell ref="C180:I180"/>
    <mergeCell ref="K180:Q180"/>
    <mergeCell ref="R180:S180"/>
    <mergeCell ref="X180:X182"/>
    <mergeCell ref="B181:B182"/>
    <mergeCell ref="C181:C182"/>
    <mergeCell ref="D181:G181"/>
    <mergeCell ref="H181:H182"/>
    <mergeCell ref="I181:I182"/>
    <mergeCell ref="J181:J182"/>
    <mergeCell ref="C176:H176"/>
    <mergeCell ref="P176:S176"/>
    <mergeCell ref="C177:G177"/>
    <mergeCell ref="P177:S177"/>
    <mergeCell ref="C178:H178"/>
    <mergeCell ref="P178:S178"/>
    <mergeCell ref="S164:S165"/>
    <mergeCell ref="T164:T165"/>
    <mergeCell ref="U164:U165"/>
    <mergeCell ref="V164:V165"/>
    <mergeCell ref="C193:H193"/>
    <mergeCell ref="P193:S193"/>
    <mergeCell ref="C194:G194"/>
    <mergeCell ref="P194:S194"/>
    <mergeCell ref="C195:H195"/>
    <mergeCell ref="P195:S195"/>
    <mergeCell ref="S181:S182"/>
    <mergeCell ref="T181:T182"/>
    <mergeCell ref="U181:U182"/>
    <mergeCell ref="V181:V182"/>
    <mergeCell ref="Z181:Z182"/>
    <mergeCell ref="AB181:AB182"/>
    <mergeCell ref="K181:K182"/>
    <mergeCell ref="L181:L182"/>
    <mergeCell ref="M181:M182"/>
    <mergeCell ref="N181:N182"/>
    <mergeCell ref="O181:O182"/>
    <mergeCell ref="P181:R181"/>
    <mergeCell ref="AB198:AB199"/>
    <mergeCell ref="K198:K199"/>
    <mergeCell ref="L198:L199"/>
    <mergeCell ref="M198:M199"/>
    <mergeCell ref="N198:N199"/>
    <mergeCell ref="O198:O199"/>
    <mergeCell ref="P198:R198"/>
    <mergeCell ref="C197:I197"/>
    <mergeCell ref="K197:Q197"/>
    <mergeCell ref="R197:S197"/>
    <mergeCell ref="X197:X199"/>
    <mergeCell ref="B198:B199"/>
    <mergeCell ref="C198:C199"/>
    <mergeCell ref="D198:G198"/>
    <mergeCell ref="H198:H199"/>
    <mergeCell ref="I198:I199"/>
    <mergeCell ref="J198:J199"/>
    <mergeCell ref="B215:B216"/>
    <mergeCell ref="C215:C216"/>
    <mergeCell ref="D215:G215"/>
    <mergeCell ref="H215:H216"/>
    <mergeCell ref="I215:I216"/>
    <mergeCell ref="J215:J216"/>
    <mergeCell ref="C210:H210"/>
    <mergeCell ref="P210:S210"/>
    <mergeCell ref="C211:G211"/>
    <mergeCell ref="P211:S211"/>
    <mergeCell ref="C212:H212"/>
    <mergeCell ref="P212:S212"/>
    <mergeCell ref="S198:S199"/>
    <mergeCell ref="T198:T199"/>
    <mergeCell ref="U198:U199"/>
    <mergeCell ref="V198:V199"/>
    <mergeCell ref="Z198:Z199"/>
    <mergeCell ref="W217:W218"/>
    <mergeCell ref="C227:H227"/>
    <mergeCell ref="P227:S227"/>
    <mergeCell ref="S215:S216"/>
    <mergeCell ref="T215:T216"/>
    <mergeCell ref="U215:U216"/>
    <mergeCell ref="V215:V216"/>
    <mergeCell ref="Z215:Z216"/>
    <mergeCell ref="AB215:AB216"/>
    <mergeCell ref="K215:K216"/>
    <mergeCell ref="L215:L216"/>
    <mergeCell ref="M215:M216"/>
    <mergeCell ref="N215:N216"/>
    <mergeCell ref="O215:O216"/>
    <mergeCell ref="P215:R215"/>
    <mergeCell ref="C214:I214"/>
    <mergeCell ref="K214:Q214"/>
    <mergeCell ref="R214:S214"/>
    <mergeCell ref="X214:X216"/>
    <mergeCell ref="B232:B233"/>
    <mergeCell ref="C232:C233"/>
    <mergeCell ref="D232:G232"/>
    <mergeCell ref="H232:H233"/>
    <mergeCell ref="I232:I233"/>
    <mergeCell ref="J232:J233"/>
    <mergeCell ref="K232:K233"/>
    <mergeCell ref="L232:L233"/>
    <mergeCell ref="M232:M233"/>
    <mergeCell ref="C228:G228"/>
    <mergeCell ref="P228:S228"/>
    <mergeCell ref="C229:H229"/>
    <mergeCell ref="P229:S229"/>
    <mergeCell ref="C231:I231"/>
    <mergeCell ref="K231:Q231"/>
    <mergeCell ref="R231:S231"/>
    <mergeCell ref="D217:D218"/>
    <mergeCell ref="E217:E218"/>
    <mergeCell ref="F217:F218"/>
    <mergeCell ref="C246:H246"/>
    <mergeCell ref="P246:S246"/>
    <mergeCell ref="C248:I248"/>
    <mergeCell ref="K248:Q248"/>
    <mergeCell ref="R248:S248"/>
    <mergeCell ref="X248:X250"/>
    <mergeCell ref="K249:K250"/>
    <mergeCell ref="L249:L250"/>
    <mergeCell ref="M249:M250"/>
    <mergeCell ref="N249:N250"/>
    <mergeCell ref="V232:V233"/>
    <mergeCell ref="Z232:Z233"/>
    <mergeCell ref="AB232:AB233"/>
    <mergeCell ref="C244:H244"/>
    <mergeCell ref="P244:S244"/>
    <mergeCell ref="C245:G245"/>
    <mergeCell ref="P245:S245"/>
    <mergeCell ref="N232:N233"/>
    <mergeCell ref="O232:O233"/>
    <mergeCell ref="P232:R232"/>
    <mergeCell ref="S232:S233"/>
    <mergeCell ref="T232:T233"/>
    <mergeCell ref="U232:U233"/>
    <mergeCell ref="X231:X233"/>
    <mergeCell ref="AB249:AB250"/>
    <mergeCell ref="C261:H261"/>
    <mergeCell ref="P261:S261"/>
    <mergeCell ref="C262:G262"/>
    <mergeCell ref="P262:S262"/>
    <mergeCell ref="O249:O250"/>
    <mergeCell ref="P249:R249"/>
    <mergeCell ref="S249:S250"/>
    <mergeCell ref="T249:T250"/>
    <mergeCell ref="U249:U250"/>
    <mergeCell ref="V249:V250"/>
    <mergeCell ref="B249:B250"/>
    <mergeCell ref="C249:C250"/>
    <mergeCell ref="D249:G249"/>
    <mergeCell ref="H249:H250"/>
    <mergeCell ref="I249:I250"/>
    <mergeCell ref="J249:J250"/>
    <mergeCell ref="B266:B267"/>
    <mergeCell ref="C266:C267"/>
    <mergeCell ref="D266:G266"/>
    <mergeCell ref="H266:H267"/>
    <mergeCell ref="I266:I267"/>
    <mergeCell ref="J266:J267"/>
    <mergeCell ref="C263:H263"/>
    <mergeCell ref="P263:S263"/>
    <mergeCell ref="C265:I265"/>
    <mergeCell ref="K265:Q265"/>
    <mergeCell ref="R265:S265"/>
    <mergeCell ref="X265:X267"/>
    <mergeCell ref="K266:K267"/>
    <mergeCell ref="L266:L267"/>
    <mergeCell ref="M266:M267"/>
    <mergeCell ref="N266:N267"/>
    <mergeCell ref="Z249:Z250"/>
    <mergeCell ref="C279:G279"/>
    <mergeCell ref="P279:S279"/>
    <mergeCell ref="C280:H280"/>
    <mergeCell ref="P280:S280"/>
    <mergeCell ref="C282:I282"/>
    <mergeCell ref="K282:Q282"/>
    <mergeCell ref="R282:S282"/>
    <mergeCell ref="D271:D272"/>
    <mergeCell ref="E271:E272"/>
    <mergeCell ref="F271:F272"/>
    <mergeCell ref="G271:G272"/>
    <mergeCell ref="W271:W272"/>
    <mergeCell ref="C278:H278"/>
    <mergeCell ref="P278:S278"/>
    <mergeCell ref="Z266:Z267"/>
    <mergeCell ref="AB266:AB267"/>
    <mergeCell ref="D268:D269"/>
    <mergeCell ref="E268:E269"/>
    <mergeCell ref="F268:F269"/>
    <mergeCell ref="G268:G269"/>
    <mergeCell ref="W268:W269"/>
    <mergeCell ref="O266:O267"/>
    <mergeCell ref="P266:R266"/>
    <mergeCell ref="S266:S267"/>
    <mergeCell ref="T266:T267"/>
    <mergeCell ref="U266:U267"/>
    <mergeCell ref="V266:V267"/>
    <mergeCell ref="Z283:Z284"/>
    <mergeCell ref="AB283:AB284"/>
    <mergeCell ref="C295:H295"/>
    <mergeCell ref="P295:S295"/>
    <mergeCell ref="C296:G296"/>
    <mergeCell ref="P296:S296"/>
    <mergeCell ref="N283:N284"/>
    <mergeCell ref="O283:O284"/>
    <mergeCell ref="P283:R283"/>
    <mergeCell ref="S283:S284"/>
    <mergeCell ref="T283:T284"/>
    <mergeCell ref="U283:U284"/>
    <mergeCell ref="X282:X284"/>
    <mergeCell ref="B283:B284"/>
    <mergeCell ref="C283:C284"/>
    <mergeCell ref="D283:G283"/>
    <mergeCell ref="H283:H284"/>
    <mergeCell ref="I283:I284"/>
    <mergeCell ref="J283:J284"/>
    <mergeCell ref="K283:K284"/>
    <mergeCell ref="L283:L284"/>
    <mergeCell ref="M283:M284"/>
    <mergeCell ref="B300:B301"/>
    <mergeCell ref="C300:C301"/>
    <mergeCell ref="D300:G300"/>
    <mergeCell ref="H300:H301"/>
    <mergeCell ref="I300:I301"/>
    <mergeCell ref="J300:J301"/>
    <mergeCell ref="C297:H297"/>
    <mergeCell ref="P297:S297"/>
    <mergeCell ref="C299:I299"/>
    <mergeCell ref="K299:Q299"/>
    <mergeCell ref="R299:S299"/>
    <mergeCell ref="X299:X301"/>
    <mergeCell ref="K300:K301"/>
    <mergeCell ref="L300:L301"/>
    <mergeCell ref="M300:M301"/>
    <mergeCell ref="N300:N301"/>
    <mergeCell ref="V283:V284"/>
    <mergeCell ref="C314:H314"/>
    <mergeCell ref="P314:S314"/>
    <mergeCell ref="C316:I316"/>
    <mergeCell ref="K316:Q316"/>
    <mergeCell ref="R316:S316"/>
    <mergeCell ref="X316:X318"/>
    <mergeCell ref="K317:K318"/>
    <mergeCell ref="L317:L318"/>
    <mergeCell ref="M317:M318"/>
    <mergeCell ref="N317:N318"/>
    <mergeCell ref="Z300:Z301"/>
    <mergeCell ref="AB300:AB301"/>
    <mergeCell ref="C312:H312"/>
    <mergeCell ref="P312:S312"/>
    <mergeCell ref="C313:G313"/>
    <mergeCell ref="P313:S313"/>
    <mergeCell ref="O300:O301"/>
    <mergeCell ref="P300:R300"/>
    <mergeCell ref="S300:S301"/>
    <mergeCell ref="T300:T301"/>
    <mergeCell ref="U300:U301"/>
    <mergeCell ref="V300:V301"/>
    <mergeCell ref="AB317:AB318"/>
    <mergeCell ref="C329:H329"/>
    <mergeCell ref="P329:S329"/>
    <mergeCell ref="C330:G330"/>
    <mergeCell ref="P330:S330"/>
    <mergeCell ref="O317:O318"/>
    <mergeCell ref="P317:R317"/>
    <mergeCell ref="S317:S318"/>
    <mergeCell ref="T317:T318"/>
    <mergeCell ref="U317:U318"/>
    <mergeCell ref="V317:V318"/>
    <mergeCell ref="B317:B318"/>
    <mergeCell ref="C317:C318"/>
    <mergeCell ref="D317:G317"/>
    <mergeCell ref="H317:H318"/>
    <mergeCell ref="I317:I318"/>
    <mergeCell ref="J317:J318"/>
    <mergeCell ref="B334:B335"/>
    <mergeCell ref="C334:C335"/>
    <mergeCell ref="D334:G334"/>
    <mergeCell ref="H334:H335"/>
    <mergeCell ref="I334:I335"/>
    <mergeCell ref="J334:J335"/>
    <mergeCell ref="C331:H331"/>
    <mergeCell ref="P331:S331"/>
    <mergeCell ref="C333:I333"/>
    <mergeCell ref="K333:Q333"/>
    <mergeCell ref="R333:S333"/>
    <mergeCell ref="X333:X335"/>
    <mergeCell ref="K334:K335"/>
    <mergeCell ref="L334:L335"/>
    <mergeCell ref="M334:M335"/>
    <mergeCell ref="N334:N335"/>
    <mergeCell ref="Z317:Z318"/>
    <mergeCell ref="C348:H348"/>
    <mergeCell ref="P348:S348"/>
    <mergeCell ref="C350:I350"/>
    <mergeCell ref="K350:Q350"/>
    <mergeCell ref="R350:S350"/>
    <mergeCell ref="X350:X352"/>
    <mergeCell ref="K351:K352"/>
    <mergeCell ref="L351:L352"/>
    <mergeCell ref="M351:M352"/>
    <mergeCell ref="N351:N352"/>
    <mergeCell ref="Z334:Z335"/>
    <mergeCell ref="AB334:AB335"/>
    <mergeCell ref="C346:H346"/>
    <mergeCell ref="P346:S346"/>
    <mergeCell ref="C347:G347"/>
    <mergeCell ref="P347:S347"/>
    <mergeCell ref="O334:O335"/>
    <mergeCell ref="P334:R334"/>
    <mergeCell ref="S334:S335"/>
    <mergeCell ref="T334:T335"/>
    <mergeCell ref="U334:U335"/>
    <mergeCell ref="V334:V335"/>
    <mergeCell ref="AB351:AB352"/>
    <mergeCell ref="C363:H363"/>
    <mergeCell ref="P363:S363"/>
    <mergeCell ref="C364:G364"/>
    <mergeCell ref="P364:S364"/>
    <mergeCell ref="O351:O352"/>
    <mergeCell ref="P351:R351"/>
    <mergeCell ref="S351:S352"/>
    <mergeCell ref="T351:T352"/>
    <mergeCell ref="U351:U352"/>
    <mergeCell ref="V351:V352"/>
    <mergeCell ref="B351:B352"/>
    <mergeCell ref="C351:C352"/>
    <mergeCell ref="D351:G351"/>
    <mergeCell ref="H351:H352"/>
    <mergeCell ref="I351:I352"/>
    <mergeCell ref="J351:J352"/>
    <mergeCell ref="B368:B369"/>
    <mergeCell ref="C368:C369"/>
    <mergeCell ref="D368:G368"/>
    <mergeCell ref="H368:H369"/>
    <mergeCell ref="I368:I369"/>
    <mergeCell ref="J368:J369"/>
    <mergeCell ref="C365:H365"/>
    <mergeCell ref="P365:S365"/>
    <mergeCell ref="C367:I367"/>
    <mergeCell ref="K367:Q367"/>
    <mergeCell ref="R367:S367"/>
    <mergeCell ref="X367:X369"/>
    <mergeCell ref="K368:K369"/>
    <mergeCell ref="L368:L369"/>
    <mergeCell ref="M368:M369"/>
    <mergeCell ref="N368:N369"/>
    <mergeCell ref="Z351:Z352"/>
    <mergeCell ref="C380:H380"/>
    <mergeCell ref="P380:S380"/>
    <mergeCell ref="C381:G381"/>
    <mergeCell ref="P381:S381"/>
    <mergeCell ref="C382:H382"/>
    <mergeCell ref="P382:S382"/>
    <mergeCell ref="Z368:Z369"/>
    <mergeCell ref="AB368:AB369"/>
    <mergeCell ref="D370:D371"/>
    <mergeCell ref="E370:E371"/>
    <mergeCell ref="F370:F371"/>
    <mergeCell ref="G370:G371"/>
    <mergeCell ref="W370:W371"/>
    <mergeCell ref="O368:O369"/>
    <mergeCell ref="P368:R368"/>
    <mergeCell ref="S368:S369"/>
    <mergeCell ref="T368:T369"/>
    <mergeCell ref="U368:U369"/>
    <mergeCell ref="V368:V369"/>
    <mergeCell ref="Z385:Z386"/>
    <mergeCell ref="AB385:AB386"/>
    <mergeCell ref="K385:K386"/>
    <mergeCell ref="L385:L386"/>
    <mergeCell ref="M385:M386"/>
    <mergeCell ref="N385:N386"/>
    <mergeCell ref="O385:O386"/>
    <mergeCell ref="P385:R385"/>
    <mergeCell ref="C384:I384"/>
    <mergeCell ref="K384:Q384"/>
    <mergeCell ref="R384:S384"/>
    <mergeCell ref="X384:X386"/>
    <mergeCell ref="B385:B386"/>
    <mergeCell ref="C385:C386"/>
    <mergeCell ref="D385:G385"/>
    <mergeCell ref="H385:H386"/>
    <mergeCell ref="I385:I386"/>
    <mergeCell ref="J385:J386"/>
    <mergeCell ref="C401:I401"/>
    <mergeCell ref="K401:Q401"/>
    <mergeCell ref="R401:S401"/>
    <mergeCell ref="X401:X403"/>
    <mergeCell ref="B402:B403"/>
    <mergeCell ref="C402:C403"/>
    <mergeCell ref="D402:G402"/>
    <mergeCell ref="H402:H403"/>
    <mergeCell ref="I402:I403"/>
    <mergeCell ref="J402:J403"/>
    <mergeCell ref="C397:H397"/>
    <mergeCell ref="P397:S397"/>
    <mergeCell ref="C398:G398"/>
    <mergeCell ref="P398:S398"/>
    <mergeCell ref="C399:H399"/>
    <mergeCell ref="P399:S399"/>
    <mergeCell ref="S385:S386"/>
    <mergeCell ref="T385:T386"/>
    <mergeCell ref="U385:U386"/>
    <mergeCell ref="V385:V386"/>
    <mergeCell ref="C414:H414"/>
    <mergeCell ref="P414:S414"/>
    <mergeCell ref="C415:G415"/>
    <mergeCell ref="P415:S415"/>
    <mergeCell ref="C416:H416"/>
    <mergeCell ref="P416:S416"/>
    <mergeCell ref="S402:S403"/>
    <mergeCell ref="T402:T403"/>
    <mergeCell ref="U402:U403"/>
    <mergeCell ref="V402:V403"/>
    <mergeCell ref="Z402:Z403"/>
    <mergeCell ref="AB402:AB403"/>
    <mergeCell ref="K402:K403"/>
    <mergeCell ref="L402:L403"/>
    <mergeCell ref="M402:M403"/>
    <mergeCell ref="N402:N403"/>
    <mergeCell ref="O402:O403"/>
    <mergeCell ref="P402:R402"/>
    <mergeCell ref="Z419:Z420"/>
    <mergeCell ref="AB419:AB420"/>
    <mergeCell ref="K419:K420"/>
    <mergeCell ref="L419:L420"/>
    <mergeCell ref="M419:M420"/>
    <mergeCell ref="N419:N420"/>
    <mergeCell ref="O419:O420"/>
    <mergeCell ref="P419:R419"/>
    <mergeCell ref="C418:I418"/>
    <mergeCell ref="K418:Q418"/>
    <mergeCell ref="R418:S418"/>
    <mergeCell ref="X418:X420"/>
    <mergeCell ref="B419:B420"/>
    <mergeCell ref="C419:C420"/>
    <mergeCell ref="D419:G419"/>
    <mergeCell ref="H419:H420"/>
    <mergeCell ref="I419:I420"/>
    <mergeCell ref="J419:J420"/>
    <mergeCell ref="C435:I435"/>
    <mergeCell ref="K435:Q435"/>
    <mergeCell ref="R435:S435"/>
    <mergeCell ref="X435:X437"/>
    <mergeCell ref="B436:B437"/>
    <mergeCell ref="C436:C437"/>
    <mergeCell ref="D436:G436"/>
    <mergeCell ref="H436:H437"/>
    <mergeCell ref="I436:I437"/>
    <mergeCell ref="J436:J437"/>
    <mergeCell ref="C431:H431"/>
    <mergeCell ref="P431:S431"/>
    <mergeCell ref="C432:G432"/>
    <mergeCell ref="P432:S432"/>
    <mergeCell ref="C433:H433"/>
    <mergeCell ref="P433:S433"/>
    <mergeCell ref="S419:S420"/>
    <mergeCell ref="T419:T420"/>
    <mergeCell ref="U419:U420"/>
    <mergeCell ref="V419:V420"/>
    <mergeCell ref="C448:H448"/>
    <mergeCell ref="P448:S448"/>
    <mergeCell ref="C449:G449"/>
    <mergeCell ref="P449:S449"/>
    <mergeCell ref="C450:H450"/>
    <mergeCell ref="P450:S450"/>
    <mergeCell ref="S436:S437"/>
    <mergeCell ref="T436:T437"/>
    <mergeCell ref="U436:U437"/>
    <mergeCell ref="V436:V437"/>
    <mergeCell ref="Z436:Z437"/>
    <mergeCell ref="AB436:AB437"/>
    <mergeCell ref="K436:K437"/>
    <mergeCell ref="L436:L437"/>
    <mergeCell ref="M436:M437"/>
    <mergeCell ref="N436:N437"/>
    <mergeCell ref="O436:O437"/>
    <mergeCell ref="P436:R436"/>
    <mergeCell ref="Z453:Z454"/>
    <mergeCell ref="AB453:AB454"/>
    <mergeCell ref="K453:K454"/>
    <mergeCell ref="L453:L454"/>
    <mergeCell ref="M453:M454"/>
    <mergeCell ref="N453:N454"/>
    <mergeCell ref="O453:O454"/>
    <mergeCell ref="P453:R453"/>
    <mergeCell ref="C452:I452"/>
    <mergeCell ref="K452:Q452"/>
    <mergeCell ref="R452:S452"/>
    <mergeCell ref="X452:X454"/>
    <mergeCell ref="B453:B454"/>
    <mergeCell ref="C453:C454"/>
    <mergeCell ref="D453:G453"/>
    <mergeCell ref="H453:H454"/>
    <mergeCell ref="I453:I454"/>
    <mergeCell ref="J453:J454"/>
    <mergeCell ref="C469:I469"/>
    <mergeCell ref="K469:Q469"/>
    <mergeCell ref="R469:S469"/>
    <mergeCell ref="X469:X471"/>
    <mergeCell ref="B470:B471"/>
    <mergeCell ref="C470:C471"/>
    <mergeCell ref="D470:G470"/>
    <mergeCell ref="H470:H471"/>
    <mergeCell ref="I470:I471"/>
    <mergeCell ref="J470:J471"/>
    <mergeCell ref="C465:H465"/>
    <mergeCell ref="P465:S465"/>
    <mergeCell ref="C466:G466"/>
    <mergeCell ref="P466:S466"/>
    <mergeCell ref="C467:H467"/>
    <mergeCell ref="P467:S467"/>
    <mergeCell ref="S453:S454"/>
    <mergeCell ref="T453:T454"/>
    <mergeCell ref="U453:U454"/>
    <mergeCell ref="V453:V454"/>
    <mergeCell ref="C482:H482"/>
    <mergeCell ref="P482:S482"/>
    <mergeCell ref="C483:G483"/>
    <mergeCell ref="P483:S483"/>
    <mergeCell ref="C484:H484"/>
    <mergeCell ref="P484:S484"/>
    <mergeCell ref="S470:S471"/>
    <mergeCell ref="T470:T471"/>
    <mergeCell ref="U470:U471"/>
    <mergeCell ref="V470:V471"/>
    <mergeCell ref="Z470:Z471"/>
    <mergeCell ref="AB470:AB471"/>
    <mergeCell ref="K470:K471"/>
    <mergeCell ref="L470:L471"/>
    <mergeCell ref="M470:M471"/>
    <mergeCell ref="N470:N471"/>
    <mergeCell ref="O470:O471"/>
    <mergeCell ref="P470:R470"/>
    <mergeCell ref="S487:S488"/>
    <mergeCell ref="T487:T488"/>
    <mergeCell ref="U487:U488"/>
    <mergeCell ref="V487:V488"/>
    <mergeCell ref="Z487:Z488"/>
    <mergeCell ref="AB487:AB488"/>
    <mergeCell ref="K487:K488"/>
    <mergeCell ref="L487:L488"/>
    <mergeCell ref="M487:M488"/>
    <mergeCell ref="N487:N488"/>
    <mergeCell ref="O487:O488"/>
    <mergeCell ref="P487:R487"/>
    <mergeCell ref="C486:I486"/>
    <mergeCell ref="K486:Q486"/>
    <mergeCell ref="R486:S486"/>
    <mergeCell ref="X486:X488"/>
    <mergeCell ref="B487:B488"/>
    <mergeCell ref="C487:C488"/>
    <mergeCell ref="D487:G487"/>
    <mergeCell ref="H487:H488"/>
    <mergeCell ref="I487:I488"/>
    <mergeCell ref="J487:J488"/>
    <mergeCell ref="B504:B505"/>
    <mergeCell ref="C504:C505"/>
    <mergeCell ref="D504:G504"/>
    <mergeCell ref="H504:H505"/>
    <mergeCell ref="I504:I505"/>
    <mergeCell ref="J504:J505"/>
    <mergeCell ref="K504:K505"/>
    <mergeCell ref="L504:L505"/>
    <mergeCell ref="M504:M505"/>
    <mergeCell ref="C500:G500"/>
    <mergeCell ref="P500:S500"/>
    <mergeCell ref="C501:H501"/>
    <mergeCell ref="P501:S501"/>
    <mergeCell ref="C503:I503"/>
    <mergeCell ref="K503:Q503"/>
    <mergeCell ref="R503:S503"/>
    <mergeCell ref="D491:D492"/>
    <mergeCell ref="E491:E492"/>
    <mergeCell ref="F491:F492"/>
    <mergeCell ref="G491:G492"/>
    <mergeCell ref="C499:H499"/>
    <mergeCell ref="P499:S499"/>
    <mergeCell ref="C518:H518"/>
    <mergeCell ref="P518:S518"/>
    <mergeCell ref="C520:I520"/>
    <mergeCell ref="K520:Q520"/>
    <mergeCell ref="R520:S520"/>
    <mergeCell ref="X520:X522"/>
    <mergeCell ref="K521:K522"/>
    <mergeCell ref="L521:L522"/>
    <mergeCell ref="M521:M522"/>
    <mergeCell ref="N521:N522"/>
    <mergeCell ref="V504:V505"/>
    <mergeCell ref="Z504:Z505"/>
    <mergeCell ref="AB504:AB505"/>
    <mergeCell ref="C516:H516"/>
    <mergeCell ref="P516:S516"/>
    <mergeCell ref="C517:G517"/>
    <mergeCell ref="P517:S517"/>
    <mergeCell ref="N504:N505"/>
    <mergeCell ref="O504:O505"/>
    <mergeCell ref="P504:R504"/>
    <mergeCell ref="S504:S505"/>
    <mergeCell ref="T504:T505"/>
    <mergeCell ref="U504:U505"/>
    <mergeCell ref="X503:X505"/>
    <mergeCell ref="AB521:AB522"/>
    <mergeCell ref="C533:H533"/>
    <mergeCell ref="P533:S533"/>
    <mergeCell ref="C534:G534"/>
    <mergeCell ref="P534:S534"/>
    <mergeCell ref="O521:O522"/>
    <mergeCell ref="P521:R521"/>
    <mergeCell ref="S521:S522"/>
    <mergeCell ref="T521:T522"/>
    <mergeCell ref="U521:U522"/>
    <mergeCell ref="V521:V522"/>
    <mergeCell ref="B521:B522"/>
    <mergeCell ref="C521:C522"/>
    <mergeCell ref="D521:G521"/>
    <mergeCell ref="H521:H522"/>
    <mergeCell ref="I521:I522"/>
    <mergeCell ref="J521:J522"/>
    <mergeCell ref="B538:B539"/>
    <mergeCell ref="C538:C539"/>
    <mergeCell ref="D538:G538"/>
    <mergeCell ref="H538:H539"/>
    <mergeCell ref="I538:I539"/>
    <mergeCell ref="J538:J539"/>
    <mergeCell ref="C535:H535"/>
    <mergeCell ref="P535:S535"/>
    <mergeCell ref="C537:I537"/>
    <mergeCell ref="K537:Q537"/>
    <mergeCell ref="R537:S537"/>
    <mergeCell ref="X537:X539"/>
    <mergeCell ref="K538:K539"/>
    <mergeCell ref="L538:L539"/>
    <mergeCell ref="M538:M539"/>
    <mergeCell ref="N538:N539"/>
    <mergeCell ref="Z521:Z522"/>
    <mergeCell ref="C552:H552"/>
    <mergeCell ref="P552:S552"/>
    <mergeCell ref="C554:I554"/>
    <mergeCell ref="K554:Q554"/>
    <mergeCell ref="R554:S554"/>
    <mergeCell ref="X554:X556"/>
    <mergeCell ref="K555:K556"/>
    <mergeCell ref="L555:L556"/>
    <mergeCell ref="M555:M556"/>
    <mergeCell ref="N555:N556"/>
    <mergeCell ref="Z538:Z539"/>
    <mergeCell ref="AB538:AB539"/>
    <mergeCell ref="C550:H550"/>
    <mergeCell ref="P550:S550"/>
    <mergeCell ref="C551:G551"/>
    <mergeCell ref="P551:S551"/>
    <mergeCell ref="O538:O539"/>
    <mergeCell ref="P538:R538"/>
    <mergeCell ref="S538:S539"/>
    <mergeCell ref="T538:T539"/>
    <mergeCell ref="U538:U539"/>
    <mergeCell ref="V538:V539"/>
    <mergeCell ref="AB555:AB556"/>
    <mergeCell ref="C567:H567"/>
    <mergeCell ref="P567:S567"/>
    <mergeCell ref="C568:G568"/>
    <mergeCell ref="P568:S568"/>
    <mergeCell ref="O555:O556"/>
    <mergeCell ref="P555:R555"/>
    <mergeCell ref="S555:S556"/>
    <mergeCell ref="T555:T556"/>
    <mergeCell ref="U555:U556"/>
    <mergeCell ref="V555:V556"/>
    <mergeCell ref="B555:B556"/>
    <mergeCell ref="C555:C556"/>
    <mergeCell ref="D555:G555"/>
    <mergeCell ref="H555:H556"/>
    <mergeCell ref="I555:I556"/>
    <mergeCell ref="J555:J556"/>
    <mergeCell ref="B572:B573"/>
    <mergeCell ref="C572:C573"/>
    <mergeCell ref="D572:G572"/>
    <mergeCell ref="H572:H573"/>
    <mergeCell ref="I572:I573"/>
    <mergeCell ref="J572:J573"/>
    <mergeCell ref="C569:H569"/>
    <mergeCell ref="P569:S569"/>
    <mergeCell ref="C571:I571"/>
    <mergeCell ref="K571:Q571"/>
    <mergeCell ref="R571:S571"/>
    <mergeCell ref="X571:X573"/>
    <mergeCell ref="K572:K573"/>
    <mergeCell ref="L572:L573"/>
    <mergeCell ref="M572:M573"/>
    <mergeCell ref="N572:N573"/>
    <mergeCell ref="Z555:Z556"/>
    <mergeCell ref="C586:H586"/>
    <mergeCell ref="P586:S586"/>
    <mergeCell ref="C588:I588"/>
    <mergeCell ref="K588:Q588"/>
    <mergeCell ref="R588:S588"/>
    <mergeCell ref="X588:X590"/>
    <mergeCell ref="K589:K590"/>
    <mergeCell ref="L589:L590"/>
    <mergeCell ref="M589:M590"/>
    <mergeCell ref="N589:N590"/>
    <mergeCell ref="Z572:Z573"/>
    <mergeCell ref="AB572:AB573"/>
    <mergeCell ref="C584:H584"/>
    <mergeCell ref="P584:S584"/>
    <mergeCell ref="C585:G585"/>
    <mergeCell ref="P585:S585"/>
    <mergeCell ref="O572:O573"/>
    <mergeCell ref="P572:R572"/>
    <mergeCell ref="S572:S573"/>
    <mergeCell ref="T572:T573"/>
    <mergeCell ref="U572:U573"/>
    <mergeCell ref="V572:V573"/>
    <mergeCell ref="AB589:AB590"/>
    <mergeCell ref="C601:H601"/>
    <mergeCell ref="P601:S601"/>
    <mergeCell ref="C602:G602"/>
    <mergeCell ref="P602:S602"/>
    <mergeCell ref="O589:O590"/>
    <mergeCell ref="P589:R589"/>
    <mergeCell ref="S589:S590"/>
    <mergeCell ref="T589:T590"/>
    <mergeCell ref="U589:U590"/>
    <mergeCell ref="V589:V590"/>
    <mergeCell ref="B589:B590"/>
    <mergeCell ref="C589:C590"/>
    <mergeCell ref="D589:G589"/>
    <mergeCell ref="H589:H590"/>
    <mergeCell ref="I589:I590"/>
    <mergeCell ref="J589:J590"/>
    <mergeCell ref="B606:B607"/>
    <mergeCell ref="C606:C607"/>
    <mergeCell ref="D606:G606"/>
    <mergeCell ref="H606:H607"/>
    <mergeCell ref="I606:I607"/>
    <mergeCell ref="J606:J607"/>
    <mergeCell ref="C603:H603"/>
    <mergeCell ref="P603:S603"/>
    <mergeCell ref="C605:I605"/>
    <mergeCell ref="K605:Q605"/>
    <mergeCell ref="R605:S605"/>
    <mergeCell ref="X605:X607"/>
    <mergeCell ref="K606:K607"/>
    <mergeCell ref="L606:L607"/>
    <mergeCell ref="M606:M607"/>
    <mergeCell ref="N606:N607"/>
    <mergeCell ref="Z589:Z590"/>
    <mergeCell ref="C620:H620"/>
    <mergeCell ref="P620:S620"/>
    <mergeCell ref="C622:I622"/>
    <mergeCell ref="K622:Q622"/>
    <mergeCell ref="R622:S622"/>
    <mergeCell ref="X622:X624"/>
    <mergeCell ref="K623:K624"/>
    <mergeCell ref="L623:L624"/>
    <mergeCell ref="M623:M624"/>
    <mergeCell ref="N623:N624"/>
    <mergeCell ref="Z606:Z607"/>
    <mergeCell ref="AB606:AB607"/>
    <mergeCell ref="C618:H618"/>
    <mergeCell ref="P618:S618"/>
    <mergeCell ref="C619:G619"/>
    <mergeCell ref="P619:S619"/>
    <mergeCell ref="O606:O607"/>
    <mergeCell ref="P606:R606"/>
    <mergeCell ref="S606:S607"/>
    <mergeCell ref="T606:T607"/>
    <mergeCell ref="U606:U607"/>
    <mergeCell ref="V606:V607"/>
    <mergeCell ref="AB623:AB624"/>
    <mergeCell ref="C635:H635"/>
    <mergeCell ref="P635:S635"/>
    <mergeCell ref="C636:G636"/>
    <mergeCell ref="P636:S636"/>
    <mergeCell ref="O623:O624"/>
    <mergeCell ref="P623:R623"/>
    <mergeCell ref="S623:S624"/>
    <mergeCell ref="T623:T624"/>
    <mergeCell ref="U623:U624"/>
    <mergeCell ref="V623:V624"/>
    <mergeCell ref="B623:B624"/>
    <mergeCell ref="C623:C624"/>
    <mergeCell ref="D623:G623"/>
    <mergeCell ref="H623:H624"/>
    <mergeCell ref="I623:I624"/>
    <mergeCell ref="J623:J624"/>
    <mergeCell ref="B640:B641"/>
    <mergeCell ref="C640:C641"/>
    <mergeCell ref="D640:G640"/>
    <mergeCell ref="H640:H641"/>
    <mergeCell ref="I640:I641"/>
    <mergeCell ref="J640:J641"/>
    <mergeCell ref="C637:H637"/>
    <mergeCell ref="P637:S637"/>
    <mergeCell ref="C639:I639"/>
    <mergeCell ref="K639:Q639"/>
    <mergeCell ref="R639:S639"/>
    <mergeCell ref="X639:X641"/>
    <mergeCell ref="K640:K641"/>
    <mergeCell ref="L640:L641"/>
    <mergeCell ref="M640:M641"/>
    <mergeCell ref="N640:N641"/>
    <mergeCell ref="Z623:Z624"/>
    <mergeCell ref="C654:H654"/>
    <mergeCell ref="P654:S654"/>
    <mergeCell ref="C656:I656"/>
    <mergeCell ref="K656:Q656"/>
    <mergeCell ref="R656:S656"/>
    <mergeCell ref="X656:X658"/>
    <mergeCell ref="K657:K658"/>
    <mergeCell ref="L657:L658"/>
    <mergeCell ref="M657:M658"/>
    <mergeCell ref="N657:N658"/>
    <mergeCell ref="Z640:Z641"/>
    <mergeCell ref="AB640:AB641"/>
    <mergeCell ref="C652:H652"/>
    <mergeCell ref="P652:S652"/>
    <mergeCell ref="C653:G653"/>
    <mergeCell ref="P653:S653"/>
    <mergeCell ref="O640:O641"/>
    <mergeCell ref="P640:R640"/>
    <mergeCell ref="S640:S641"/>
    <mergeCell ref="T640:T641"/>
    <mergeCell ref="U640:U641"/>
    <mergeCell ref="V640:V641"/>
    <mergeCell ref="AB657:AB658"/>
    <mergeCell ref="C669:H669"/>
    <mergeCell ref="P669:S669"/>
    <mergeCell ref="C670:G670"/>
    <mergeCell ref="P670:S670"/>
    <mergeCell ref="O657:O658"/>
    <mergeCell ref="P657:R657"/>
    <mergeCell ref="S657:S658"/>
    <mergeCell ref="T657:T658"/>
    <mergeCell ref="U657:U658"/>
    <mergeCell ref="V657:V658"/>
    <mergeCell ref="B657:B658"/>
    <mergeCell ref="C657:C658"/>
    <mergeCell ref="D657:G657"/>
    <mergeCell ref="H657:H658"/>
    <mergeCell ref="I657:I658"/>
    <mergeCell ref="J657:J658"/>
    <mergeCell ref="B674:B675"/>
    <mergeCell ref="C674:C675"/>
    <mergeCell ref="D674:G674"/>
    <mergeCell ref="H674:H675"/>
    <mergeCell ref="I674:I675"/>
    <mergeCell ref="J674:J675"/>
    <mergeCell ref="C671:H671"/>
    <mergeCell ref="P671:S671"/>
    <mergeCell ref="C673:I673"/>
    <mergeCell ref="K673:Q673"/>
    <mergeCell ref="R673:S673"/>
    <mergeCell ref="X673:X675"/>
    <mergeCell ref="K674:K675"/>
    <mergeCell ref="L674:L675"/>
    <mergeCell ref="M674:M675"/>
    <mergeCell ref="N674:N675"/>
    <mergeCell ref="Z657:Z658"/>
    <mergeCell ref="C688:H688"/>
    <mergeCell ref="P688:S688"/>
    <mergeCell ref="C690:I690"/>
    <mergeCell ref="K690:Q690"/>
    <mergeCell ref="R690:S690"/>
    <mergeCell ref="X690:X692"/>
    <mergeCell ref="K691:K692"/>
    <mergeCell ref="L691:L692"/>
    <mergeCell ref="M691:M692"/>
    <mergeCell ref="N691:N692"/>
    <mergeCell ref="Z674:Z675"/>
    <mergeCell ref="AB674:AB675"/>
    <mergeCell ref="C686:H686"/>
    <mergeCell ref="P686:S686"/>
    <mergeCell ref="C687:G687"/>
    <mergeCell ref="P687:S687"/>
    <mergeCell ref="O674:O675"/>
    <mergeCell ref="P674:R674"/>
    <mergeCell ref="S674:S675"/>
    <mergeCell ref="T674:T675"/>
    <mergeCell ref="U674:U675"/>
    <mergeCell ref="V674:V675"/>
    <mergeCell ref="AB691:AB692"/>
    <mergeCell ref="C703:H703"/>
    <mergeCell ref="P703:S703"/>
    <mergeCell ref="C704:G704"/>
    <mergeCell ref="P704:S704"/>
    <mergeCell ref="O691:O692"/>
    <mergeCell ref="P691:R691"/>
    <mergeCell ref="S691:S692"/>
    <mergeCell ref="T691:T692"/>
    <mergeCell ref="U691:U692"/>
    <mergeCell ref="V691:V692"/>
    <mergeCell ref="B691:B692"/>
    <mergeCell ref="C691:C692"/>
    <mergeCell ref="D691:G691"/>
    <mergeCell ref="H691:H692"/>
    <mergeCell ref="I691:I692"/>
    <mergeCell ref="J691:J692"/>
    <mergeCell ref="B708:B709"/>
    <mergeCell ref="C708:C709"/>
    <mergeCell ref="D708:G708"/>
    <mergeCell ref="H708:H709"/>
    <mergeCell ref="I708:I709"/>
    <mergeCell ref="J708:J709"/>
    <mergeCell ref="C705:H705"/>
    <mergeCell ref="P705:S705"/>
    <mergeCell ref="C707:I707"/>
    <mergeCell ref="K707:Q707"/>
    <mergeCell ref="R707:S707"/>
    <mergeCell ref="X707:X709"/>
    <mergeCell ref="K708:K709"/>
    <mergeCell ref="L708:L709"/>
    <mergeCell ref="M708:M709"/>
    <mergeCell ref="N708:N709"/>
    <mergeCell ref="Z691:Z692"/>
    <mergeCell ref="C722:H722"/>
    <mergeCell ref="P722:S722"/>
    <mergeCell ref="C724:I724"/>
    <mergeCell ref="K724:Q724"/>
    <mergeCell ref="R724:S724"/>
    <mergeCell ref="X724:X726"/>
    <mergeCell ref="K725:K726"/>
    <mergeCell ref="L725:L726"/>
    <mergeCell ref="M725:M726"/>
    <mergeCell ref="N725:N726"/>
    <mergeCell ref="Z708:Z709"/>
    <mergeCell ref="AB708:AB709"/>
    <mergeCell ref="C720:H720"/>
    <mergeCell ref="P720:S720"/>
    <mergeCell ref="C721:G721"/>
    <mergeCell ref="P721:S721"/>
    <mergeCell ref="O708:O709"/>
    <mergeCell ref="P708:R708"/>
    <mergeCell ref="S708:S709"/>
    <mergeCell ref="T708:T709"/>
    <mergeCell ref="U708:U709"/>
    <mergeCell ref="V708:V709"/>
    <mergeCell ref="AB725:AB726"/>
    <mergeCell ref="C737:H737"/>
    <mergeCell ref="P737:S737"/>
    <mergeCell ref="C738:G738"/>
    <mergeCell ref="P738:S738"/>
    <mergeCell ref="O725:O726"/>
    <mergeCell ref="P725:R725"/>
    <mergeCell ref="S725:S726"/>
    <mergeCell ref="T725:T726"/>
    <mergeCell ref="U725:U726"/>
    <mergeCell ref="V725:V726"/>
    <mergeCell ref="B725:B726"/>
    <mergeCell ref="C725:C726"/>
    <mergeCell ref="D725:G725"/>
    <mergeCell ref="H725:H726"/>
    <mergeCell ref="I725:I726"/>
    <mergeCell ref="J725:J726"/>
    <mergeCell ref="B742:B743"/>
    <mergeCell ref="C742:C743"/>
    <mergeCell ref="D742:G742"/>
    <mergeCell ref="H742:H743"/>
    <mergeCell ref="I742:I743"/>
    <mergeCell ref="J742:J743"/>
    <mergeCell ref="C739:H739"/>
    <mergeCell ref="P739:S739"/>
    <mergeCell ref="C741:I741"/>
    <mergeCell ref="K741:Q741"/>
    <mergeCell ref="R741:S741"/>
    <mergeCell ref="X741:X743"/>
    <mergeCell ref="K742:K743"/>
    <mergeCell ref="L742:L743"/>
    <mergeCell ref="M742:M743"/>
    <mergeCell ref="N742:N743"/>
    <mergeCell ref="Z725:Z726"/>
    <mergeCell ref="C756:H756"/>
    <mergeCell ref="P756:S756"/>
    <mergeCell ref="C758:I758"/>
    <mergeCell ref="K758:Q758"/>
    <mergeCell ref="R758:S758"/>
    <mergeCell ref="X758:X760"/>
    <mergeCell ref="K759:K760"/>
    <mergeCell ref="L759:L760"/>
    <mergeCell ref="M759:M760"/>
    <mergeCell ref="N759:N760"/>
    <mergeCell ref="Z742:Z743"/>
    <mergeCell ref="AB742:AB743"/>
    <mergeCell ref="C754:H754"/>
    <mergeCell ref="P754:S754"/>
    <mergeCell ref="C755:G755"/>
    <mergeCell ref="P755:S755"/>
    <mergeCell ref="O742:O743"/>
    <mergeCell ref="P742:R742"/>
    <mergeCell ref="S742:S743"/>
    <mergeCell ref="T742:T743"/>
    <mergeCell ref="U742:U743"/>
    <mergeCell ref="V742:V743"/>
    <mergeCell ref="AB759:AB760"/>
    <mergeCell ref="C771:H771"/>
    <mergeCell ref="P771:S771"/>
    <mergeCell ref="C772:G772"/>
    <mergeCell ref="P772:S772"/>
    <mergeCell ref="O759:O760"/>
    <mergeCell ref="P759:R759"/>
    <mergeCell ref="S759:S760"/>
    <mergeCell ref="T759:T760"/>
    <mergeCell ref="U759:U760"/>
    <mergeCell ref="V759:V760"/>
    <mergeCell ref="B759:B760"/>
    <mergeCell ref="C759:C760"/>
    <mergeCell ref="D759:G759"/>
    <mergeCell ref="H759:H760"/>
    <mergeCell ref="I759:I760"/>
    <mergeCell ref="J759:J760"/>
    <mergeCell ref="B776:B777"/>
    <mergeCell ref="C776:C777"/>
    <mergeCell ref="D776:G776"/>
    <mergeCell ref="H776:H777"/>
    <mergeCell ref="I776:I777"/>
    <mergeCell ref="J776:J777"/>
    <mergeCell ref="C773:H773"/>
    <mergeCell ref="P773:S773"/>
    <mergeCell ref="C775:I775"/>
    <mergeCell ref="K775:Q775"/>
    <mergeCell ref="R775:S775"/>
    <mergeCell ref="X775:X777"/>
    <mergeCell ref="K776:K777"/>
    <mergeCell ref="L776:L777"/>
    <mergeCell ref="M776:M777"/>
    <mergeCell ref="N776:N777"/>
    <mergeCell ref="Z759:Z760"/>
    <mergeCell ref="C790:H790"/>
    <mergeCell ref="P790:S790"/>
    <mergeCell ref="C792:I792"/>
    <mergeCell ref="K792:Q792"/>
    <mergeCell ref="R792:S792"/>
    <mergeCell ref="X792:X794"/>
    <mergeCell ref="K793:K794"/>
    <mergeCell ref="L793:L794"/>
    <mergeCell ref="M793:M794"/>
    <mergeCell ref="N793:N794"/>
    <mergeCell ref="Z776:Z777"/>
    <mergeCell ref="AB776:AB777"/>
    <mergeCell ref="C788:H788"/>
    <mergeCell ref="P788:S788"/>
    <mergeCell ref="C789:G789"/>
    <mergeCell ref="P789:S789"/>
    <mergeCell ref="O776:O777"/>
    <mergeCell ref="P776:R776"/>
    <mergeCell ref="S776:S777"/>
    <mergeCell ref="T776:T777"/>
    <mergeCell ref="U776:U777"/>
    <mergeCell ref="V776:V777"/>
    <mergeCell ref="AB793:AB794"/>
    <mergeCell ref="C805:H805"/>
    <mergeCell ref="P805:S805"/>
    <mergeCell ref="C806:G806"/>
    <mergeCell ref="P806:S806"/>
    <mergeCell ref="O793:O794"/>
    <mergeCell ref="P793:R793"/>
    <mergeCell ref="S793:S794"/>
    <mergeCell ref="T793:T794"/>
    <mergeCell ref="U793:U794"/>
    <mergeCell ref="V793:V794"/>
    <mergeCell ref="B793:B794"/>
    <mergeCell ref="C793:C794"/>
    <mergeCell ref="D793:G793"/>
    <mergeCell ref="H793:H794"/>
    <mergeCell ref="I793:I794"/>
    <mergeCell ref="J793:J794"/>
    <mergeCell ref="B810:B811"/>
    <mergeCell ref="C810:C811"/>
    <mergeCell ref="D810:G810"/>
    <mergeCell ref="H810:H811"/>
    <mergeCell ref="I810:I811"/>
    <mergeCell ref="J810:J811"/>
    <mergeCell ref="C807:H807"/>
    <mergeCell ref="P807:S807"/>
    <mergeCell ref="C809:I809"/>
    <mergeCell ref="K809:Q809"/>
    <mergeCell ref="R809:S809"/>
    <mergeCell ref="X809:X811"/>
    <mergeCell ref="K810:K811"/>
    <mergeCell ref="L810:L811"/>
    <mergeCell ref="M810:M811"/>
    <mergeCell ref="N810:N811"/>
    <mergeCell ref="Z793:Z794"/>
    <mergeCell ref="C824:H824"/>
    <mergeCell ref="P824:S824"/>
    <mergeCell ref="C826:I826"/>
    <mergeCell ref="K826:Q826"/>
    <mergeCell ref="R826:S826"/>
    <mergeCell ref="X826:X828"/>
    <mergeCell ref="K827:K828"/>
    <mergeCell ref="L827:L828"/>
    <mergeCell ref="M827:M828"/>
    <mergeCell ref="N827:N828"/>
    <mergeCell ref="Z810:Z811"/>
    <mergeCell ref="AB810:AB811"/>
    <mergeCell ref="C822:H822"/>
    <mergeCell ref="P822:S822"/>
    <mergeCell ref="C823:G823"/>
    <mergeCell ref="P823:S823"/>
    <mergeCell ref="O810:O811"/>
    <mergeCell ref="P810:R810"/>
    <mergeCell ref="S810:S811"/>
    <mergeCell ref="T810:T811"/>
    <mergeCell ref="U810:U811"/>
    <mergeCell ref="V810:V811"/>
    <mergeCell ref="AB827:AB828"/>
    <mergeCell ref="C839:H839"/>
    <mergeCell ref="P839:S839"/>
    <mergeCell ref="C840:G840"/>
    <mergeCell ref="P840:S840"/>
    <mergeCell ref="O827:O828"/>
    <mergeCell ref="P827:R827"/>
    <mergeCell ref="S827:S828"/>
    <mergeCell ref="T827:T828"/>
    <mergeCell ref="U827:U828"/>
    <mergeCell ref="V827:V828"/>
    <mergeCell ref="B827:B828"/>
    <mergeCell ref="C827:C828"/>
    <mergeCell ref="D827:G827"/>
    <mergeCell ref="H827:H828"/>
    <mergeCell ref="I827:I828"/>
    <mergeCell ref="J827:J828"/>
    <mergeCell ref="B844:B845"/>
    <mergeCell ref="C844:C845"/>
    <mergeCell ref="D844:G844"/>
    <mergeCell ref="H844:H845"/>
    <mergeCell ref="I844:I845"/>
    <mergeCell ref="J844:J845"/>
    <mergeCell ref="C841:H841"/>
    <mergeCell ref="P841:S841"/>
    <mergeCell ref="C843:I843"/>
    <mergeCell ref="K843:Q843"/>
    <mergeCell ref="R843:S843"/>
    <mergeCell ref="X843:X845"/>
    <mergeCell ref="K844:K845"/>
    <mergeCell ref="L844:L845"/>
    <mergeCell ref="M844:M845"/>
    <mergeCell ref="N844:N845"/>
    <mergeCell ref="Z827:Z828"/>
    <mergeCell ref="C858:H858"/>
    <mergeCell ref="P858:S858"/>
    <mergeCell ref="C860:I860"/>
    <mergeCell ref="K860:Q860"/>
    <mergeCell ref="R860:S860"/>
    <mergeCell ref="X860:X862"/>
    <mergeCell ref="K861:K862"/>
    <mergeCell ref="L861:L862"/>
    <mergeCell ref="M861:M862"/>
    <mergeCell ref="N861:N862"/>
    <mergeCell ref="Z844:Z845"/>
    <mergeCell ref="AB844:AB845"/>
    <mergeCell ref="C856:H856"/>
    <mergeCell ref="P856:S856"/>
    <mergeCell ref="C857:G857"/>
    <mergeCell ref="P857:S857"/>
    <mergeCell ref="O844:O845"/>
    <mergeCell ref="P844:R844"/>
    <mergeCell ref="S844:S845"/>
    <mergeCell ref="T844:T845"/>
    <mergeCell ref="U844:U845"/>
    <mergeCell ref="V844:V845"/>
    <mergeCell ref="AB861:AB862"/>
    <mergeCell ref="C873:H873"/>
    <mergeCell ref="P873:S873"/>
    <mergeCell ref="C874:G874"/>
    <mergeCell ref="P874:S874"/>
    <mergeCell ref="O861:O862"/>
    <mergeCell ref="P861:R861"/>
    <mergeCell ref="S861:S862"/>
    <mergeCell ref="T861:T862"/>
    <mergeCell ref="U861:U862"/>
    <mergeCell ref="V861:V862"/>
    <mergeCell ref="B861:B862"/>
    <mergeCell ref="C861:C862"/>
    <mergeCell ref="D861:G861"/>
    <mergeCell ref="H861:H862"/>
    <mergeCell ref="I861:I862"/>
    <mergeCell ref="J861:J862"/>
    <mergeCell ref="B878:B879"/>
    <mergeCell ref="C878:C879"/>
    <mergeCell ref="D878:G878"/>
    <mergeCell ref="H878:H879"/>
    <mergeCell ref="I878:I879"/>
    <mergeCell ref="J878:J879"/>
    <mergeCell ref="C875:H875"/>
    <mergeCell ref="P875:S875"/>
    <mergeCell ref="C877:I877"/>
    <mergeCell ref="K877:Q877"/>
    <mergeCell ref="R877:S877"/>
    <mergeCell ref="X877:X879"/>
    <mergeCell ref="K878:K879"/>
    <mergeCell ref="L878:L879"/>
    <mergeCell ref="M878:M879"/>
    <mergeCell ref="N878:N879"/>
    <mergeCell ref="Z861:Z862"/>
    <mergeCell ref="C892:H892"/>
    <mergeCell ref="P892:S892"/>
    <mergeCell ref="C894:I894"/>
    <mergeCell ref="K894:Q894"/>
    <mergeCell ref="R894:S894"/>
    <mergeCell ref="X894:X896"/>
    <mergeCell ref="K895:K896"/>
    <mergeCell ref="L895:L896"/>
    <mergeCell ref="M895:M896"/>
    <mergeCell ref="N895:N896"/>
    <mergeCell ref="Z878:Z879"/>
    <mergeCell ref="AB878:AB879"/>
    <mergeCell ref="C890:H890"/>
    <mergeCell ref="P890:S890"/>
    <mergeCell ref="C891:G891"/>
    <mergeCell ref="P891:S891"/>
    <mergeCell ref="O878:O879"/>
    <mergeCell ref="P878:R878"/>
    <mergeCell ref="S878:S879"/>
    <mergeCell ref="T878:T879"/>
    <mergeCell ref="U878:U879"/>
    <mergeCell ref="V878:V879"/>
    <mergeCell ref="AB895:AB896"/>
    <mergeCell ref="C907:H907"/>
    <mergeCell ref="P907:S907"/>
    <mergeCell ref="C908:G908"/>
    <mergeCell ref="P908:S908"/>
    <mergeCell ref="O895:O896"/>
    <mergeCell ref="P895:R895"/>
    <mergeCell ref="S895:S896"/>
    <mergeCell ref="T895:T896"/>
    <mergeCell ref="U895:U896"/>
    <mergeCell ref="V895:V896"/>
    <mergeCell ref="B895:B896"/>
    <mergeCell ref="C895:C896"/>
    <mergeCell ref="D895:G895"/>
    <mergeCell ref="H895:H896"/>
    <mergeCell ref="I895:I896"/>
    <mergeCell ref="J895:J896"/>
    <mergeCell ref="B912:B913"/>
    <mergeCell ref="C912:C913"/>
    <mergeCell ref="D912:G912"/>
    <mergeCell ref="H912:H913"/>
    <mergeCell ref="I912:I913"/>
    <mergeCell ref="J912:J913"/>
    <mergeCell ref="C909:H909"/>
    <mergeCell ref="P909:S909"/>
    <mergeCell ref="C911:I911"/>
    <mergeCell ref="K911:Q911"/>
    <mergeCell ref="R911:S911"/>
    <mergeCell ref="X911:X913"/>
    <mergeCell ref="K912:K913"/>
    <mergeCell ref="L912:L913"/>
    <mergeCell ref="M912:M913"/>
    <mergeCell ref="N912:N913"/>
    <mergeCell ref="Z895:Z896"/>
    <mergeCell ref="C926:H926"/>
    <mergeCell ref="P926:S926"/>
    <mergeCell ref="C928:I928"/>
    <mergeCell ref="K928:Q928"/>
    <mergeCell ref="R928:S928"/>
    <mergeCell ref="X928:X930"/>
    <mergeCell ref="K929:K930"/>
    <mergeCell ref="L929:L930"/>
    <mergeCell ref="M929:M930"/>
    <mergeCell ref="N929:N930"/>
    <mergeCell ref="Z912:Z913"/>
    <mergeCell ref="AB912:AB913"/>
    <mergeCell ref="C924:H924"/>
    <mergeCell ref="P924:S924"/>
    <mergeCell ref="C925:G925"/>
    <mergeCell ref="P925:S925"/>
    <mergeCell ref="O912:O913"/>
    <mergeCell ref="P912:R912"/>
    <mergeCell ref="S912:S913"/>
    <mergeCell ref="T912:T913"/>
    <mergeCell ref="U912:U913"/>
    <mergeCell ref="V912:V913"/>
    <mergeCell ref="C943:H943"/>
    <mergeCell ref="P943:S943"/>
    <mergeCell ref="Z929:Z930"/>
    <mergeCell ref="AB929:AB930"/>
    <mergeCell ref="C941:H941"/>
    <mergeCell ref="P941:S941"/>
    <mergeCell ref="C942:G942"/>
    <mergeCell ref="P942:S942"/>
    <mergeCell ref="O929:O930"/>
    <mergeCell ref="P929:R929"/>
    <mergeCell ref="S929:S930"/>
    <mergeCell ref="T929:T930"/>
    <mergeCell ref="U929:U930"/>
    <mergeCell ref="V929:V930"/>
    <mergeCell ref="B929:B930"/>
    <mergeCell ref="C929:C930"/>
    <mergeCell ref="D929:G929"/>
    <mergeCell ref="H929:H930"/>
    <mergeCell ref="I929:I930"/>
    <mergeCell ref="J929:J930"/>
  </mergeCells>
  <conditionalFormatting sqref="I26">
    <cfRule type="cellIs" dxfId="4942" priority="2786" operator="equal">
      <formula>"NO"</formula>
    </cfRule>
    <cfRule type="cellIs" dxfId="4941" priority="2791" operator="equal">
      <formula>"NA"</formula>
    </cfRule>
    <cfRule type="cellIs" dxfId="4940" priority="2792" operator="equal">
      <formula>"SI"</formula>
    </cfRule>
  </conditionalFormatting>
  <conditionalFormatting sqref="U9:U12 U417 U945:U1048576 U23:U26">
    <cfRule type="containsText" dxfId="4939" priority="2790" operator="containsText" text="NO CUMPLE">
      <formula>NOT(ISERROR(SEARCH("NO CUMPLE",U9)))</formula>
    </cfRule>
  </conditionalFormatting>
  <conditionalFormatting sqref="I23:I24">
    <cfRule type="cellIs" dxfId="4938" priority="2787" operator="equal">
      <formula>"NA"</formula>
    </cfRule>
    <cfRule type="cellIs" dxfId="4937" priority="2788" operator="equal">
      <formula>"SI"</formula>
    </cfRule>
    <cfRule type="cellIs" dxfId="4936" priority="2789" operator="equal">
      <formula>"NO"</formula>
    </cfRule>
  </conditionalFormatting>
  <conditionalFormatting sqref="L60 L77 L94 L111 L128 L145 L162 L179 L196 L213 L230 L247 L264 L281 L298 L315 L332 L11:L12 L14:L25 L30:L39">
    <cfRule type="cellIs" dxfId="4935" priority="2793" stopIfTrue="1" operator="equal">
      <formula>0</formula>
    </cfRule>
    <cfRule type="cellIs" dxfId="4934" priority="2794" stopIfTrue="1" operator="greaterThanOrEqual">
      <formula>$H$6</formula>
    </cfRule>
    <cfRule type="cellIs" dxfId="4933" priority="2795" stopIfTrue="1" operator="between">
      <formula>0</formula>
      <formula>$H$6</formula>
    </cfRule>
  </conditionalFormatting>
  <conditionalFormatting sqref="Z13:Z22 Z30:Z39 AB30:AB39">
    <cfRule type="cellIs" dxfId="4932" priority="2784" operator="equal">
      <formula>"NO"</formula>
    </cfRule>
    <cfRule type="cellIs" dxfId="4931" priority="2785" operator="greaterThan">
      <formula>0</formula>
    </cfRule>
  </conditionalFormatting>
  <conditionalFormatting sqref="U27:U29">
    <cfRule type="containsText" dxfId="4930" priority="2780" operator="containsText" text="NO CUMPLE">
      <formula>NOT(ISERROR(SEARCH("NO CUMPLE",U27)))</formula>
    </cfRule>
  </conditionalFormatting>
  <conditionalFormatting sqref="L28:L29">
    <cfRule type="cellIs" dxfId="4929" priority="2781" stopIfTrue="1" operator="equal">
      <formula>0</formula>
    </cfRule>
    <cfRule type="cellIs" dxfId="4928" priority="2782" stopIfTrue="1" operator="greaterThanOrEqual">
      <formula>$H$6</formula>
    </cfRule>
    <cfRule type="cellIs" dxfId="4927" priority="2783" stopIfTrue="1" operator="between">
      <formula>0</formula>
      <formula>$H$6</formula>
    </cfRule>
  </conditionalFormatting>
  <conditionalFormatting sqref="U40:U42">
    <cfRule type="containsText" dxfId="4926" priority="2776" operator="containsText" text="NO CUMPLE">
      <formula>NOT(ISERROR(SEARCH("NO CUMPLE",U40)))</formula>
    </cfRule>
  </conditionalFormatting>
  <conditionalFormatting sqref="I40:I41">
    <cfRule type="cellIs" dxfId="4925" priority="2773" operator="equal">
      <formula>"NA"</formula>
    </cfRule>
    <cfRule type="cellIs" dxfId="4924" priority="2774" operator="equal">
      <formula>"SI"</formula>
    </cfRule>
    <cfRule type="cellIs" dxfId="4923" priority="2775" operator="equal">
      <formula>"NO"</formula>
    </cfRule>
  </conditionalFormatting>
  <conditionalFormatting sqref="L40:L42">
    <cfRule type="cellIs" dxfId="4922" priority="2777" stopIfTrue="1" operator="equal">
      <formula>0</formula>
    </cfRule>
    <cfRule type="cellIs" dxfId="4921" priority="2778" stopIfTrue="1" operator="greaterThanOrEqual">
      <formula>$H$6</formula>
    </cfRule>
    <cfRule type="cellIs" dxfId="4920" priority="2779" stopIfTrue="1" operator="between">
      <formula>0</formula>
      <formula>$H$6</formula>
    </cfRule>
  </conditionalFormatting>
  <conditionalFormatting sqref="I43 I60 I77 I111 I128 I145 I162 I179 I196 I213 I230 I247 I264 I281 I298 I315 I332">
    <cfRule type="cellIs" dxfId="4919" priority="2766" operator="equal">
      <formula>"NO"</formula>
    </cfRule>
    <cfRule type="cellIs" dxfId="4918" priority="2768" operator="equal">
      <formula>"NA"</formula>
    </cfRule>
    <cfRule type="cellIs" dxfId="4917" priority="2769" operator="equal">
      <formula>"SI"</formula>
    </cfRule>
  </conditionalFormatting>
  <conditionalFormatting sqref="U43 U60 U77 U94 U111 U128 U145 U162 U179 U196 U213 U230 U247 U264 U281 U298 U315 U332">
    <cfRule type="containsText" dxfId="4916" priority="2767" operator="containsText" text="NO CUMPLE">
      <formula>NOT(ISERROR(SEARCH("NO CUMPLE",U43)))</formula>
    </cfRule>
  </conditionalFormatting>
  <conditionalFormatting sqref="L43">
    <cfRule type="cellIs" dxfId="4915" priority="2770" stopIfTrue="1" operator="equal">
      <formula>0</formula>
    </cfRule>
    <cfRule type="cellIs" dxfId="4914" priority="2771" stopIfTrue="1" operator="greaterThanOrEqual">
      <formula>$H$6</formula>
    </cfRule>
    <cfRule type="cellIs" dxfId="4913" priority="2772" stopIfTrue="1" operator="between">
      <formula>0</formula>
      <formula>$H$6</formula>
    </cfRule>
  </conditionalFormatting>
  <conditionalFormatting sqref="U95">
    <cfRule type="containsText" dxfId="4912" priority="2762" operator="containsText" text="NO CUMPLE">
      <formula>NOT(ISERROR(SEARCH("NO CUMPLE",U95)))</formula>
    </cfRule>
  </conditionalFormatting>
  <conditionalFormatting sqref="U44">
    <cfRule type="containsText" dxfId="4911" priority="2765" operator="containsText" text="NO CUMPLE">
      <formula>NOT(ISERROR(SEARCH("NO CUMPLE",U44)))</formula>
    </cfRule>
  </conditionalFormatting>
  <conditionalFormatting sqref="U61">
    <cfRule type="containsText" dxfId="4910" priority="2764" operator="containsText" text="NO CUMPLE">
      <formula>NOT(ISERROR(SEARCH("NO CUMPLE",U61)))</formula>
    </cfRule>
  </conditionalFormatting>
  <conditionalFormatting sqref="U78">
    <cfRule type="containsText" dxfId="4909" priority="2763" operator="containsText" text="NO CUMPLE">
      <formula>NOT(ISERROR(SEARCH("NO CUMPLE",U78)))</formula>
    </cfRule>
  </conditionalFormatting>
  <conditionalFormatting sqref="U112">
    <cfRule type="containsText" dxfId="4908" priority="2761" operator="containsText" text="NO CUMPLE">
      <formula>NOT(ISERROR(SEARCH("NO CUMPLE",U112)))</formula>
    </cfRule>
  </conditionalFormatting>
  <conditionalFormatting sqref="U129">
    <cfRule type="containsText" dxfId="4907" priority="2760" operator="containsText" text="NO CUMPLE">
      <formula>NOT(ISERROR(SEARCH("NO CUMPLE",U129)))</formula>
    </cfRule>
  </conditionalFormatting>
  <conditionalFormatting sqref="U146">
    <cfRule type="containsText" dxfId="4906" priority="2759" operator="containsText" text="NO CUMPLE">
      <formula>NOT(ISERROR(SEARCH("NO CUMPLE",U146)))</formula>
    </cfRule>
  </conditionalFormatting>
  <conditionalFormatting sqref="U163">
    <cfRule type="containsText" dxfId="4905" priority="2758" operator="containsText" text="NO CUMPLE">
      <formula>NOT(ISERROR(SEARCH("NO CUMPLE",U163)))</formula>
    </cfRule>
  </conditionalFormatting>
  <conditionalFormatting sqref="U180">
    <cfRule type="containsText" dxfId="4904" priority="2757" operator="containsText" text="NO CUMPLE">
      <formula>NOT(ISERROR(SEARCH("NO CUMPLE",U180)))</formula>
    </cfRule>
  </conditionalFormatting>
  <conditionalFormatting sqref="U197">
    <cfRule type="containsText" dxfId="4903" priority="2756" operator="containsText" text="NO CUMPLE">
      <formula>NOT(ISERROR(SEARCH("NO CUMPLE",U197)))</formula>
    </cfRule>
  </conditionalFormatting>
  <conditionalFormatting sqref="U214">
    <cfRule type="containsText" dxfId="4902" priority="2755" operator="containsText" text="NO CUMPLE">
      <formula>NOT(ISERROR(SEARCH("NO CUMPLE",U214)))</formula>
    </cfRule>
  </conditionalFormatting>
  <conditionalFormatting sqref="U231">
    <cfRule type="containsText" dxfId="4901" priority="2754" operator="containsText" text="NO CUMPLE">
      <formula>NOT(ISERROR(SEARCH("NO CUMPLE",U231)))</formula>
    </cfRule>
  </conditionalFormatting>
  <conditionalFormatting sqref="U248">
    <cfRule type="containsText" dxfId="4900" priority="2753" operator="containsText" text="NO CUMPLE">
      <formula>NOT(ISERROR(SEARCH("NO CUMPLE",U248)))</formula>
    </cfRule>
  </conditionalFormatting>
  <conditionalFormatting sqref="U265">
    <cfRule type="containsText" dxfId="4899" priority="2752" operator="containsText" text="NO CUMPLE">
      <formula>NOT(ISERROR(SEARCH("NO CUMPLE",U265)))</formula>
    </cfRule>
  </conditionalFormatting>
  <conditionalFormatting sqref="U282">
    <cfRule type="containsText" dxfId="4898" priority="2751" operator="containsText" text="NO CUMPLE">
      <formula>NOT(ISERROR(SEARCH("NO CUMPLE",U282)))</formula>
    </cfRule>
  </conditionalFormatting>
  <conditionalFormatting sqref="U299">
    <cfRule type="containsText" dxfId="4897" priority="2750" operator="containsText" text="NO CUMPLE">
      <formula>NOT(ISERROR(SEARCH("NO CUMPLE",U299)))</formula>
    </cfRule>
  </conditionalFormatting>
  <conditionalFormatting sqref="U316">
    <cfRule type="containsText" dxfId="4896" priority="2749" operator="containsText" text="NO CUMPLE">
      <formula>NOT(ISERROR(SEARCH("NO CUMPLE",U316)))</formula>
    </cfRule>
  </conditionalFormatting>
  <conditionalFormatting sqref="U333">
    <cfRule type="containsText" dxfId="4895" priority="2748" operator="containsText" text="NO CUMPLE">
      <formula>NOT(ISERROR(SEARCH("NO CUMPLE",U333)))</formula>
    </cfRule>
  </conditionalFormatting>
  <conditionalFormatting sqref="U57:U59">
    <cfRule type="containsText" dxfId="4894" priority="2744" operator="containsText" text="NO CUMPLE">
      <formula>NOT(ISERROR(SEARCH("NO CUMPLE",U57)))</formula>
    </cfRule>
  </conditionalFormatting>
  <conditionalFormatting sqref="I57:I58">
    <cfRule type="cellIs" dxfId="4893" priority="2741" operator="equal">
      <formula>"NA"</formula>
    </cfRule>
    <cfRule type="cellIs" dxfId="4892" priority="2742" operator="equal">
      <formula>"SI"</formula>
    </cfRule>
    <cfRule type="cellIs" dxfId="4891" priority="2743" operator="equal">
      <formula>"NO"</formula>
    </cfRule>
  </conditionalFormatting>
  <conditionalFormatting sqref="L57:L59">
    <cfRule type="cellIs" dxfId="4890" priority="2745" stopIfTrue="1" operator="equal">
      <formula>0</formula>
    </cfRule>
    <cfRule type="cellIs" dxfId="4889" priority="2746" stopIfTrue="1" operator="greaterThanOrEqual">
      <formula>$H$6</formula>
    </cfRule>
    <cfRule type="cellIs" dxfId="4888" priority="2747" stopIfTrue="1" operator="between">
      <formula>0</formula>
      <formula>$H$6</formula>
    </cfRule>
  </conditionalFormatting>
  <conditionalFormatting sqref="U74:U76">
    <cfRule type="containsText" dxfId="4887" priority="2737" operator="containsText" text="NO CUMPLE">
      <formula>NOT(ISERROR(SEARCH("NO CUMPLE",U74)))</formula>
    </cfRule>
  </conditionalFormatting>
  <conditionalFormatting sqref="I74:I75">
    <cfRule type="cellIs" dxfId="4886" priority="2734" operator="equal">
      <formula>"NA"</formula>
    </cfRule>
    <cfRule type="cellIs" dxfId="4885" priority="2735" operator="equal">
      <formula>"SI"</formula>
    </cfRule>
    <cfRule type="cellIs" dxfId="4884" priority="2736" operator="equal">
      <formula>"NO"</formula>
    </cfRule>
  </conditionalFormatting>
  <conditionalFormatting sqref="L74:L76">
    <cfRule type="cellIs" dxfId="4883" priority="2738" stopIfTrue="1" operator="equal">
      <formula>0</formula>
    </cfRule>
    <cfRule type="cellIs" dxfId="4882" priority="2739" stopIfTrue="1" operator="greaterThanOrEqual">
      <formula>$H$6</formula>
    </cfRule>
    <cfRule type="cellIs" dxfId="4881" priority="2740" stopIfTrue="1" operator="between">
      <formula>0</formula>
      <formula>$H$6</formula>
    </cfRule>
  </conditionalFormatting>
  <conditionalFormatting sqref="U91 U93">
    <cfRule type="containsText" dxfId="4880" priority="2730" operator="containsText" text="NO CUMPLE">
      <formula>NOT(ISERROR(SEARCH("NO CUMPLE",U91)))</formula>
    </cfRule>
  </conditionalFormatting>
  <conditionalFormatting sqref="I91:I92">
    <cfRule type="cellIs" dxfId="4879" priority="2727" operator="equal">
      <formula>"NA"</formula>
    </cfRule>
    <cfRule type="cellIs" dxfId="4878" priority="2728" operator="equal">
      <formula>"SI"</formula>
    </cfRule>
    <cfRule type="cellIs" dxfId="4877" priority="2729" operator="equal">
      <formula>"NO"</formula>
    </cfRule>
  </conditionalFormatting>
  <conditionalFormatting sqref="L91:L93">
    <cfRule type="cellIs" dxfId="4876" priority="2731" stopIfTrue="1" operator="equal">
      <formula>0</formula>
    </cfRule>
    <cfRule type="cellIs" dxfId="4875" priority="2732" stopIfTrue="1" operator="greaterThanOrEqual">
      <formula>$H$6</formula>
    </cfRule>
    <cfRule type="cellIs" dxfId="4874" priority="2733" stopIfTrue="1" operator="between">
      <formula>0</formula>
      <formula>$H$6</formula>
    </cfRule>
  </conditionalFormatting>
  <conditionalFormatting sqref="U108:U110">
    <cfRule type="containsText" dxfId="4873" priority="2723" operator="containsText" text="NO CUMPLE">
      <formula>NOT(ISERROR(SEARCH("NO CUMPLE",U108)))</formula>
    </cfRule>
  </conditionalFormatting>
  <conditionalFormatting sqref="I108:I109">
    <cfRule type="cellIs" dxfId="4872" priority="2720" operator="equal">
      <formula>"NA"</formula>
    </cfRule>
    <cfRule type="cellIs" dxfId="4871" priority="2721" operator="equal">
      <formula>"SI"</formula>
    </cfRule>
    <cfRule type="cellIs" dxfId="4870" priority="2722" operator="equal">
      <formula>"NO"</formula>
    </cfRule>
  </conditionalFormatting>
  <conditionalFormatting sqref="L108:L110">
    <cfRule type="cellIs" dxfId="4869" priority="2724" stopIfTrue="1" operator="equal">
      <formula>0</formula>
    </cfRule>
    <cfRule type="cellIs" dxfId="4868" priority="2725" stopIfTrue="1" operator="greaterThanOrEqual">
      <formula>$H$6</formula>
    </cfRule>
    <cfRule type="cellIs" dxfId="4867" priority="2726" stopIfTrue="1" operator="between">
      <formula>0</formula>
      <formula>$H$6</formula>
    </cfRule>
  </conditionalFormatting>
  <conditionalFormatting sqref="U125:U127">
    <cfRule type="containsText" dxfId="4866" priority="2716" operator="containsText" text="NO CUMPLE">
      <formula>NOT(ISERROR(SEARCH("NO CUMPLE",U125)))</formula>
    </cfRule>
  </conditionalFormatting>
  <conditionalFormatting sqref="I125:I126">
    <cfRule type="cellIs" dxfId="4865" priority="2713" operator="equal">
      <formula>"NA"</formula>
    </cfRule>
    <cfRule type="cellIs" dxfId="4864" priority="2714" operator="equal">
      <formula>"SI"</formula>
    </cfRule>
    <cfRule type="cellIs" dxfId="4863" priority="2715" operator="equal">
      <formula>"NO"</formula>
    </cfRule>
  </conditionalFormatting>
  <conditionalFormatting sqref="L125:L127">
    <cfRule type="cellIs" dxfId="4862" priority="2717" stopIfTrue="1" operator="equal">
      <formula>0</formula>
    </cfRule>
    <cfRule type="cellIs" dxfId="4861" priority="2718" stopIfTrue="1" operator="greaterThanOrEqual">
      <formula>$H$6</formula>
    </cfRule>
    <cfRule type="cellIs" dxfId="4860" priority="2719" stopIfTrue="1" operator="between">
      <formula>0</formula>
      <formula>$H$6</formula>
    </cfRule>
  </conditionalFormatting>
  <conditionalFormatting sqref="U142:U144">
    <cfRule type="containsText" dxfId="4859" priority="2709" operator="containsText" text="NO CUMPLE">
      <formula>NOT(ISERROR(SEARCH("NO CUMPLE",U142)))</formula>
    </cfRule>
  </conditionalFormatting>
  <conditionalFormatting sqref="I142:I143">
    <cfRule type="cellIs" dxfId="4858" priority="2706" operator="equal">
      <formula>"NA"</formula>
    </cfRule>
    <cfRule type="cellIs" dxfId="4857" priority="2707" operator="equal">
      <formula>"SI"</formula>
    </cfRule>
    <cfRule type="cellIs" dxfId="4856" priority="2708" operator="equal">
      <formula>"NO"</formula>
    </cfRule>
  </conditionalFormatting>
  <conditionalFormatting sqref="L142:L144">
    <cfRule type="cellIs" dxfId="4855" priority="2710" stopIfTrue="1" operator="equal">
      <formula>0</formula>
    </cfRule>
    <cfRule type="cellIs" dxfId="4854" priority="2711" stopIfTrue="1" operator="greaterThanOrEqual">
      <formula>$H$6</formula>
    </cfRule>
    <cfRule type="cellIs" dxfId="4853" priority="2712" stopIfTrue="1" operator="between">
      <formula>0</formula>
      <formula>$H$6</formula>
    </cfRule>
  </conditionalFormatting>
  <conditionalFormatting sqref="U159:U161">
    <cfRule type="containsText" dxfId="4852" priority="2702" operator="containsText" text="NO CUMPLE">
      <formula>NOT(ISERROR(SEARCH("NO CUMPLE",U159)))</formula>
    </cfRule>
  </conditionalFormatting>
  <conditionalFormatting sqref="I159:I160">
    <cfRule type="cellIs" dxfId="4851" priority="2699" operator="equal">
      <formula>"NA"</formula>
    </cfRule>
    <cfRule type="cellIs" dxfId="4850" priority="2700" operator="equal">
      <formula>"SI"</formula>
    </cfRule>
    <cfRule type="cellIs" dxfId="4849" priority="2701" operator="equal">
      <formula>"NO"</formula>
    </cfRule>
  </conditionalFormatting>
  <conditionalFormatting sqref="L159:L161">
    <cfRule type="cellIs" dxfId="4848" priority="2703" stopIfTrue="1" operator="equal">
      <formula>0</formula>
    </cfRule>
    <cfRule type="cellIs" dxfId="4847" priority="2704" stopIfTrue="1" operator="greaterThanOrEqual">
      <formula>$H$6</formula>
    </cfRule>
    <cfRule type="cellIs" dxfId="4846" priority="2705" stopIfTrue="1" operator="between">
      <formula>0</formula>
      <formula>$H$6</formula>
    </cfRule>
  </conditionalFormatting>
  <conditionalFormatting sqref="U176:U178">
    <cfRule type="containsText" dxfId="4845" priority="2695" operator="containsText" text="NO CUMPLE">
      <formula>NOT(ISERROR(SEARCH("NO CUMPLE",U176)))</formula>
    </cfRule>
  </conditionalFormatting>
  <conditionalFormatting sqref="I176:I177">
    <cfRule type="cellIs" dxfId="4844" priority="2692" operator="equal">
      <formula>"NA"</formula>
    </cfRule>
    <cfRule type="cellIs" dxfId="4843" priority="2693" operator="equal">
      <formula>"SI"</formula>
    </cfRule>
    <cfRule type="cellIs" dxfId="4842" priority="2694" operator="equal">
      <formula>"NO"</formula>
    </cfRule>
  </conditionalFormatting>
  <conditionalFormatting sqref="L176:L178">
    <cfRule type="cellIs" dxfId="4841" priority="2696" stopIfTrue="1" operator="equal">
      <formula>0</formula>
    </cfRule>
    <cfRule type="cellIs" dxfId="4840" priority="2697" stopIfTrue="1" operator="greaterThanOrEqual">
      <formula>$H$6</formula>
    </cfRule>
    <cfRule type="cellIs" dxfId="4839" priority="2698" stopIfTrue="1" operator="between">
      <formula>0</formula>
      <formula>$H$6</formula>
    </cfRule>
  </conditionalFormatting>
  <conditionalFormatting sqref="U193:U195">
    <cfRule type="containsText" dxfId="4838" priority="2688" operator="containsText" text="NO CUMPLE">
      <formula>NOT(ISERROR(SEARCH("NO CUMPLE",U193)))</formula>
    </cfRule>
  </conditionalFormatting>
  <conditionalFormatting sqref="I193:I194">
    <cfRule type="cellIs" dxfId="4837" priority="2685" operator="equal">
      <formula>"NA"</formula>
    </cfRule>
    <cfRule type="cellIs" dxfId="4836" priority="2686" operator="equal">
      <formula>"SI"</formula>
    </cfRule>
    <cfRule type="cellIs" dxfId="4835" priority="2687" operator="equal">
      <formula>"NO"</formula>
    </cfRule>
  </conditionalFormatting>
  <conditionalFormatting sqref="L193:L195">
    <cfRule type="cellIs" dxfId="4834" priority="2689" stopIfTrue="1" operator="equal">
      <formula>0</formula>
    </cfRule>
    <cfRule type="cellIs" dxfId="4833" priority="2690" stopIfTrue="1" operator="greaterThanOrEqual">
      <formula>$H$6</formula>
    </cfRule>
    <cfRule type="cellIs" dxfId="4832" priority="2691" stopIfTrue="1" operator="between">
      <formula>0</formula>
      <formula>$H$6</formula>
    </cfRule>
  </conditionalFormatting>
  <conditionalFormatting sqref="U210:U212">
    <cfRule type="containsText" dxfId="4831" priority="2681" operator="containsText" text="NO CUMPLE">
      <formula>NOT(ISERROR(SEARCH("NO CUMPLE",U210)))</formula>
    </cfRule>
  </conditionalFormatting>
  <conditionalFormatting sqref="I210:I211">
    <cfRule type="cellIs" dxfId="4830" priority="2678" operator="equal">
      <formula>"NA"</formula>
    </cfRule>
    <cfRule type="cellIs" dxfId="4829" priority="2679" operator="equal">
      <formula>"SI"</formula>
    </cfRule>
    <cfRule type="cellIs" dxfId="4828" priority="2680" operator="equal">
      <formula>"NO"</formula>
    </cfRule>
  </conditionalFormatting>
  <conditionalFormatting sqref="L210:L212">
    <cfRule type="cellIs" dxfId="4827" priority="2682" stopIfTrue="1" operator="equal">
      <formula>0</formula>
    </cfRule>
    <cfRule type="cellIs" dxfId="4826" priority="2683" stopIfTrue="1" operator="greaterThanOrEqual">
      <formula>$H$6</formula>
    </cfRule>
    <cfRule type="cellIs" dxfId="4825" priority="2684" stopIfTrue="1" operator="between">
      <formula>0</formula>
      <formula>$H$6</formula>
    </cfRule>
  </conditionalFormatting>
  <conditionalFormatting sqref="U227:U229">
    <cfRule type="containsText" dxfId="4824" priority="2674" operator="containsText" text="NO CUMPLE">
      <formula>NOT(ISERROR(SEARCH("NO CUMPLE",U227)))</formula>
    </cfRule>
  </conditionalFormatting>
  <conditionalFormatting sqref="I227:I228">
    <cfRule type="cellIs" dxfId="4823" priority="2671" operator="equal">
      <formula>"NA"</formula>
    </cfRule>
    <cfRule type="cellIs" dxfId="4822" priority="2672" operator="equal">
      <formula>"SI"</formula>
    </cfRule>
    <cfRule type="cellIs" dxfId="4821" priority="2673" operator="equal">
      <formula>"NO"</formula>
    </cfRule>
  </conditionalFormatting>
  <conditionalFormatting sqref="L227:L229">
    <cfRule type="cellIs" dxfId="4820" priority="2675" stopIfTrue="1" operator="equal">
      <formula>0</formula>
    </cfRule>
    <cfRule type="cellIs" dxfId="4819" priority="2676" stopIfTrue="1" operator="greaterThanOrEqual">
      <formula>$H$6</formula>
    </cfRule>
    <cfRule type="cellIs" dxfId="4818" priority="2677" stopIfTrue="1" operator="between">
      <formula>0</formula>
      <formula>$H$6</formula>
    </cfRule>
  </conditionalFormatting>
  <conditionalFormatting sqref="U244:U246">
    <cfRule type="containsText" dxfId="4817" priority="2667" operator="containsText" text="NO CUMPLE">
      <formula>NOT(ISERROR(SEARCH("NO CUMPLE",U244)))</formula>
    </cfRule>
  </conditionalFormatting>
  <conditionalFormatting sqref="I244:I245">
    <cfRule type="cellIs" dxfId="4816" priority="2664" operator="equal">
      <formula>"NA"</formula>
    </cfRule>
    <cfRule type="cellIs" dxfId="4815" priority="2665" operator="equal">
      <formula>"SI"</formula>
    </cfRule>
    <cfRule type="cellIs" dxfId="4814" priority="2666" operator="equal">
      <formula>"NO"</formula>
    </cfRule>
  </conditionalFormatting>
  <conditionalFormatting sqref="L244:L246">
    <cfRule type="cellIs" dxfId="4813" priority="2668" stopIfTrue="1" operator="equal">
      <formula>0</formula>
    </cfRule>
    <cfRule type="cellIs" dxfId="4812" priority="2669" stopIfTrue="1" operator="greaterThanOrEqual">
      <formula>$H$6</formula>
    </cfRule>
    <cfRule type="cellIs" dxfId="4811" priority="2670" stopIfTrue="1" operator="between">
      <formula>0</formula>
      <formula>$H$6</formula>
    </cfRule>
  </conditionalFormatting>
  <conditionalFormatting sqref="U261:U263">
    <cfRule type="containsText" dxfId="4810" priority="2660" operator="containsText" text="NO CUMPLE">
      <formula>NOT(ISERROR(SEARCH("NO CUMPLE",U261)))</formula>
    </cfRule>
  </conditionalFormatting>
  <conditionalFormatting sqref="I261:I262">
    <cfRule type="cellIs" dxfId="4809" priority="2657" operator="equal">
      <formula>"NA"</formula>
    </cfRule>
    <cfRule type="cellIs" dxfId="4808" priority="2658" operator="equal">
      <formula>"SI"</formula>
    </cfRule>
    <cfRule type="cellIs" dxfId="4807" priority="2659" operator="equal">
      <formula>"NO"</formula>
    </cfRule>
  </conditionalFormatting>
  <conditionalFormatting sqref="L261:L263">
    <cfRule type="cellIs" dxfId="4806" priority="2661" stopIfTrue="1" operator="equal">
      <formula>0</formula>
    </cfRule>
    <cfRule type="cellIs" dxfId="4805" priority="2662" stopIfTrue="1" operator="greaterThanOrEqual">
      <formula>$H$6</formula>
    </cfRule>
    <cfRule type="cellIs" dxfId="4804" priority="2663" stopIfTrue="1" operator="between">
      <formula>0</formula>
      <formula>$H$6</formula>
    </cfRule>
  </conditionalFormatting>
  <conditionalFormatting sqref="U278:U280">
    <cfRule type="containsText" dxfId="4803" priority="2653" operator="containsText" text="NO CUMPLE">
      <formula>NOT(ISERROR(SEARCH("NO CUMPLE",U278)))</formula>
    </cfRule>
  </conditionalFormatting>
  <conditionalFormatting sqref="I278:I279">
    <cfRule type="cellIs" dxfId="4802" priority="2650" operator="equal">
      <formula>"NA"</formula>
    </cfRule>
    <cfRule type="cellIs" dxfId="4801" priority="2651" operator="equal">
      <formula>"SI"</formula>
    </cfRule>
    <cfRule type="cellIs" dxfId="4800" priority="2652" operator="equal">
      <formula>"NO"</formula>
    </cfRule>
  </conditionalFormatting>
  <conditionalFormatting sqref="L278:L280">
    <cfRule type="cellIs" dxfId="4799" priority="2654" stopIfTrue="1" operator="equal">
      <formula>0</formula>
    </cfRule>
    <cfRule type="cellIs" dxfId="4798" priority="2655" stopIfTrue="1" operator="greaterThanOrEqual">
      <formula>$H$6</formula>
    </cfRule>
    <cfRule type="cellIs" dxfId="4797" priority="2656" stopIfTrue="1" operator="between">
      <formula>0</formula>
      <formula>$H$6</formula>
    </cfRule>
  </conditionalFormatting>
  <conditionalFormatting sqref="U295:U297">
    <cfRule type="containsText" dxfId="4796" priority="2646" operator="containsText" text="NO CUMPLE">
      <formula>NOT(ISERROR(SEARCH("NO CUMPLE",U295)))</formula>
    </cfRule>
  </conditionalFormatting>
  <conditionalFormatting sqref="I295:I296">
    <cfRule type="cellIs" dxfId="4795" priority="2643" operator="equal">
      <formula>"NA"</formula>
    </cfRule>
    <cfRule type="cellIs" dxfId="4794" priority="2644" operator="equal">
      <formula>"SI"</formula>
    </cfRule>
    <cfRule type="cellIs" dxfId="4793" priority="2645" operator="equal">
      <formula>"NO"</formula>
    </cfRule>
  </conditionalFormatting>
  <conditionalFormatting sqref="L295:L297">
    <cfRule type="cellIs" dxfId="4792" priority="2647" stopIfTrue="1" operator="equal">
      <formula>0</formula>
    </cfRule>
    <cfRule type="cellIs" dxfId="4791" priority="2648" stopIfTrue="1" operator="greaterThanOrEqual">
      <formula>$H$6</formula>
    </cfRule>
    <cfRule type="cellIs" dxfId="4790" priority="2649" stopIfTrue="1" operator="between">
      <formula>0</formula>
      <formula>$H$6</formula>
    </cfRule>
  </conditionalFormatting>
  <conditionalFormatting sqref="U312:U314">
    <cfRule type="containsText" dxfId="4789" priority="2639" operator="containsText" text="NO CUMPLE">
      <formula>NOT(ISERROR(SEARCH("NO CUMPLE",U312)))</formula>
    </cfRule>
  </conditionalFormatting>
  <conditionalFormatting sqref="I312:I313">
    <cfRule type="cellIs" dxfId="4788" priority="2636" operator="equal">
      <formula>"NA"</formula>
    </cfRule>
    <cfRule type="cellIs" dxfId="4787" priority="2637" operator="equal">
      <formula>"SI"</formula>
    </cfRule>
    <cfRule type="cellIs" dxfId="4786" priority="2638" operator="equal">
      <formula>"NO"</formula>
    </cfRule>
  </conditionalFormatting>
  <conditionalFormatting sqref="L312:L314">
    <cfRule type="cellIs" dxfId="4785" priority="2640" stopIfTrue="1" operator="equal">
      <formula>0</formula>
    </cfRule>
    <cfRule type="cellIs" dxfId="4784" priority="2641" stopIfTrue="1" operator="greaterThanOrEqual">
      <formula>$H$6</formula>
    </cfRule>
    <cfRule type="cellIs" dxfId="4783" priority="2642" stopIfTrue="1" operator="between">
      <formula>0</formula>
      <formula>$H$6</formula>
    </cfRule>
  </conditionalFormatting>
  <conditionalFormatting sqref="U329:U331">
    <cfRule type="containsText" dxfId="4782" priority="2632" operator="containsText" text="NO CUMPLE">
      <formula>NOT(ISERROR(SEARCH("NO CUMPLE",U329)))</formula>
    </cfRule>
  </conditionalFormatting>
  <conditionalFormatting sqref="I329:I330">
    <cfRule type="cellIs" dxfId="4781" priority="2629" operator="equal">
      <formula>"NA"</formula>
    </cfRule>
    <cfRule type="cellIs" dxfId="4780" priority="2630" operator="equal">
      <formula>"SI"</formula>
    </cfRule>
    <cfRule type="cellIs" dxfId="4779" priority="2631" operator="equal">
      <formula>"NO"</formula>
    </cfRule>
  </conditionalFormatting>
  <conditionalFormatting sqref="L329:L331">
    <cfRule type="cellIs" dxfId="4778" priority="2633" stopIfTrue="1" operator="equal">
      <formula>0</formula>
    </cfRule>
    <cfRule type="cellIs" dxfId="4777" priority="2634" stopIfTrue="1" operator="greaterThanOrEqual">
      <formula>$H$6</formula>
    </cfRule>
    <cfRule type="cellIs" dxfId="4776" priority="2635" stopIfTrue="1" operator="between">
      <formula>0</formula>
      <formula>$H$6</formula>
    </cfRule>
  </conditionalFormatting>
  <conditionalFormatting sqref="U346:U348">
    <cfRule type="containsText" dxfId="4775" priority="2625" operator="containsText" text="NO CUMPLE">
      <formula>NOT(ISERROR(SEARCH("NO CUMPLE",U346)))</formula>
    </cfRule>
  </conditionalFormatting>
  <conditionalFormatting sqref="I346:I347">
    <cfRule type="cellIs" dxfId="4774" priority="2622" operator="equal">
      <formula>"NA"</formula>
    </cfRule>
    <cfRule type="cellIs" dxfId="4773" priority="2623" operator="equal">
      <formula>"SI"</formula>
    </cfRule>
    <cfRule type="cellIs" dxfId="4772" priority="2624" operator="equal">
      <formula>"NO"</formula>
    </cfRule>
  </conditionalFormatting>
  <conditionalFormatting sqref="L346:L348">
    <cfRule type="cellIs" dxfId="4771" priority="2626" stopIfTrue="1" operator="equal">
      <formula>0</formula>
    </cfRule>
    <cfRule type="cellIs" dxfId="4770" priority="2627" stopIfTrue="1" operator="greaterThanOrEqual">
      <formula>$H$6</formula>
    </cfRule>
    <cfRule type="cellIs" dxfId="4769" priority="2628" stopIfTrue="1" operator="between">
      <formula>0</formula>
      <formula>$H$6</formula>
    </cfRule>
  </conditionalFormatting>
  <conditionalFormatting sqref="I349">
    <cfRule type="cellIs" dxfId="4768" priority="2615" operator="equal">
      <formula>"NO"</formula>
    </cfRule>
    <cfRule type="cellIs" dxfId="4767" priority="2617" operator="equal">
      <formula>"NA"</formula>
    </cfRule>
    <cfRule type="cellIs" dxfId="4766" priority="2618" operator="equal">
      <formula>"SI"</formula>
    </cfRule>
  </conditionalFormatting>
  <conditionalFormatting sqref="U349">
    <cfRule type="containsText" dxfId="4765" priority="2616" operator="containsText" text="NO CUMPLE">
      <formula>NOT(ISERROR(SEARCH("NO CUMPLE",U349)))</formula>
    </cfRule>
  </conditionalFormatting>
  <conditionalFormatting sqref="L349">
    <cfRule type="cellIs" dxfId="4764" priority="2619" stopIfTrue="1" operator="equal">
      <formula>0</formula>
    </cfRule>
    <cfRule type="cellIs" dxfId="4763" priority="2620" stopIfTrue="1" operator="greaterThanOrEqual">
      <formula>$H$6</formula>
    </cfRule>
    <cfRule type="cellIs" dxfId="4762" priority="2621" stopIfTrue="1" operator="between">
      <formula>0</formula>
      <formula>$H$6</formula>
    </cfRule>
  </conditionalFormatting>
  <conditionalFormatting sqref="U350">
    <cfRule type="containsText" dxfId="4761" priority="2614" operator="containsText" text="NO CUMPLE">
      <formula>NOT(ISERROR(SEARCH("NO CUMPLE",U350)))</formula>
    </cfRule>
  </conditionalFormatting>
  <conditionalFormatting sqref="U363:U365">
    <cfRule type="containsText" dxfId="4760" priority="2610" operator="containsText" text="NO CUMPLE">
      <formula>NOT(ISERROR(SEARCH("NO CUMPLE",U363)))</formula>
    </cfRule>
  </conditionalFormatting>
  <conditionalFormatting sqref="I363:I364">
    <cfRule type="cellIs" dxfId="4759" priority="2607" operator="equal">
      <formula>"NA"</formula>
    </cfRule>
    <cfRule type="cellIs" dxfId="4758" priority="2608" operator="equal">
      <formula>"SI"</formula>
    </cfRule>
    <cfRule type="cellIs" dxfId="4757" priority="2609" operator="equal">
      <formula>"NO"</formula>
    </cfRule>
  </conditionalFormatting>
  <conditionalFormatting sqref="L363:L365">
    <cfRule type="cellIs" dxfId="4756" priority="2611" stopIfTrue="1" operator="equal">
      <formula>0</formula>
    </cfRule>
    <cfRule type="cellIs" dxfId="4755" priority="2612" stopIfTrue="1" operator="greaterThanOrEqual">
      <formula>$H$6</formula>
    </cfRule>
    <cfRule type="cellIs" dxfId="4754" priority="2613" stopIfTrue="1" operator="between">
      <formula>0</formula>
      <formula>$H$6</formula>
    </cfRule>
  </conditionalFormatting>
  <conditionalFormatting sqref="I366">
    <cfRule type="cellIs" dxfId="4753" priority="2600" operator="equal">
      <formula>"NO"</formula>
    </cfRule>
    <cfRule type="cellIs" dxfId="4752" priority="2602" operator="equal">
      <formula>"NA"</formula>
    </cfRule>
    <cfRule type="cellIs" dxfId="4751" priority="2603" operator="equal">
      <formula>"SI"</formula>
    </cfRule>
  </conditionalFormatting>
  <conditionalFormatting sqref="U366">
    <cfRule type="containsText" dxfId="4750" priority="2601" operator="containsText" text="NO CUMPLE">
      <formula>NOT(ISERROR(SEARCH("NO CUMPLE",U366)))</formula>
    </cfRule>
  </conditionalFormatting>
  <conditionalFormatting sqref="L366">
    <cfRule type="cellIs" dxfId="4749" priority="2604" stopIfTrue="1" operator="equal">
      <formula>0</formula>
    </cfRule>
    <cfRule type="cellIs" dxfId="4748" priority="2605" stopIfTrue="1" operator="greaterThanOrEqual">
      <formula>$H$6</formula>
    </cfRule>
    <cfRule type="cellIs" dxfId="4747" priority="2606" stopIfTrue="1" operator="between">
      <formula>0</formula>
      <formula>$H$6</formula>
    </cfRule>
  </conditionalFormatting>
  <conditionalFormatting sqref="U367">
    <cfRule type="containsText" dxfId="4746" priority="2599" operator="containsText" text="NO CUMPLE">
      <formula>NOT(ISERROR(SEARCH("NO CUMPLE",U367)))</formula>
    </cfRule>
  </conditionalFormatting>
  <conditionalFormatting sqref="U380:U382">
    <cfRule type="containsText" dxfId="4745" priority="2595" operator="containsText" text="NO CUMPLE">
      <formula>NOT(ISERROR(SEARCH("NO CUMPLE",U380)))</formula>
    </cfRule>
  </conditionalFormatting>
  <conditionalFormatting sqref="I380:I381">
    <cfRule type="cellIs" dxfId="4744" priority="2592" operator="equal">
      <formula>"NA"</formula>
    </cfRule>
    <cfRule type="cellIs" dxfId="4743" priority="2593" operator="equal">
      <formula>"SI"</formula>
    </cfRule>
    <cfRule type="cellIs" dxfId="4742" priority="2594" operator="equal">
      <formula>"NO"</formula>
    </cfRule>
  </conditionalFormatting>
  <conditionalFormatting sqref="L380:L382">
    <cfRule type="cellIs" dxfId="4741" priority="2596" stopIfTrue="1" operator="equal">
      <formula>0</formula>
    </cfRule>
    <cfRule type="cellIs" dxfId="4740" priority="2597" stopIfTrue="1" operator="greaterThanOrEqual">
      <formula>$H$6</formula>
    </cfRule>
    <cfRule type="cellIs" dxfId="4739" priority="2598" stopIfTrue="1" operator="between">
      <formula>0</formula>
      <formula>$H$6</formula>
    </cfRule>
  </conditionalFormatting>
  <conditionalFormatting sqref="I383">
    <cfRule type="cellIs" dxfId="4738" priority="2585" operator="equal">
      <formula>"NO"</formula>
    </cfRule>
    <cfRule type="cellIs" dxfId="4737" priority="2587" operator="equal">
      <formula>"NA"</formula>
    </cfRule>
    <cfRule type="cellIs" dxfId="4736" priority="2588" operator="equal">
      <formula>"SI"</formula>
    </cfRule>
  </conditionalFormatting>
  <conditionalFormatting sqref="U383">
    <cfRule type="containsText" dxfId="4735" priority="2586" operator="containsText" text="NO CUMPLE">
      <formula>NOT(ISERROR(SEARCH("NO CUMPLE",U383)))</formula>
    </cfRule>
  </conditionalFormatting>
  <conditionalFormatting sqref="L383">
    <cfRule type="cellIs" dxfId="4734" priority="2589" stopIfTrue="1" operator="equal">
      <formula>0</formula>
    </cfRule>
    <cfRule type="cellIs" dxfId="4733" priority="2590" stopIfTrue="1" operator="greaterThanOrEqual">
      <formula>$H$6</formula>
    </cfRule>
    <cfRule type="cellIs" dxfId="4732" priority="2591" stopIfTrue="1" operator="between">
      <formula>0</formula>
      <formula>$H$6</formula>
    </cfRule>
  </conditionalFormatting>
  <conditionalFormatting sqref="U384">
    <cfRule type="containsText" dxfId="4731" priority="2584" operator="containsText" text="NO CUMPLE">
      <formula>NOT(ISERROR(SEARCH("NO CUMPLE",U384)))</formula>
    </cfRule>
  </conditionalFormatting>
  <conditionalFormatting sqref="U397:U399">
    <cfRule type="containsText" dxfId="4730" priority="2580" operator="containsText" text="NO CUMPLE">
      <formula>NOT(ISERROR(SEARCH("NO CUMPLE",U397)))</formula>
    </cfRule>
  </conditionalFormatting>
  <conditionalFormatting sqref="I397:I398">
    <cfRule type="cellIs" dxfId="4729" priority="2577" operator="equal">
      <formula>"NA"</formula>
    </cfRule>
    <cfRule type="cellIs" dxfId="4728" priority="2578" operator="equal">
      <formula>"SI"</formula>
    </cfRule>
    <cfRule type="cellIs" dxfId="4727" priority="2579" operator="equal">
      <formula>"NO"</formula>
    </cfRule>
  </conditionalFormatting>
  <conditionalFormatting sqref="L397:L399">
    <cfRule type="cellIs" dxfId="4726" priority="2581" stopIfTrue="1" operator="equal">
      <formula>0</formula>
    </cfRule>
    <cfRule type="cellIs" dxfId="4725" priority="2582" stopIfTrue="1" operator="greaterThanOrEqual">
      <formula>$H$6</formula>
    </cfRule>
    <cfRule type="cellIs" dxfId="4724" priority="2583" stopIfTrue="1" operator="between">
      <formula>0</formula>
      <formula>$H$6</formula>
    </cfRule>
  </conditionalFormatting>
  <conditionalFormatting sqref="I400">
    <cfRule type="cellIs" dxfId="4723" priority="2570" operator="equal">
      <formula>"NO"</formula>
    </cfRule>
    <cfRule type="cellIs" dxfId="4722" priority="2572" operator="equal">
      <formula>"NA"</formula>
    </cfRule>
    <cfRule type="cellIs" dxfId="4721" priority="2573" operator="equal">
      <formula>"SI"</formula>
    </cfRule>
  </conditionalFormatting>
  <conditionalFormatting sqref="U400">
    <cfRule type="containsText" dxfId="4720" priority="2571" operator="containsText" text="NO CUMPLE">
      <formula>NOT(ISERROR(SEARCH("NO CUMPLE",U400)))</formula>
    </cfRule>
  </conditionalFormatting>
  <conditionalFormatting sqref="L400">
    <cfRule type="cellIs" dxfId="4719" priority="2574" stopIfTrue="1" operator="equal">
      <formula>0</formula>
    </cfRule>
    <cfRule type="cellIs" dxfId="4718" priority="2575" stopIfTrue="1" operator="greaterThanOrEqual">
      <formula>$H$6</formula>
    </cfRule>
    <cfRule type="cellIs" dxfId="4717" priority="2576" stopIfTrue="1" operator="between">
      <formula>0</formula>
      <formula>$H$6</formula>
    </cfRule>
  </conditionalFormatting>
  <conditionalFormatting sqref="U401">
    <cfRule type="containsText" dxfId="4716" priority="2569" operator="containsText" text="NO CUMPLE">
      <formula>NOT(ISERROR(SEARCH("NO CUMPLE",U401)))</formula>
    </cfRule>
  </conditionalFormatting>
  <conditionalFormatting sqref="U414:U416">
    <cfRule type="containsText" dxfId="4715" priority="2565" operator="containsText" text="NO CUMPLE">
      <formula>NOT(ISERROR(SEARCH("NO CUMPLE",U414)))</formula>
    </cfRule>
  </conditionalFormatting>
  <conditionalFormatting sqref="I414:I415">
    <cfRule type="cellIs" dxfId="4714" priority="2562" operator="equal">
      <formula>"NA"</formula>
    </cfRule>
    <cfRule type="cellIs" dxfId="4713" priority="2563" operator="equal">
      <formula>"SI"</formula>
    </cfRule>
    <cfRule type="cellIs" dxfId="4712" priority="2564" operator="equal">
      <formula>"NO"</formula>
    </cfRule>
  </conditionalFormatting>
  <conditionalFormatting sqref="L414:L416">
    <cfRule type="cellIs" dxfId="4711" priority="2566" stopIfTrue="1" operator="equal">
      <formula>0</formula>
    </cfRule>
    <cfRule type="cellIs" dxfId="4710" priority="2567" stopIfTrue="1" operator="greaterThanOrEqual">
      <formula>$H$6</formula>
    </cfRule>
    <cfRule type="cellIs" dxfId="4709" priority="2568" stopIfTrue="1" operator="between">
      <formula>0</formula>
      <formula>$H$6</formula>
    </cfRule>
  </conditionalFormatting>
  <conditionalFormatting sqref="U418">
    <cfRule type="containsText" dxfId="4708" priority="2561" operator="containsText" text="NO CUMPLE">
      <formula>NOT(ISERROR(SEARCH("NO CUMPLE",U418)))</formula>
    </cfRule>
  </conditionalFormatting>
  <conditionalFormatting sqref="U431:U433">
    <cfRule type="containsText" dxfId="4707" priority="2557" operator="containsText" text="NO CUMPLE">
      <formula>NOT(ISERROR(SEARCH("NO CUMPLE",U431)))</formula>
    </cfRule>
  </conditionalFormatting>
  <conditionalFormatting sqref="I431:I432">
    <cfRule type="cellIs" dxfId="4706" priority="2554" operator="equal">
      <formula>"NA"</formula>
    </cfRule>
    <cfRule type="cellIs" dxfId="4705" priority="2555" operator="equal">
      <formula>"SI"</formula>
    </cfRule>
    <cfRule type="cellIs" dxfId="4704" priority="2556" operator="equal">
      <formula>"NO"</formula>
    </cfRule>
  </conditionalFormatting>
  <conditionalFormatting sqref="L431:L433">
    <cfRule type="cellIs" dxfId="4703" priority="2558" stopIfTrue="1" operator="equal">
      <formula>0</formula>
    </cfRule>
    <cfRule type="cellIs" dxfId="4702" priority="2559" stopIfTrue="1" operator="greaterThanOrEqual">
      <formula>$H$6</formula>
    </cfRule>
    <cfRule type="cellIs" dxfId="4701" priority="2560" stopIfTrue="1" operator="between">
      <formula>0</formula>
      <formula>$H$6</formula>
    </cfRule>
  </conditionalFormatting>
  <conditionalFormatting sqref="G13 H30:H33 C30:G39 I30:K39 P30:Q39 U30:U39 H38:H39 M33:N39 G15:G22">
    <cfRule type="cellIs" dxfId="4700" priority="2553" stopIfTrue="1" operator="greaterThan">
      <formula>0</formula>
    </cfRule>
  </conditionalFormatting>
  <conditionalFormatting sqref="D13 D15:D22">
    <cfRule type="cellIs" dxfId="4699" priority="2552" stopIfTrue="1" operator="greaterThan">
      <formula>0</formula>
    </cfRule>
  </conditionalFormatting>
  <conditionalFormatting sqref="I14:I22">
    <cfRule type="cellIs" dxfId="4698" priority="2551" stopIfTrue="1" operator="greaterThan">
      <formula>0</formula>
    </cfRule>
  </conditionalFormatting>
  <conditionalFormatting sqref="I14:I22 I30:I39 U30:U39">
    <cfRule type="cellIs" dxfId="4697" priority="2550" operator="equal">
      <formula>"NO"</formula>
    </cfRule>
  </conditionalFormatting>
  <conditionalFormatting sqref="H16 H30:H33 J30:J39 H38:H39">
    <cfRule type="cellIs" dxfId="4696" priority="2549" stopIfTrue="1" operator="lessThan">
      <formula>0</formula>
    </cfRule>
  </conditionalFormatting>
  <conditionalFormatting sqref="H16">
    <cfRule type="cellIs" dxfId="4695" priority="2548" stopIfTrue="1" operator="greaterThan">
      <formula>0</formula>
    </cfRule>
  </conditionalFormatting>
  <conditionalFormatting sqref="H14:H15">
    <cfRule type="cellIs" dxfId="4694" priority="2547" stopIfTrue="1" operator="lessThan">
      <formula>0</formula>
    </cfRule>
  </conditionalFormatting>
  <conditionalFormatting sqref="H14:H15">
    <cfRule type="cellIs" dxfId="4693" priority="2546" stopIfTrue="1" operator="greaterThan">
      <formula>0</formula>
    </cfRule>
  </conditionalFormatting>
  <conditionalFormatting sqref="H20:H22">
    <cfRule type="cellIs" dxfId="4692" priority="2545" stopIfTrue="1" operator="lessThan">
      <formula>0</formula>
    </cfRule>
  </conditionalFormatting>
  <conditionalFormatting sqref="H20:H22">
    <cfRule type="cellIs" dxfId="4691" priority="2544" stopIfTrue="1" operator="greaterThan">
      <formula>0</formula>
    </cfRule>
  </conditionalFormatting>
  <conditionalFormatting sqref="H17:H19">
    <cfRule type="cellIs" dxfId="4690" priority="2543" stopIfTrue="1" operator="lessThan">
      <formula>0</formula>
    </cfRule>
  </conditionalFormatting>
  <conditionalFormatting sqref="H17:H19">
    <cfRule type="cellIs" dxfId="4689" priority="2542" stopIfTrue="1" operator="greaterThan">
      <formula>0</formula>
    </cfRule>
  </conditionalFormatting>
  <conditionalFormatting sqref="C13:C22">
    <cfRule type="cellIs" dxfId="4688" priority="2541" stopIfTrue="1" operator="greaterThan">
      <formula>0</formula>
    </cfRule>
  </conditionalFormatting>
  <conditionalFormatting sqref="J13:J22">
    <cfRule type="cellIs" dxfId="4687" priority="2540" stopIfTrue="1" operator="lessThan">
      <formula>0</formula>
    </cfRule>
  </conditionalFormatting>
  <conditionalFormatting sqref="J13:J22">
    <cfRule type="cellIs" dxfId="4686" priority="2539" stopIfTrue="1" operator="greaterThan">
      <formula>0</formula>
    </cfRule>
  </conditionalFormatting>
  <conditionalFormatting sqref="K13:K22">
    <cfRule type="cellIs" dxfId="4685" priority="2538" stopIfTrue="1" operator="greaterThan">
      <formula>0</formula>
    </cfRule>
  </conditionalFormatting>
  <conditionalFormatting sqref="M13 M15:M22">
    <cfRule type="cellIs" dxfId="4684" priority="2537" stopIfTrue="1" operator="greaterThan">
      <formula>0</formula>
    </cfRule>
  </conditionalFormatting>
  <conditionalFormatting sqref="N13 N15:N22">
    <cfRule type="cellIs" dxfId="4683" priority="2536" stopIfTrue="1" operator="greaterThan">
      <formula>0</formula>
    </cfRule>
  </conditionalFormatting>
  <conditionalFormatting sqref="P13:Q22">
    <cfRule type="cellIs" dxfId="4682" priority="2535" stopIfTrue="1" operator="greaterThan">
      <formula>0</formula>
    </cfRule>
  </conditionalFormatting>
  <conditionalFormatting sqref="U13:U22">
    <cfRule type="cellIs" dxfId="4681" priority="2534" stopIfTrue="1" operator="greaterThan">
      <formula>0</formula>
    </cfRule>
  </conditionalFormatting>
  <conditionalFormatting sqref="U13:U22">
    <cfRule type="cellIs" dxfId="4680" priority="2533" operator="equal">
      <formula>"NO"</formula>
    </cfRule>
  </conditionalFormatting>
  <conditionalFormatting sqref="E13:F13 E15:F22">
    <cfRule type="cellIs" dxfId="4679" priority="2532" stopIfTrue="1" operator="greaterThan">
      <formula>0</formula>
    </cfRule>
  </conditionalFormatting>
  <conditionalFormatting sqref="U45:U46">
    <cfRule type="containsText" dxfId="4678" priority="2528" operator="containsText" text="NO CUMPLE">
      <formula>NOT(ISERROR(SEARCH("NO CUMPLE",U45)))</formula>
    </cfRule>
  </conditionalFormatting>
  <conditionalFormatting sqref="L45:L46">
    <cfRule type="cellIs" dxfId="4677" priority="2529" stopIfTrue="1" operator="equal">
      <formula>0</formula>
    </cfRule>
    <cfRule type="cellIs" dxfId="4676" priority="2530" stopIfTrue="1" operator="greaterThanOrEqual">
      <formula>$H$6</formula>
    </cfRule>
    <cfRule type="cellIs" dxfId="4675" priority="2531" stopIfTrue="1" operator="between">
      <formula>0</formula>
      <formula>$H$6</formula>
    </cfRule>
  </conditionalFormatting>
  <conditionalFormatting sqref="U62:U63">
    <cfRule type="containsText" dxfId="4674" priority="2524" operator="containsText" text="NO CUMPLE">
      <formula>NOT(ISERROR(SEARCH("NO CUMPLE",U62)))</formula>
    </cfRule>
  </conditionalFormatting>
  <conditionalFormatting sqref="L62:L63">
    <cfRule type="cellIs" dxfId="4673" priority="2525" stopIfTrue="1" operator="equal">
      <formula>0</formula>
    </cfRule>
    <cfRule type="cellIs" dxfId="4672" priority="2526" stopIfTrue="1" operator="greaterThanOrEqual">
      <formula>$H$6</formula>
    </cfRule>
    <cfRule type="cellIs" dxfId="4671" priority="2527" stopIfTrue="1" operator="between">
      <formula>0</formula>
      <formula>$H$6</formula>
    </cfRule>
  </conditionalFormatting>
  <conditionalFormatting sqref="U79:U80">
    <cfRule type="containsText" dxfId="4670" priority="2520" operator="containsText" text="NO CUMPLE">
      <formula>NOT(ISERROR(SEARCH("NO CUMPLE",U79)))</formula>
    </cfRule>
  </conditionalFormatting>
  <conditionalFormatting sqref="L79:L80">
    <cfRule type="cellIs" dxfId="4669" priority="2521" stopIfTrue="1" operator="equal">
      <formula>0</formula>
    </cfRule>
    <cfRule type="cellIs" dxfId="4668" priority="2522" stopIfTrue="1" operator="greaterThanOrEqual">
      <formula>$H$6</formula>
    </cfRule>
    <cfRule type="cellIs" dxfId="4667" priority="2523" stopIfTrue="1" operator="between">
      <formula>0</formula>
      <formula>$H$6</formula>
    </cfRule>
  </conditionalFormatting>
  <conditionalFormatting sqref="U96:U97">
    <cfRule type="containsText" dxfId="4666" priority="2516" operator="containsText" text="NO CUMPLE">
      <formula>NOT(ISERROR(SEARCH("NO CUMPLE",U96)))</formula>
    </cfRule>
  </conditionalFormatting>
  <conditionalFormatting sqref="L96:L97">
    <cfRule type="cellIs" dxfId="4665" priority="2517" stopIfTrue="1" operator="equal">
      <formula>0</formula>
    </cfRule>
    <cfRule type="cellIs" dxfId="4664" priority="2518" stopIfTrue="1" operator="greaterThanOrEqual">
      <formula>$H$6</formula>
    </cfRule>
    <cfRule type="cellIs" dxfId="4663" priority="2519" stopIfTrue="1" operator="between">
      <formula>0</formula>
      <formula>$H$6</formula>
    </cfRule>
  </conditionalFormatting>
  <conditionalFormatting sqref="U113:U114">
    <cfRule type="containsText" dxfId="4662" priority="2512" operator="containsText" text="NO CUMPLE">
      <formula>NOT(ISERROR(SEARCH("NO CUMPLE",U113)))</formula>
    </cfRule>
  </conditionalFormatting>
  <conditionalFormatting sqref="L113:L114">
    <cfRule type="cellIs" dxfId="4661" priority="2513" stopIfTrue="1" operator="equal">
      <formula>0</formula>
    </cfRule>
    <cfRule type="cellIs" dxfId="4660" priority="2514" stopIfTrue="1" operator="greaterThanOrEqual">
      <formula>$H$6</formula>
    </cfRule>
    <cfRule type="cellIs" dxfId="4659" priority="2515" stopIfTrue="1" operator="between">
      <formula>0</formula>
      <formula>$H$6</formula>
    </cfRule>
  </conditionalFormatting>
  <conditionalFormatting sqref="U130:U131">
    <cfRule type="containsText" dxfId="4658" priority="2508" operator="containsText" text="NO CUMPLE">
      <formula>NOT(ISERROR(SEARCH("NO CUMPLE",U130)))</formula>
    </cfRule>
  </conditionalFormatting>
  <conditionalFormatting sqref="L130:L131">
    <cfRule type="cellIs" dxfId="4657" priority="2509" stopIfTrue="1" operator="equal">
      <formula>0</formula>
    </cfRule>
    <cfRule type="cellIs" dxfId="4656" priority="2510" stopIfTrue="1" operator="greaterThanOrEqual">
      <formula>$H$6</formula>
    </cfRule>
    <cfRule type="cellIs" dxfId="4655" priority="2511" stopIfTrue="1" operator="between">
      <formula>0</formula>
      <formula>$H$6</formula>
    </cfRule>
  </conditionalFormatting>
  <conditionalFormatting sqref="U147:U148">
    <cfRule type="containsText" dxfId="4654" priority="2504" operator="containsText" text="NO CUMPLE">
      <formula>NOT(ISERROR(SEARCH("NO CUMPLE",U147)))</formula>
    </cfRule>
  </conditionalFormatting>
  <conditionalFormatting sqref="L147:L148">
    <cfRule type="cellIs" dxfId="4653" priority="2505" stopIfTrue="1" operator="equal">
      <formula>0</formula>
    </cfRule>
    <cfRule type="cellIs" dxfId="4652" priority="2506" stopIfTrue="1" operator="greaterThanOrEqual">
      <formula>$H$6</formula>
    </cfRule>
    <cfRule type="cellIs" dxfId="4651" priority="2507" stopIfTrue="1" operator="between">
      <formula>0</formula>
      <formula>$H$6</formula>
    </cfRule>
  </conditionalFormatting>
  <conditionalFormatting sqref="U164:U165">
    <cfRule type="containsText" dxfId="4650" priority="2500" operator="containsText" text="NO CUMPLE">
      <formula>NOT(ISERROR(SEARCH("NO CUMPLE",U164)))</formula>
    </cfRule>
  </conditionalFormatting>
  <conditionalFormatting sqref="L164:L165">
    <cfRule type="cellIs" dxfId="4649" priority="2501" stopIfTrue="1" operator="equal">
      <formula>0</formula>
    </cfRule>
    <cfRule type="cellIs" dxfId="4648" priority="2502" stopIfTrue="1" operator="greaterThanOrEqual">
      <formula>$H$6</formula>
    </cfRule>
    <cfRule type="cellIs" dxfId="4647" priority="2503" stopIfTrue="1" operator="between">
      <formula>0</formula>
      <formula>$H$6</formula>
    </cfRule>
  </conditionalFormatting>
  <conditionalFormatting sqref="U181:U182">
    <cfRule type="containsText" dxfId="4646" priority="2496" operator="containsText" text="NO CUMPLE">
      <formula>NOT(ISERROR(SEARCH("NO CUMPLE",U181)))</formula>
    </cfRule>
  </conditionalFormatting>
  <conditionalFormatting sqref="L181:L182">
    <cfRule type="cellIs" dxfId="4645" priority="2497" stopIfTrue="1" operator="equal">
      <formula>0</formula>
    </cfRule>
    <cfRule type="cellIs" dxfId="4644" priority="2498" stopIfTrue="1" operator="greaterThanOrEqual">
      <formula>$H$6</formula>
    </cfRule>
    <cfRule type="cellIs" dxfId="4643" priority="2499" stopIfTrue="1" operator="between">
      <formula>0</formula>
      <formula>$H$6</formula>
    </cfRule>
  </conditionalFormatting>
  <conditionalFormatting sqref="U198:U199">
    <cfRule type="containsText" dxfId="4642" priority="2492" operator="containsText" text="NO CUMPLE">
      <formula>NOT(ISERROR(SEARCH("NO CUMPLE",U198)))</formula>
    </cfRule>
  </conditionalFormatting>
  <conditionalFormatting sqref="L198:L199">
    <cfRule type="cellIs" dxfId="4641" priority="2493" stopIfTrue="1" operator="equal">
      <formula>0</formula>
    </cfRule>
    <cfRule type="cellIs" dxfId="4640" priority="2494" stopIfTrue="1" operator="greaterThanOrEqual">
      <formula>$H$6</formula>
    </cfRule>
    <cfRule type="cellIs" dxfId="4639" priority="2495" stopIfTrue="1" operator="between">
      <formula>0</formula>
      <formula>$H$6</formula>
    </cfRule>
  </conditionalFormatting>
  <conditionalFormatting sqref="U215:U216">
    <cfRule type="containsText" dxfId="4638" priority="2488" operator="containsText" text="NO CUMPLE">
      <formula>NOT(ISERROR(SEARCH("NO CUMPLE",U215)))</formula>
    </cfRule>
  </conditionalFormatting>
  <conditionalFormatting sqref="L215:L216">
    <cfRule type="cellIs" dxfId="4637" priority="2489" stopIfTrue="1" operator="equal">
      <formula>0</formula>
    </cfRule>
    <cfRule type="cellIs" dxfId="4636" priority="2490" stopIfTrue="1" operator="greaterThanOrEqual">
      <formula>$H$6</formula>
    </cfRule>
    <cfRule type="cellIs" dxfId="4635" priority="2491" stopIfTrue="1" operator="between">
      <formula>0</formula>
      <formula>$H$6</formula>
    </cfRule>
  </conditionalFormatting>
  <conditionalFormatting sqref="U232:U233">
    <cfRule type="containsText" dxfId="4634" priority="2484" operator="containsText" text="NO CUMPLE">
      <formula>NOT(ISERROR(SEARCH("NO CUMPLE",U232)))</formula>
    </cfRule>
  </conditionalFormatting>
  <conditionalFormatting sqref="L232:L233">
    <cfRule type="cellIs" dxfId="4633" priority="2485" stopIfTrue="1" operator="equal">
      <formula>0</formula>
    </cfRule>
    <cfRule type="cellIs" dxfId="4632" priority="2486" stopIfTrue="1" operator="greaterThanOrEqual">
      <formula>$H$6</formula>
    </cfRule>
    <cfRule type="cellIs" dxfId="4631" priority="2487" stopIfTrue="1" operator="between">
      <formula>0</formula>
      <formula>$H$6</formula>
    </cfRule>
  </conditionalFormatting>
  <conditionalFormatting sqref="U249:U250">
    <cfRule type="containsText" dxfId="4630" priority="2480" operator="containsText" text="NO CUMPLE">
      <formula>NOT(ISERROR(SEARCH("NO CUMPLE",U249)))</formula>
    </cfRule>
  </conditionalFormatting>
  <conditionalFormatting sqref="L249:L250">
    <cfRule type="cellIs" dxfId="4629" priority="2481" stopIfTrue="1" operator="equal">
      <formula>0</formula>
    </cfRule>
    <cfRule type="cellIs" dxfId="4628" priority="2482" stopIfTrue="1" operator="greaterThanOrEqual">
      <formula>$H$6</formula>
    </cfRule>
    <cfRule type="cellIs" dxfId="4627" priority="2483" stopIfTrue="1" operator="between">
      <formula>0</formula>
      <formula>$H$6</formula>
    </cfRule>
  </conditionalFormatting>
  <conditionalFormatting sqref="U266:U267">
    <cfRule type="containsText" dxfId="4626" priority="2476" operator="containsText" text="NO CUMPLE">
      <formula>NOT(ISERROR(SEARCH("NO CUMPLE",U266)))</formula>
    </cfRule>
  </conditionalFormatting>
  <conditionalFormatting sqref="L266:L267">
    <cfRule type="cellIs" dxfId="4625" priority="2477" stopIfTrue="1" operator="equal">
      <formula>0</formula>
    </cfRule>
    <cfRule type="cellIs" dxfId="4624" priority="2478" stopIfTrue="1" operator="greaterThanOrEqual">
      <formula>$H$6</formula>
    </cfRule>
    <cfRule type="cellIs" dxfId="4623" priority="2479" stopIfTrue="1" operator="between">
      <formula>0</formula>
      <formula>$H$6</formula>
    </cfRule>
  </conditionalFormatting>
  <conditionalFormatting sqref="U283:U284">
    <cfRule type="containsText" dxfId="4622" priority="2472" operator="containsText" text="NO CUMPLE">
      <formula>NOT(ISERROR(SEARCH("NO CUMPLE",U283)))</formula>
    </cfRule>
  </conditionalFormatting>
  <conditionalFormatting sqref="L283:L284">
    <cfRule type="cellIs" dxfId="4621" priority="2473" stopIfTrue="1" operator="equal">
      <formula>0</formula>
    </cfRule>
    <cfRule type="cellIs" dxfId="4620" priority="2474" stopIfTrue="1" operator="greaterThanOrEqual">
      <formula>$H$6</formula>
    </cfRule>
    <cfRule type="cellIs" dxfId="4619" priority="2475" stopIfTrue="1" operator="between">
      <formula>0</formula>
      <formula>$H$6</formula>
    </cfRule>
  </conditionalFormatting>
  <conditionalFormatting sqref="U300:U301">
    <cfRule type="containsText" dxfId="4618" priority="2468" operator="containsText" text="NO CUMPLE">
      <formula>NOT(ISERROR(SEARCH("NO CUMPLE",U300)))</formula>
    </cfRule>
  </conditionalFormatting>
  <conditionalFormatting sqref="L300:L301">
    <cfRule type="cellIs" dxfId="4617" priority="2469" stopIfTrue="1" operator="equal">
      <formula>0</formula>
    </cfRule>
    <cfRule type="cellIs" dxfId="4616" priority="2470" stopIfTrue="1" operator="greaterThanOrEqual">
      <formula>$H$6</formula>
    </cfRule>
    <cfRule type="cellIs" dxfId="4615" priority="2471" stopIfTrue="1" operator="between">
      <formula>0</formula>
      <formula>$H$6</formula>
    </cfRule>
  </conditionalFormatting>
  <conditionalFormatting sqref="U317:U318">
    <cfRule type="containsText" dxfId="4614" priority="2464" operator="containsText" text="NO CUMPLE">
      <formula>NOT(ISERROR(SEARCH("NO CUMPLE",U317)))</formula>
    </cfRule>
  </conditionalFormatting>
  <conditionalFormatting sqref="L317:L318">
    <cfRule type="cellIs" dxfId="4613" priority="2465" stopIfTrue="1" operator="equal">
      <formula>0</formula>
    </cfRule>
    <cfRule type="cellIs" dxfId="4612" priority="2466" stopIfTrue="1" operator="greaterThanOrEqual">
      <formula>$H$6</formula>
    </cfRule>
    <cfRule type="cellIs" dxfId="4611" priority="2467" stopIfTrue="1" operator="between">
      <formula>0</formula>
      <formula>$H$6</formula>
    </cfRule>
  </conditionalFormatting>
  <conditionalFormatting sqref="U334:U335">
    <cfRule type="containsText" dxfId="4610" priority="2460" operator="containsText" text="NO CUMPLE">
      <formula>NOT(ISERROR(SEARCH("NO CUMPLE",U334)))</formula>
    </cfRule>
  </conditionalFormatting>
  <conditionalFormatting sqref="L334:L335">
    <cfRule type="cellIs" dxfId="4609" priority="2461" stopIfTrue="1" operator="equal">
      <formula>0</formula>
    </cfRule>
    <cfRule type="cellIs" dxfId="4608" priority="2462" stopIfTrue="1" operator="greaterThanOrEqual">
      <formula>$H$6</formula>
    </cfRule>
    <cfRule type="cellIs" dxfId="4607" priority="2463" stopIfTrue="1" operator="between">
      <formula>0</formula>
      <formula>$H$6</formula>
    </cfRule>
  </conditionalFormatting>
  <conditionalFormatting sqref="U351:U352">
    <cfRule type="containsText" dxfId="4606" priority="2456" operator="containsText" text="NO CUMPLE">
      <formula>NOT(ISERROR(SEARCH("NO CUMPLE",U351)))</formula>
    </cfRule>
  </conditionalFormatting>
  <conditionalFormatting sqref="L351:L352">
    <cfRule type="cellIs" dxfId="4605" priority="2457" stopIfTrue="1" operator="equal">
      <formula>0</formula>
    </cfRule>
    <cfRule type="cellIs" dxfId="4604" priority="2458" stopIfTrue="1" operator="greaterThanOrEqual">
      <formula>$H$6</formula>
    </cfRule>
    <cfRule type="cellIs" dxfId="4603" priority="2459" stopIfTrue="1" operator="between">
      <formula>0</formula>
      <formula>$H$6</formula>
    </cfRule>
  </conditionalFormatting>
  <conditionalFormatting sqref="U368:U369">
    <cfRule type="containsText" dxfId="4602" priority="2452" operator="containsText" text="NO CUMPLE">
      <formula>NOT(ISERROR(SEARCH("NO CUMPLE",U368)))</formula>
    </cfRule>
  </conditionalFormatting>
  <conditionalFormatting sqref="L368:L369">
    <cfRule type="cellIs" dxfId="4601" priority="2453" stopIfTrue="1" operator="equal">
      <formula>0</formula>
    </cfRule>
    <cfRule type="cellIs" dxfId="4600" priority="2454" stopIfTrue="1" operator="greaterThanOrEqual">
      <formula>$H$6</formula>
    </cfRule>
    <cfRule type="cellIs" dxfId="4599" priority="2455" stopIfTrue="1" operator="between">
      <formula>0</formula>
      <formula>$H$6</formula>
    </cfRule>
  </conditionalFormatting>
  <conditionalFormatting sqref="U385:U386">
    <cfRule type="containsText" dxfId="4598" priority="2448" operator="containsText" text="NO CUMPLE">
      <formula>NOT(ISERROR(SEARCH("NO CUMPLE",U385)))</formula>
    </cfRule>
  </conditionalFormatting>
  <conditionalFormatting sqref="L385:L386">
    <cfRule type="cellIs" dxfId="4597" priority="2449" stopIfTrue="1" operator="equal">
      <formula>0</formula>
    </cfRule>
    <cfRule type="cellIs" dxfId="4596" priority="2450" stopIfTrue="1" operator="greaterThanOrEqual">
      <formula>$H$6</formula>
    </cfRule>
    <cfRule type="cellIs" dxfId="4595" priority="2451" stopIfTrue="1" operator="between">
      <formula>0</formula>
      <formula>$H$6</formula>
    </cfRule>
  </conditionalFormatting>
  <conditionalFormatting sqref="U402:U403">
    <cfRule type="containsText" dxfId="4594" priority="2444" operator="containsText" text="NO CUMPLE">
      <formula>NOT(ISERROR(SEARCH("NO CUMPLE",U402)))</formula>
    </cfRule>
  </conditionalFormatting>
  <conditionalFormatting sqref="L402:L403">
    <cfRule type="cellIs" dxfId="4593" priority="2445" stopIfTrue="1" operator="equal">
      <formula>0</formula>
    </cfRule>
    <cfRule type="cellIs" dxfId="4592" priority="2446" stopIfTrue="1" operator="greaterThanOrEqual">
      <formula>$H$6</formula>
    </cfRule>
    <cfRule type="cellIs" dxfId="4591" priority="2447" stopIfTrue="1" operator="between">
      <formula>0</formula>
      <formula>$H$6</formula>
    </cfRule>
  </conditionalFormatting>
  <conditionalFormatting sqref="U419:U420">
    <cfRule type="containsText" dxfId="4590" priority="2440" operator="containsText" text="NO CUMPLE">
      <formula>NOT(ISERROR(SEARCH("NO CUMPLE",U419)))</formula>
    </cfRule>
  </conditionalFormatting>
  <conditionalFormatting sqref="L419:L420">
    <cfRule type="cellIs" dxfId="4589" priority="2441" stopIfTrue="1" operator="equal">
      <formula>0</formula>
    </cfRule>
    <cfRule type="cellIs" dxfId="4588" priority="2442" stopIfTrue="1" operator="greaterThanOrEqual">
      <formula>$H$6</formula>
    </cfRule>
    <cfRule type="cellIs" dxfId="4587" priority="2443" stopIfTrue="1" operator="between">
      <formula>0</formula>
      <formula>$H$6</formula>
    </cfRule>
  </conditionalFormatting>
  <conditionalFormatting sqref="M14">
    <cfRule type="cellIs" dxfId="4586" priority="2439" stopIfTrue="1" operator="greaterThan">
      <formula>0</formula>
    </cfRule>
  </conditionalFormatting>
  <conditionalFormatting sqref="N14">
    <cfRule type="cellIs" dxfId="4585" priority="2438" stopIfTrue="1" operator="greaterThan">
      <formula>0</formula>
    </cfRule>
  </conditionalFormatting>
  <conditionalFormatting sqref="H34">
    <cfRule type="cellIs" dxfId="4584" priority="2437" stopIfTrue="1" operator="lessThan">
      <formula>0</formula>
    </cfRule>
  </conditionalFormatting>
  <conditionalFormatting sqref="H34">
    <cfRule type="cellIs" dxfId="4583" priority="2436" stopIfTrue="1" operator="greaterThan">
      <formula>0</formula>
    </cfRule>
  </conditionalFormatting>
  <conditionalFormatting sqref="H35:H37">
    <cfRule type="cellIs" dxfId="4582" priority="2435" stopIfTrue="1" operator="lessThan">
      <formula>0</formula>
    </cfRule>
  </conditionalFormatting>
  <conditionalFormatting sqref="H35:H37">
    <cfRule type="cellIs" dxfId="4581" priority="2434" stopIfTrue="1" operator="greaterThan">
      <formula>0</formula>
    </cfRule>
  </conditionalFormatting>
  <conditionalFormatting sqref="M30">
    <cfRule type="cellIs" dxfId="4580" priority="2433" stopIfTrue="1" operator="greaterThan">
      <formula>0</formula>
    </cfRule>
  </conditionalFormatting>
  <conditionalFormatting sqref="N30">
    <cfRule type="cellIs" dxfId="4579" priority="2432" stopIfTrue="1" operator="greaterThan">
      <formula>0</formula>
    </cfRule>
  </conditionalFormatting>
  <conditionalFormatting sqref="M31:M32">
    <cfRule type="cellIs" dxfId="4578" priority="2431" stopIfTrue="1" operator="greaterThan">
      <formula>0</formula>
    </cfRule>
  </conditionalFormatting>
  <conditionalFormatting sqref="N31:N32">
    <cfRule type="cellIs" dxfId="4577" priority="2430" stopIfTrue="1" operator="greaterThan">
      <formula>0</formula>
    </cfRule>
  </conditionalFormatting>
  <conditionalFormatting sqref="I25">
    <cfRule type="cellIs" dxfId="4576" priority="2427" operator="equal">
      <formula>"NA"</formula>
    </cfRule>
    <cfRule type="cellIs" dxfId="4575" priority="2428" operator="equal">
      <formula>"SI"</formula>
    </cfRule>
    <cfRule type="cellIs" dxfId="4574" priority="2429" operator="equal">
      <formula>"NO"</formula>
    </cfRule>
  </conditionalFormatting>
  <conditionalFormatting sqref="AB13:AB22">
    <cfRule type="cellIs" dxfId="4573" priority="2425" operator="equal">
      <formula>"NO"</formula>
    </cfRule>
    <cfRule type="cellIs" dxfId="4572" priority="2426" operator="greaterThan">
      <formula>0</formula>
    </cfRule>
  </conditionalFormatting>
  <conditionalFormatting sqref="U434">
    <cfRule type="containsText" dxfId="4571" priority="2424" operator="containsText" text="NO CUMPLE">
      <formula>NOT(ISERROR(SEARCH("NO CUMPLE",U434)))</formula>
    </cfRule>
  </conditionalFormatting>
  <conditionalFormatting sqref="U435">
    <cfRule type="containsText" dxfId="4570" priority="2423" operator="containsText" text="NO CUMPLE">
      <formula>NOT(ISERROR(SEARCH("NO CUMPLE",U435)))</formula>
    </cfRule>
  </conditionalFormatting>
  <conditionalFormatting sqref="U448:U450">
    <cfRule type="containsText" dxfId="4569" priority="2419" operator="containsText" text="NO CUMPLE">
      <formula>NOT(ISERROR(SEARCH("NO CUMPLE",U448)))</formula>
    </cfRule>
  </conditionalFormatting>
  <conditionalFormatting sqref="I448:I449">
    <cfRule type="cellIs" dxfId="4568" priority="2416" operator="equal">
      <formula>"NA"</formula>
    </cfRule>
    <cfRule type="cellIs" dxfId="4567" priority="2417" operator="equal">
      <formula>"SI"</formula>
    </cfRule>
    <cfRule type="cellIs" dxfId="4566" priority="2418" operator="equal">
      <formula>"NO"</formula>
    </cfRule>
  </conditionalFormatting>
  <conditionalFormatting sqref="L448:L450">
    <cfRule type="cellIs" dxfId="4565" priority="2420" stopIfTrue="1" operator="equal">
      <formula>0</formula>
    </cfRule>
    <cfRule type="cellIs" dxfId="4564" priority="2421" stopIfTrue="1" operator="greaterThanOrEqual">
      <formula>$H$6</formula>
    </cfRule>
    <cfRule type="cellIs" dxfId="4563" priority="2422" stopIfTrue="1" operator="between">
      <formula>0</formula>
      <formula>$H$6</formula>
    </cfRule>
  </conditionalFormatting>
  <conditionalFormatting sqref="U436:U437">
    <cfRule type="containsText" dxfId="4562" priority="2412" operator="containsText" text="NO CUMPLE">
      <formula>NOT(ISERROR(SEARCH("NO CUMPLE",U436)))</formula>
    </cfRule>
  </conditionalFormatting>
  <conditionalFormatting sqref="L436:L437">
    <cfRule type="cellIs" dxfId="4561" priority="2413" stopIfTrue="1" operator="equal">
      <formula>0</formula>
    </cfRule>
    <cfRule type="cellIs" dxfId="4560" priority="2414" stopIfTrue="1" operator="greaterThanOrEqual">
      <formula>$H$6</formula>
    </cfRule>
    <cfRule type="cellIs" dxfId="4559" priority="2415" stopIfTrue="1" operator="between">
      <formula>0</formula>
      <formula>$H$6</formula>
    </cfRule>
  </conditionalFormatting>
  <conditionalFormatting sqref="U451">
    <cfRule type="containsText" dxfId="4558" priority="2411" operator="containsText" text="NO CUMPLE">
      <formula>NOT(ISERROR(SEARCH("NO CUMPLE",U451)))</formula>
    </cfRule>
  </conditionalFormatting>
  <conditionalFormatting sqref="U452">
    <cfRule type="containsText" dxfId="4557" priority="2410" operator="containsText" text="NO CUMPLE">
      <formula>NOT(ISERROR(SEARCH("NO CUMPLE",U452)))</formula>
    </cfRule>
  </conditionalFormatting>
  <conditionalFormatting sqref="U465:U467">
    <cfRule type="containsText" dxfId="4556" priority="2406" operator="containsText" text="NO CUMPLE">
      <formula>NOT(ISERROR(SEARCH("NO CUMPLE",U465)))</formula>
    </cfRule>
  </conditionalFormatting>
  <conditionalFormatting sqref="I465:I466">
    <cfRule type="cellIs" dxfId="4555" priority="2403" operator="equal">
      <formula>"NA"</formula>
    </cfRule>
    <cfRule type="cellIs" dxfId="4554" priority="2404" operator="equal">
      <formula>"SI"</formula>
    </cfRule>
    <cfRule type="cellIs" dxfId="4553" priority="2405" operator="equal">
      <formula>"NO"</formula>
    </cfRule>
  </conditionalFormatting>
  <conditionalFormatting sqref="L465:L467">
    <cfRule type="cellIs" dxfId="4552" priority="2407" stopIfTrue="1" operator="equal">
      <formula>0</formula>
    </cfRule>
    <cfRule type="cellIs" dxfId="4551" priority="2408" stopIfTrue="1" operator="greaterThanOrEqual">
      <formula>$H$6</formula>
    </cfRule>
    <cfRule type="cellIs" dxfId="4550" priority="2409" stopIfTrue="1" operator="between">
      <formula>0</formula>
      <formula>$H$6</formula>
    </cfRule>
  </conditionalFormatting>
  <conditionalFormatting sqref="U453:U454">
    <cfRule type="containsText" dxfId="4549" priority="2399" operator="containsText" text="NO CUMPLE">
      <formula>NOT(ISERROR(SEARCH("NO CUMPLE",U453)))</formula>
    </cfRule>
  </conditionalFormatting>
  <conditionalFormatting sqref="L453:L454">
    <cfRule type="cellIs" dxfId="4548" priority="2400" stopIfTrue="1" operator="equal">
      <formula>0</formula>
    </cfRule>
    <cfRule type="cellIs" dxfId="4547" priority="2401" stopIfTrue="1" operator="greaterThanOrEqual">
      <formula>$H$6</formula>
    </cfRule>
    <cfRule type="cellIs" dxfId="4546" priority="2402" stopIfTrue="1" operator="between">
      <formula>0</formula>
      <formula>$H$6</formula>
    </cfRule>
  </conditionalFormatting>
  <conditionalFormatting sqref="U468">
    <cfRule type="containsText" dxfId="4545" priority="2398" operator="containsText" text="NO CUMPLE">
      <formula>NOT(ISERROR(SEARCH("NO CUMPLE",U468)))</formula>
    </cfRule>
  </conditionalFormatting>
  <conditionalFormatting sqref="U469">
    <cfRule type="containsText" dxfId="4544" priority="2397" operator="containsText" text="NO CUMPLE">
      <formula>NOT(ISERROR(SEARCH("NO CUMPLE",U469)))</formula>
    </cfRule>
  </conditionalFormatting>
  <conditionalFormatting sqref="U482:U484">
    <cfRule type="containsText" dxfId="4543" priority="2393" operator="containsText" text="NO CUMPLE">
      <formula>NOT(ISERROR(SEARCH("NO CUMPLE",U482)))</formula>
    </cfRule>
  </conditionalFormatting>
  <conditionalFormatting sqref="I482:I483">
    <cfRule type="cellIs" dxfId="4542" priority="2390" operator="equal">
      <formula>"NA"</formula>
    </cfRule>
    <cfRule type="cellIs" dxfId="4541" priority="2391" operator="equal">
      <formula>"SI"</formula>
    </cfRule>
    <cfRule type="cellIs" dxfId="4540" priority="2392" operator="equal">
      <formula>"NO"</formula>
    </cfRule>
  </conditionalFormatting>
  <conditionalFormatting sqref="L482:L484">
    <cfRule type="cellIs" dxfId="4539" priority="2394" stopIfTrue="1" operator="equal">
      <formula>0</formula>
    </cfRule>
    <cfRule type="cellIs" dxfId="4538" priority="2395" stopIfTrue="1" operator="greaterThanOrEqual">
      <formula>$H$6</formula>
    </cfRule>
    <cfRule type="cellIs" dxfId="4537" priority="2396" stopIfTrue="1" operator="between">
      <formula>0</formula>
      <formula>$H$6</formula>
    </cfRule>
  </conditionalFormatting>
  <conditionalFormatting sqref="U470:U471">
    <cfRule type="containsText" dxfId="4536" priority="2386" operator="containsText" text="NO CUMPLE">
      <formula>NOT(ISERROR(SEARCH("NO CUMPLE",U470)))</formula>
    </cfRule>
  </conditionalFormatting>
  <conditionalFormatting sqref="L470:L471">
    <cfRule type="cellIs" dxfId="4535" priority="2387" stopIfTrue="1" operator="equal">
      <formula>0</formula>
    </cfRule>
    <cfRule type="cellIs" dxfId="4534" priority="2388" stopIfTrue="1" operator="greaterThanOrEqual">
      <formula>$H$6</formula>
    </cfRule>
    <cfRule type="cellIs" dxfId="4533" priority="2389" stopIfTrue="1" operator="between">
      <formula>0</formula>
      <formula>$H$6</formula>
    </cfRule>
  </conditionalFormatting>
  <conditionalFormatting sqref="U485">
    <cfRule type="containsText" dxfId="4532" priority="2385" operator="containsText" text="NO CUMPLE">
      <formula>NOT(ISERROR(SEARCH("NO CUMPLE",U485)))</formula>
    </cfRule>
  </conditionalFormatting>
  <conditionalFormatting sqref="U486">
    <cfRule type="containsText" dxfId="4531" priority="2384" operator="containsText" text="NO CUMPLE">
      <formula>NOT(ISERROR(SEARCH("NO CUMPLE",U486)))</formula>
    </cfRule>
  </conditionalFormatting>
  <conditionalFormatting sqref="U499:U501">
    <cfRule type="containsText" dxfId="4530" priority="2380" operator="containsText" text="NO CUMPLE">
      <formula>NOT(ISERROR(SEARCH("NO CUMPLE",U499)))</formula>
    </cfRule>
  </conditionalFormatting>
  <conditionalFormatting sqref="I499:I500">
    <cfRule type="cellIs" dxfId="4529" priority="2377" operator="equal">
      <formula>"NA"</formula>
    </cfRule>
    <cfRule type="cellIs" dxfId="4528" priority="2378" operator="equal">
      <formula>"SI"</formula>
    </cfRule>
    <cfRule type="cellIs" dxfId="4527" priority="2379" operator="equal">
      <formula>"NO"</formula>
    </cfRule>
  </conditionalFormatting>
  <conditionalFormatting sqref="L499:L501">
    <cfRule type="cellIs" dxfId="4526" priority="2381" stopIfTrue="1" operator="equal">
      <formula>0</formula>
    </cfRule>
    <cfRule type="cellIs" dxfId="4525" priority="2382" stopIfTrue="1" operator="greaterThanOrEqual">
      <formula>$H$6</formula>
    </cfRule>
    <cfRule type="cellIs" dxfId="4524" priority="2383" stopIfTrue="1" operator="between">
      <formula>0</formula>
      <formula>$H$6</formula>
    </cfRule>
  </conditionalFormatting>
  <conditionalFormatting sqref="U487:U488">
    <cfRule type="containsText" dxfId="4523" priority="2373" operator="containsText" text="NO CUMPLE">
      <formula>NOT(ISERROR(SEARCH("NO CUMPLE",U487)))</formula>
    </cfRule>
  </conditionalFormatting>
  <conditionalFormatting sqref="L487:L488">
    <cfRule type="cellIs" dxfId="4522" priority="2374" stopIfTrue="1" operator="equal">
      <formula>0</formula>
    </cfRule>
    <cfRule type="cellIs" dxfId="4521" priority="2375" stopIfTrue="1" operator="greaterThanOrEqual">
      <formula>$H$6</formula>
    </cfRule>
    <cfRule type="cellIs" dxfId="4520" priority="2376" stopIfTrue="1" operator="between">
      <formula>0</formula>
      <formula>$H$6</formula>
    </cfRule>
  </conditionalFormatting>
  <conditionalFormatting sqref="U502">
    <cfRule type="containsText" dxfId="4519" priority="2372" operator="containsText" text="NO CUMPLE">
      <formula>NOT(ISERROR(SEARCH("NO CUMPLE",U502)))</formula>
    </cfRule>
  </conditionalFormatting>
  <conditionalFormatting sqref="U503">
    <cfRule type="containsText" dxfId="4518" priority="2371" operator="containsText" text="NO CUMPLE">
      <formula>NOT(ISERROR(SEARCH("NO CUMPLE",U503)))</formula>
    </cfRule>
  </conditionalFormatting>
  <conditionalFormatting sqref="U516:U518">
    <cfRule type="containsText" dxfId="4517" priority="2367" operator="containsText" text="NO CUMPLE">
      <formula>NOT(ISERROR(SEARCH("NO CUMPLE",U516)))</formula>
    </cfRule>
  </conditionalFormatting>
  <conditionalFormatting sqref="I516:I517">
    <cfRule type="cellIs" dxfId="4516" priority="2364" operator="equal">
      <formula>"NA"</formula>
    </cfRule>
    <cfRule type="cellIs" dxfId="4515" priority="2365" operator="equal">
      <formula>"SI"</formula>
    </cfRule>
    <cfRule type="cellIs" dxfId="4514" priority="2366" operator="equal">
      <formula>"NO"</formula>
    </cfRule>
  </conditionalFormatting>
  <conditionalFormatting sqref="L516:L518">
    <cfRule type="cellIs" dxfId="4513" priority="2368" stopIfTrue="1" operator="equal">
      <formula>0</formula>
    </cfRule>
    <cfRule type="cellIs" dxfId="4512" priority="2369" stopIfTrue="1" operator="greaterThanOrEqual">
      <formula>$H$6</formula>
    </cfRule>
    <cfRule type="cellIs" dxfId="4511" priority="2370" stopIfTrue="1" operator="between">
      <formula>0</formula>
      <formula>$H$6</formula>
    </cfRule>
  </conditionalFormatting>
  <conditionalFormatting sqref="U504:U505">
    <cfRule type="containsText" dxfId="4510" priority="2360" operator="containsText" text="NO CUMPLE">
      <formula>NOT(ISERROR(SEARCH("NO CUMPLE",U504)))</formula>
    </cfRule>
  </conditionalFormatting>
  <conditionalFormatting sqref="L504:L505">
    <cfRule type="cellIs" dxfId="4509" priority="2361" stopIfTrue="1" operator="equal">
      <formula>0</formula>
    </cfRule>
    <cfRule type="cellIs" dxfId="4508" priority="2362" stopIfTrue="1" operator="greaterThanOrEqual">
      <formula>$H$6</formula>
    </cfRule>
    <cfRule type="cellIs" dxfId="4507" priority="2363" stopIfTrue="1" operator="between">
      <formula>0</formula>
      <formula>$H$6</formula>
    </cfRule>
  </conditionalFormatting>
  <conditionalFormatting sqref="U519">
    <cfRule type="containsText" dxfId="4506" priority="2359" operator="containsText" text="NO CUMPLE">
      <formula>NOT(ISERROR(SEARCH("NO CUMPLE",U519)))</formula>
    </cfRule>
  </conditionalFormatting>
  <conditionalFormatting sqref="U520">
    <cfRule type="containsText" dxfId="4505" priority="2358" operator="containsText" text="NO CUMPLE">
      <formula>NOT(ISERROR(SEARCH("NO CUMPLE",U520)))</formula>
    </cfRule>
  </conditionalFormatting>
  <conditionalFormatting sqref="U533:U535">
    <cfRule type="containsText" dxfId="4504" priority="2354" operator="containsText" text="NO CUMPLE">
      <formula>NOT(ISERROR(SEARCH("NO CUMPLE",U533)))</formula>
    </cfRule>
  </conditionalFormatting>
  <conditionalFormatting sqref="I533:I534">
    <cfRule type="cellIs" dxfId="4503" priority="2351" operator="equal">
      <formula>"NA"</formula>
    </cfRule>
    <cfRule type="cellIs" dxfId="4502" priority="2352" operator="equal">
      <formula>"SI"</formula>
    </cfRule>
    <cfRule type="cellIs" dxfId="4501" priority="2353" operator="equal">
      <formula>"NO"</formula>
    </cfRule>
  </conditionalFormatting>
  <conditionalFormatting sqref="L533:L535">
    <cfRule type="cellIs" dxfId="4500" priority="2355" stopIfTrue="1" operator="equal">
      <formula>0</formula>
    </cfRule>
    <cfRule type="cellIs" dxfId="4499" priority="2356" stopIfTrue="1" operator="greaterThanOrEqual">
      <formula>$H$6</formula>
    </cfRule>
    <cfRule type="cellIs" dxfId="4498" priority="2357" stopIfTrue="1" operator="between">
      <formula>0</formula>
      <formula>$H$6</formula>
    </cfRule>
  </conditionalFormatting>
  <conditionalFormatting sqref="U521:U522">
    <cfRule type="containsText" dxfId="4497" priority="2347" operator="containsText" text="NO CUMPLE">
      <formula>NOT(ISERROR(SEARCH("NO CUMPLE",U521)))</formula>
    </cfRule>
  </conditionalFormatting>
  <conditionalFormatting sqref="L521:L522">
    <cfRule type="cellIs" dxfId="4496" priority="2348" stopIfTrue="1" operator="equal">
      <formula>0</formula>
    </cfRule>
    <cfRule type="cellIs" dxfId="4495" priority="2349" stopIfTrue="1" operator="greaterThanOrEqual">
      <formula>$H$6</formula>
    </cfRule>
    <cfRule type="cellIs" dxfId="4494" priority="2350" stopIfTrue="1" operator="between">
      <formula>0</formula>
      <formula>$H$6</formula>
    </cfRule>
  </conditionalFormatting>
  <conditionalFormatting sqref="U536">
    <cfRule type="containsText" dxfId="4493" priority="2346" operator="containsText" text="NO CUMPLE">
      <formula>NOT(ISERROR(SEARCH("NO CUMPLE",U536)))</formula>
    </cfRule>
  </conditionalFormatting>
  <conditionalFormatting sqref="U537">
    <cfRule type="containsText" dxfId="4492" priority="2345" operator="containsText" text="NO CUMPLE">
      <formula>NOT(ISERROR(SEARCH("NO CUMPLE",U537)))</formula>
    </cfRule>
  </conditionalFormatting>
  <conditionalFormatting sqref="U550:U552">
    <cfRule type="containsText" dxfId="4491" priority="2341" operator="containsText" text="NO CUMPLE">
      <formula>NOT(ISERROR(SEARCH("NO CUMPLE",U550)))</formula>
    </cfRule>
  </conditionalFormatting>
  <conditionalFormatting sqref="I550:I551">
    <cfRule type="cellIs" dxfId="4490" priority="2338" operator="equal">
      <formula>"NA"</formula>
    </cfRule>
    <cfRule type="cellIs" dxfId="4489" priority="2339" operator="equal">
      <formula>"SI"</formula>
    </cfRule>
    <cfRule type="cellIs" dxfId="4488" priority="2340" operator="equal">
      <formula>"NO"</formula>
    </cfRule>
  </conditionalFormatting>
  <conditionalFormatting sqref="L550:L552">
    <cfRule type="cellIs" dxfId="4487" priority="2342" stopIfTrue="1" operator="equal">
      <formula>0</formula>
    </cfRule>
    <cfRule type="cellIs" dxfId="4486" priority="2343" stopIfTrue="1" operator="greaterThanOrEqual">
      <formula>$H$6</formula>
    </cfRule>
    <cfRule type="cellIs" dxfId="4485" priority="2344" stopIfTrue="1" operator="between">
      <formula>0</formula>
      <formula>$H$6</formula>
    </cfRule>
  </conditionalFormatting>
  <conditionalFormatting sqref="U538:U539">
    <cfRule type="containsText" dxfId="4484" priority="2334" operator="containsText" text="NO CUMPLE">
      <formula>NOT(ISERROR(SEARCH("NO CUMPLE",U538)))</formula>
    </cfRule>
  </conditionalFormatting>
  <conditionalFormatting sqref="L538:L539">
    <cfRule type="cellIs" dxfId="4483" priority="2335" stopIfTrue="1" operator="equal">
      <formula>0</formula>
    </cfRule>
    <cfRule type="cellIs" dxfId="4482" priority="2336" stopIfTrue="1" operator="greaterThanOrEqual">
      <formula>$H$6</formula>
    </cfRule>
    <cfRule type="cellIs" dxfId="4481" priority="2337" stopIfTrue="1" operator="between">
      <formula>0</formula>
      <formula>$H$6</formula>
    </cfRule>
  </conditionalFormatting>
  <conditionalFormatting sqref="U553">
    <cfRule type="containsText" dxfId="4480" priority="2333" operator="containsText" text="NO CUMPLE">
      <formula>NOT(ISERROR(SEARCH("NO CUMPLE",U553)))</formula>
    </cfRule>
  </conditionalFormatting>
  <conditionalFormatting sqref="U554">
    <cfRule type="containsText" dxfId="4479" priority="2332" operator="containsText" text="NO CUMPLE">
      <formula>NOT(ISERROR(SEARCH("NO CUMPLE",U554)))</formula>
    </cfRule>
  </conditionalFormatting>
  <conditionalFormatting sqref="U567:U569">
    <cfRule type="containsText" dxfId="4478" priority="2328" operator="containsText" text="NO CUMPLE">
      <formula>NOT(ISERROR(SEARCH("NO CUMPLE",U567)))</formula>
    </cfRule>
  </conditionalFormatting>
  <conditionalFormatting sqref="I567:I568">
    <cfRule type="cellIs" dxfId="4477" priority="2325" operator="equal">
      <formula>"NA"</formula>
    </cfRule>
    <cfRule type="cellIs" dxfId="4476" priority="2326" operator="equal">
      <formula>"SI"</formula>
    </cfRule>
    <cfRule type="cellIs" dxfId="4475" priority="2327" operator="equal">
      <formula>"NO"</formula>
    </cfRule>
  </conditionalFormatting>
  <conditionalFormatting sqref="L567:L569">
    <cfRule type="cellIs" dxfId="4474" priority="2329" stopIfTrue="1" operator="equal">
      <formula>0</formula>
    </cfRule>
    <cfRule type="cellIs" dxfId="4473" priority="2330" stopIfTrue="1" operator="greaterThanOrEqual">
      <formula>$H$6</formula>
    </cfRule>
    <cfRule type="cellIs" dxfId="4472" priority="2331" stopIfTrue="1" operator="between">
      <formula>0</formula>
      <formula>$H$6</formula>
    </cfRule>
  </conditionalFormatting>
  <conditionalFormatting sqref="U555:U556">
    <cfRule type="containsText" dxfId="4471" priority="2321" operator="containsText" text="NO CUMPLE">
      <formula>NOT(ISERROR(SEARCH("NO CUMPLE",U555)))</formula>
    </cfRule>
  </conditionalFormatting>
  <conditionalFormatting sqref="L555:L556">
    <cfRule type="cellIs" dxfId="4470" priority="2322" stopIfTrue="1" operator="equal">
      <formula>0</formula>
    </cfRule>
    <cfRule type="cellIs" dxfId="4469" priority="2323" stopIfTrue="1" operator="greaterThanOrEqual">
      <formula>$H$6</formula>
    </cfRule>
    <cfRule type="cellIs" dxfId="4468" priority="2324" stopIfTrue="1" operator="between">
      <formula>0</formula>
      <formula>$H$6</formula>
    </cfRule>
  </conditionalFormatting>
  <conditionalFormatting sqref="U570">
    <cfRule type="containsText" dxfId="4467" priority="2320" operator="containsText" text="NO CUMPLE">
      <formula>NOT(ISERROR(SEARCH("NO CUMPLE",U570)))</formula>
    </cfRule>
  </conditionalFormatting>
  <conditionalFormatting sqref="U571">
    <cfRule type="containsText" dxfId="4466" priority="2319" operator="containsText" text="NO CUMPLE">
      <formula>NOT(ISERROR(SEARCH("NO CUMPLE",U571)))</formula>
    </cfRule>
  </conditionalFormatting>
  <conditionalFormatting sqref="U584:U586">
    <cfRule type="containsText" dxfId="4465" priority="2315" operator="containsText" text="NO CUMPLE">
      <formula>NOT(ISERROR(SEARCH("NO CUMPLE",U584)))</formula>
    </cfRule>
  </conditionalFormatting>
  <conditionalFormatting sqref="I584:I585">
    <cfRule type="cellIs" dxfId="4464" priority="2312" operator="equal">
      <formula>"NA"</formula>
    </cfRule>
    <cfRule type="cellIs" dxfId="4463" priority="2313" operator="equal">
      <formula>"SI"</formula>
    </cfRule>
    <cfRule type="cellIs" dxfId="4462" priority="2314" operator="equal">
      <formula>"NO"</formula>
    </cfRule>
  </conditionalFormatting>
  <conditionalFormatting sqref="L584:L586">
    <cfRule type="cellIs" dxfId="4461" priority="2316" stopIfTrue="1" operator="equal">
      <formula>0</formula>
    </cfRule>
    <cfRule type="cellIs" dxfId="4460" priority="2317" stopIfTrue="1" operator="greaterThanOrEqual">
      <formula>$H$6</formula>
    </cfRule>
    <cfRule type="cellIs" dxfId="4459" priority="2318" stopIfTrue="1" operator="between">
      <formula>0</formula>
      <formula>$H$6</formula>
    </cfRule>
  </conditionalFormatting>
  <conditionalFormatting sqref="U572:U573">
    <cfRule type="containsText" dxfId="4458" priority="2308" operator="containsText" text="NO CUMPLE">
      <formula>NOT(ISERROR(SEARCH("NO CUMPLE",U572)))</formula>
    </cfRule>
  </conditionalFormatting>
  <conditionalFormatting sqref="L572:L573">
    <cfRule type="cellIs" dxfId="4457" priority="2309" stopIfTrue="1" operator="equal">
      <formula>0</formula>
    </cfRule>
    <cfRule type="cellIs" dxfId="4456" priority="2310" stopIfTrue="1" operator="greaterThanOrEqual">
      <formula>$H$6</formula>
    </cfRule>
    <cfRule type="cellIs" dxfId="4455" priority="2311" stopIfTrue="1" operator="between">
      <formula>0</formula>
      <formula>$H$6</formula>
    </cfRule>
  </conditionalFormatting>
  <conditionalFormatting sqref="U587">
    <cfRule type="containsText" dxfId="4454" priority="2307" operator="containsText" text="NO CUMPLE">
      <formula>NOT(ISERROR(SEARCH("NO CUMPLE",U587)))</formula>
    </cfRule>
  </conditionalFormatting>
  <conditionalFormatting sqref="U588">
    <cfRule type="containsText" dxfId="4453" priority="2306" operator="containsText" text="NO CUMPLE">
      <formula>NOT(ISERROR(SEARCH("NO CUMPLE",U588)))</formula>
    </cfRule>
  </conditionalFormatting>
  <conditionalFormatting sqref="U601:U603">
    <cfRule type="containsText" dxfId="4452" priority="2302" operator="containsText" text="NO CUMPLE">
      <formula>NOT(ISERROR(SEARCH("NO CUMPLE",U601)))</formula>
    </cfRule>
  </conditionalFormatting>
  <conditionalFormatting sqref="I601:I602">
    <cfRule type="cellIs" dxfId="4451" priority="2299" operator="equal">
      <formula>"NA"</formula>
    </cfRule>
    <cfRule type="cellIs" dxfId="4450" priority="2300" operator="equal">
      <formula>"SI"</formula>
    </cfRule>
    <cfRule type="cellIs" dxfId="4449" priority="2301" operator="equal">
      <formula>"NO"</formula>
    </cfRule>
  </conditionalFormatting>
  <conditionalFormatting sqref="L601:L603">
    <cfRule type="cellIs" dxfId="4448" priority="2303" stopIfTrue="1" operator="equal">
      <formula>0</formula>
    </cfRule>
    <cfRule type="cellIs" dxfId="4447" priority="2304" stopIfTrue="1" operator="greaterThanOrEqual">
      <formula>$H$6</formula>
    </cfRule>
    <cfRule type="cellIs" dxfId="4446" priority="2305" stopIfTrue="1" operator="between">
      <formula>0</formula>
      <formula>$H$6</formula>
    </cfRule>
  </conditionalFormatting>
  <conditionalFormatting sqref="U589:U590">
    <cfRule type="containsText" dxfId="4445" priority="2295" operator="containsText" text="NO CUMPLE">
      <formula>NOT(ISERROR(SEARCH("NO CUMPLE",U589)))</formula>
    </cfRule>
  </conditionalFormatting>
  <conditionalFormatting sqref="L589:L590">
    <cfRule type="cellIs" dxfId="4444" priority="2296" stopIfTrue="1" operator="equal">
      <formula>0</formula>
    </cfRule>
    <cfRule type="cellIs" dxfId="4443" priority="2297" stopIfTrue="1" operator="greaterThanOrEqual">
      <formula>$H$6</formula>
    </cfRule>
    <cfRule type="cellIs" dxfId="4442" priority="2298" stopIfTrue="1" operator="between">
      <formula>0</formula>
      <formula>$H$6</formula>
    </cfRule>
  </conditionalFormatting>
  <conditionalFormatting sqref="U604">
    <cfRule type="containsText" dxfId="4441" priority="2294" operator="containsText" text="NO CUMPLE">
      <formula>NOT(ISERROR(SEARCH("NO CUMPLE",U604)))</formula>
    </cfRule>
  </conditionalFormatting>
  <conditionalFormatting sqref="U605">
    <cfRule type="containsText" dxfId="4440" priority="2293" operator="containsText" text="NO CUMPLE">
      <formula>NOT(ISERROR(SEARCH("NO CUMPLE",U605)))</formula>
    </cfRule>
  </conditionalFormatting>
  <conditionalFormatting sqref="U618:U620">
    <cfRule type="containsText" dxfId="4439" priority="2289" operator="containsText" text="NO CUMPLE">
      <formula>NOT(ISERROR(SEARCH("NO CUMPLE",U618)))</formula>
    </cfRule>
  </conditionalFormatting>
  <conditionalFormatting sqref="I618:I619">
    <cfRule type="cellIs" dxfId="4438" priority="2286" operator="equal">
      <formula>"NA"</formula>
    </cfRule>
    <cfRule type="cellIs" dxfId="4437" priority="2287" operator="equal">
      <formula>"SI"</formula>
    </cfRule>
    <cfRule type="cellIs" dxfId="4436" priority="2288" operator="equal">
      <formula>"NO"</formula>
    </cfRule>
  </conditionalFormatting>
  <conditionalFormatting sqref="L618:L620">
    <cfRule type="cellIs" dxfId="4435" priority="2290" stopIfTrue="1" operator="equal">
      <formula>0</formula>
    </cfRule>
    <cfRule type="cellIs" dxfId="4434" priority="2291" stopIfTrue="1" operator="greaterThanOrEqual">
      <formula>$H$6</formula>
    </cfRule>
    <cfRule type="cellIs" dxfId="4433" priority="2292" stopIfTrue="1" operator="between">
      <formula>0</formula>
      <formula>$H$6</formula>
    </cfRule>
  </conditionalFormatting>
  <conditionalFormatting sqref="U606:U607">
    <cfRule type="containsText" dxfId="4432" priority="2282" operator="containsText" text="NO CUMPLE">
      <formula>NOT(ISERROR(SEARCH("NO CUMPLE",U606)))</formula>
    </cfRule>
  </conditionalFormatting>
  <conditionalFormatting sqref="L606:L607">
    <cfRule type="cellIs" dxfId="4431" priority="2283" stopIfTrue="1" operator="equal">
      <formula>0</formula>
    </cfRule>
    <cfRule type="cellIs" dxfId="4430" priority="2284" stopIfTrue="1" operator="greaterThanOrEqual">
      <formula>$H$6</formula>
    </cfRule>
    <cfRule type="cellIs" dxfId="4429" priority="2285" stopIfTrue="1" operator="between">
      <formula>0</formula>
      <formula>$H$6</formula>
    </cfRule>
  </conditionalFormatting>
  <conditionalFormatting sqref="U621">
    <cfRule type="containsText" dxfId="4428" priority="2281" operator="containsText" text="NO CUMPLE">
      <formula>NOT(ISERROR(SEARCH("NO CUMPLE",U621)))</formula>
    </cfRule>
  </conditionalFormatting>
  <conditionalFormatting sqref="U622">
    <cfRule type="containsText" dxfId="4427" priority="2280" operator="containsText" text="NO CUMPLE">
      <formula>NOT(ISERROR(SEARCH("NO CUMPLE",U622)))</formula>
    </cfRule>
  </conditionalFormatting>
  <conditionalFormatting sqref="U635:U637">
    <cfRule type="containsText" dxfId="4426" priority="2276" operator="containsText" text="NO CUMPLE">
      <formula>NOT(ISERROR(SEARCH("NO CUMPLE",U635)))</formula>
    </cfRule>
  </conditionalFormatting>
  <conditionalFormatting sqref="I635:I636">
    <cfRule type="cellIs" dxfId="4425" priority="2273" operator="equal">
      <formula>"NA"</formula>
    </cfRule>
    <cfRule type="cellIs" dxfId="4424" priority="2274" operator="equal">
      <formula>"SI"</formula>
    </cfRule>
    <cfRule type="cellIs" dxfId="4423" priority="2275" operator="equal">
      <formula>"NO"</formula>
    </cfRule>
  </conditionalFormatting>
  <conditionalFormatting sqref="L635:L637">
    <cfRule type="cellIs" dxfId="4422" priority="2277" stopIfTrue="1" operator="equal">
      <formula>0</formula>
    </cfRule>
    <cfRule type="cellIs" dxfId="4421" priority="2278" stopIfTrue="1" operator="greaterThanOrEqual">
      <formula>$H$6</formula>
    </cfRule>
    <cfRule type="cellIs" dxfId="4420" priority="2279" stopIfTrue="1" operator="between">
      <formula>0</formula>
      <formula>$H$6</formula>
    </cfRule>
  </conditionalFormatting>
  <conditionalFormatting sqref="U623:U624">
    <cfRule type="containsText" dxfId="4419" priority="2269" operator="containsText" text="NO CUMPLE">
      <formula>NOT(ISERROR(SEARCH("NO CUMPLE",U623)))</formula>
    </cfRule>
  </conditionalFormatting>
  <conditionalFormatting sqref="L623:L624">
    <cfRule type="cellIs" dxfId="4418" priority="2270" stopIfTrue="1" operator="equal">
      <formula>0</formula>
    </cfRule>
    <cfRule type="cellIs" dxfId="4417" priority="2271" stopIfTrue="1" operator="greaterThanOrEqual">
      <formula>$H$6</formula>
    </cfRule>
    <cfRule type="cellIs" dxfId="4416" priority="2272" stopIfTrue="1" operator="between">
      <formula>0</formula>
      <formula>$H$6</formula>
    </cfRule>
  </conditionalFormatting>
  <conditionalFormatting sqref="U638">
    <cfRule type="containsText" dxfId="4415" priority="2268" operator="containsText" text="NO CUMPLE">
      <formula>NOT(ISERROR(SEARCH("NO CUMPLE",U638)))</formula>
    </cfRule>
  </conditionalFormatting>
  <conditionalFormatting sqref="U639">
    <cfRule type="containsText" dxfId="4414" priority="2267" operator="containsText" text="NO CUMPLE">
      <formula>NOT(ISERROR(SEARCH("NO CUMPLE",U639)))</formula>
    </cfRule>
  </conditionalFormatting>
  <conditionalFormatting sqref="U652:U654">
    <cfRule type="containsText" dxfId="4413" priority="2263" operator="containsText" text="NO CUMPLE">
      <formula>NOT(ISERROR(SEARCH("NO CUMPLE",U652)))</formula>
    </cfRule>
  </conditionalFormatting>
  <conditionalFormatting sqref="I652:I653">
    <cfRule type="cellIs" dxfId="4412" priority="2260" operator="equal">
      <formula>"NA"</formula>
    </cfRule>
    <cfRule type="cellIs" dxfId="4411" priority="2261" operator="equal">
      <formula>"SI"</formula>
    </cfRule>
    <cfRule type="cellIs" dxfId="4410" priority="2262" operator="equal">
      <formula>"NO"</formula>
    </cfRule>
  </conditionalFormatting>
  <conditionalFormatting sqref="L652:L654">
    <cfRule type="cellIs" dxfId="4409" priority="2264" stopIfTrue="1" operator="equal">
      <formula>0</formula>
    </cfRule>
    <cfRule type="cellIs" dxfId="4408" priority="2265" stopIfTrue="1" operator="greaterThanOrEqual">
      <formula>$H$6</formula>
    </cfRule>
    <cfRule type="cellIs" dxfId="4407" priority="2266" stopIfTrue="1" operator="between">
      <formula>0</formula>
      <formula>$H$6</formula>
    </cfRule>
  </conditionalFormatting>
  <conditionalFormatting sqref="U640:U641">
    <cfRule type="containsText" dxfId="4406" priority="2256" operator="containsText" text="NO CUMPLE">
      <formula>NOT(ISERROR(SEARCH("NO CUMPLE",U640)))</formula>
    </cfRule>
  </conditionalFormatting>
  <conditionalFormatting sqref="L640:L641">
    <cfRule type="cellIs" dxfId="4405" priority="2257" stopIfTrue="1" operator="equal">
      <formula>0</formula>
    </cfRule>
    <cfRule type="cellIs" dxfId="4404" priority="2258" stopIfTrue="1" operator="greaterThanOrEqual">
      <formula>$H$6</formula>
    </cfRule>
    <cfRule type="cellIs" dxfId="4403" priority="2259" stopIfTrue="1" operator="between">
      <formula>0</formula>
      <formula>$H$6</formula>
    </cfRule>
  </conditionalFormatting>
  <conditionalFormatting sqref="U655">
    <cfRule type="containsText" dxfId="4402" priority="2255" operator="containsText" text="NO CUMPLE">
      <formula>NOT(ISERROR(SEARCH("NO CUMPLE",U655)))</formula>
    </cfRule>
  </conditionalFormatting>
  <conditionalFormatting sqref="U656">
    <cfRule type="containsText" dxfId="4401" priority="2254" operator="containsText" text="NO CUMPLE">
      <formula>NOT(ISERROR(SEARCH("NO CUMPLE",U656)))</formula>
    </cfRule>
  </conditionalFormatting>
  <conditionalFormatting sqref="U669:U671">
    <cfRule type="containsText" dxfId="4400" priority="2250" operator="containsText" text="NO CUMPLE">
      <formula>NOT(ISERROR(SEARCH("NO CUMPLE",U669)))</formula>
    </cfRule>
  </conditionalFormatting>
  <conditionalFormatting sqref="I669:I670">
    <cfRule type="cellIs" dxfId="4399" priority="2247" operator="equal">
      <formula>"NA"</formula>
    </cfRule>
    <cfRule type="cellIs" dxfId="4398" priority="2248" operator="equal">
      <formula>"SI"</formula>
    </cfRule>
    <cfRule type="cellIs" dxfId="4397" priority="2249" operator="equal">
      <formula>"NO"</formula>
    </cfRule>
  </conditionalFormatting>
  <conditionalFormatting sqref="L669:L671">
    <cfRule type="cellIs" dxfId="4396" priority="2251" stopIfTrue="1" operator="equal">
      <formula>0</formula>
    </cfRule>
    <cfRule type="cellIs" dxfId="4395" priority="2252" stopIfTrue="1" operator="greaterThanOrEqual">
      <formula>$H$6</formula>
    </cfRule>
    <cfRule type="cellIs" dxfId="4394" priority="2253" stopIfTrue="1" operator="between">
      <formula>0</formula>
      <formula>$H$6</formula>
    </cfRule>
  </conditionalFormatting>
  <conditionalFormatting sqref="U657:U658">
    <cfRule type="containsText" dxfId="4393" priority="2243" operator="containsText" text="NO CUMPLE">
      <formula>NOT(ISERROR(SEARCH("NO CUMPLE",U657)))</formula>
    </cfRule>
  </conditionalFormatting>
  <conditionalFormatting sqref="L657:L658">
    <cfRule type="cellIs" dxfId="4392" priority="2244" stopIfTrue="1" operator="equal">
      <formula>0</formula>
    </cfRule>
    <cfRule type="cellIs" dxfId="4391" priority="2245" stopIfTrue="1" operator="greaterThanOrEqual">
      <formula>$H$6</formula>
    </cfRule>
    <cfRule type="cellIs" dxfId="4390" priority="2246" stopIfTrue="1" operator="between">
      <formula>0</formula>
      <formula>$H$6</formula>
    </cfRule>
  </conditionalFormatting>
  <conditionalFormatting sqref="U672">
    <cfRule type="containsText" dxfId="4389" priority="2242" operator="containsText" text="NO CUMPLE">
      <formula>NOT(ISERROR(SEARCH("NO CUMPLE",U672)))</formula>
    </cfRule>
  </conditionalFormatting>
  <conditionalFormatting sqref="U673">
    <cfRule type="containsText" dxfId="4388" priority="2241" operator="containsText" text="NO CUMPLE">
      <formula>NOT(ISERROR(SEARCH("NO CUMPLE",U673)))</formula>
    </cfRule>
  </conditionalFormatting>
  <conditionalFormatting sqref="U686:U688">
    <cfRule type="containsText" dxfId="4387" priority="2237" operator="containsText" text="NO CUMPLE">
      <formula>NOT(ISERROR(SEARCH("NO CUMPLE",U686)))</formula>
    </cfRule>
  </conditionalFormatting>
  <conditionalFormatting sqref="I686:I687">
    <cfRule type="cellIs" dxfId="4386" priority="2234" operator="equal">
      <formula>"NA"</formula>
    </cfRule>
    <cfRule type="cellIs" dxfId="4385" priority="2235" operator="equal">
      <formula>"SI"</formula>
    </cfRule>
    <cfRule type="cellIs" dxfId="4384" priority="2236" operator="equal">
      <formula>"NO"</formula>
    </cfRule>
  </conditionalFormatting>
  <conditionalFormatting sqref="L686:L688">
    <cfRule type="cellIs" dxfId="4383" priority="2238" stopIfTrue="1" operator="equal">
      <formula>0</formula>
    </cfRule>
    <cfRule type="cellIs" dxfId="4382" priority="2239" stopIfTrue="1" operator="greaterThanOrEqual">
      <formula>$H$6</formula>
    </cfRule>
    <cfRule type="cellIs" dxfId="4381" priority="2240" stopIfTrue="1" operator="between">
      <formula>0</formula>
      <formula>$H$6</formula>
    </cfRule>
  </conditionalFormatting>
  <conditionalFormatting sqref="U674:U675">
    <cfRule type="containsText" dxfId="4380" priority="2230" operator="containsText" text="NO CUMPLE">
      <formula>NOT(ISERROR(SEARCH("NO CUMPLE",U674)))</formula>
    </cfRule>
  </conditionalFormatting>
  <conditionalFormatting sqref="L674:L675">
    <cfRule type="cellIs" dxfId="4379" priority="2231" stopIfTrue="1" operator="equal">
      <formula>0</formula>
    </cfRule>
    <cfRule type="cellIs" dxfId="4378" priority="2232" stopIfTrue="1" operator="greaterThanOrEqual">
      <formula>$H$6</formula>
    </cfRule>
    <cfRule type="cellIs" dxfId="4377" priority="2233" stopIfTrue="1" operator="between">
      <formula>0</formula>
      <formula>$H$6</formula>
    </cfRule>
  </conditionalFormatting>
  <conditionalFormatting sqref="U689">
    <cfRule type="containsText" dxfId="4376" priority="2229" operator="containsText" text="NO CUMPLE">
      <formula>NOT(ISERROR(SEARCH("NO CUMPLE",U689)))</formula>
    </cfRule>
  </conditionalFormatting>
  <conditionalFormatting sqref="U690">
    <cfRule type="containsText" dxfId="4375" priority="2228" operator="containsText" text="NO CUMPLE">
      <formula>NOT(ISERROR(SEARCH("NO CUMPLE",U690)))</formula>
    </cfRule>
  </conditionalFormatting>
  <conditionalFormatting sqref="U703:U705">
    <cfRule type="containsText" dxfId="4374" priority="2224" operator="containsText" text="NO CUMPLE">
      <formula>NOT(ISERROR(SEARCH("NO CUMPLE",U703)))</formula>
    </cfRule>
  </conditionalFormatting>
  <conditionalFormatting sqref="I703:I704">
    <cfRule type="cellIs" dxfId="4373" priority="2221" operator="equal">
      <formula>"NA"</formula>
    </cfRule>
    <cfRule type="cellIs" dxfId="4372" priority="2222" operator="equal">
      <formula>"SI"</formula>
    </cfRule>
    <cfRule type="cellIs" dxfId="4371" priority="2223" operator="equal">
      <formula>"NO"</formula>
    </cfRule>
  </conditionalFormatting>
  <conditionalFormatting sqref="L703:L705">
    <cfRule type="cellIs" dxfId="4370" priority="2225" stopIfTrue="1" operator="equal">
      <formula>0</formula>
    </cfRule>
    <cfRule type="cellIs" dxfId="4369" priority="2226" stopIfTrue="1" operator="greaterThanOrEqual">
      <formula>$H$6</formula>
    </cfRule>
    <cfRule type="cellIs" dxfId="4368" priority="2227" stopIfTrue="1" operator="between">
      <formula>0</formula>
      <formula>$H$6</formula>
    </cfRule>
  </conditionalFormatting>
  <conditionalFormatting sqref="U691:U692">
    <cfRule type="containsText" dxfId="4367" priority="2217" operator="containsText" text="NO CUMPLE">
      <formula>NOT(ISERROR(SEARCH("NO CUMPLE",U691)))</formula>
    </cfRule>
  </conditionalFormatting>
  <conditionalFormatting sqref="L691:L692">
    <cfRule type="cellIs" dxfId="4366" priority="2218" stopIfTrue="1" operator="equal">
      <formula>0</formula>
    </cfRule>
    <cfRule type="cellIs" dxfId="4365" priority="2219" stopIfTrue="1" operator="greaterThanOrEqual">
      <formula>$H$6</formula>
    </cfRule>
    <cfRule type="cellIs" dxfId="4364" priority="2220" stopIfTrue="1" operator="between">
      <formula>0</formula>
      <formula>$H$6</formula>
    </cfRule>
  </conditionalFormatting>
  <conditionalFormatting sqref="U706">
    <cfRule type="containsText" dxfId="4363" priority="2216" operator="containsText" text="NO CUMPLE">
      <formula>NOT(ISERROR(SEARCH("NO CUMPLE",U706)))</formula>
    </cfRule>
  </conditionalFormatting>
  <conditionalFormatting sqref="U707">
    <cfRule type="containsText" dxfId="4362" priority="2215" operator="containsText" text="NO CUMPLE">
      <formula>NOT(ISERROR(SEARCH("NO CUMPLE",U707)))</formula>
    </cfRule>
  </conditionalFormatting>
  <conditionalFormatting sqref="U720:U722">
    <cfRule type="containsText" dxfId="4361" priority="2211" operator="containsText" text="NO CUMPLE">
      <formula>NOT(ISERROR(SEARCH("NO CUMPLE",U720)))</formula>
    </cfRule>
  </conditionalFormatting>
  <conditionalFormatting sqref="I720:I721">
    <cfRule type="cellIs" dxfId="4360" priority="2208" operator="equal">
      <formula>"NA"</formula>
    </cfRule>
    <cfRule type="cellIs" dxfId="4359" priority="2209" operator="equal">
      <formula>"SI"</formula>
    </cfRule>
    <cfRule type="cellIs" dxfId="4358" priority="2210" operator="equal">
      <formula>"NO"</formula>
    </cfRule>
  </conditionalFormatting>
  <conditionalFormatting sqref="L720:L722">
    <cfRule type="cellIs" dxfId="4357" priority="2212" stopIfTrue="1" operator="equal">
      <formula>0</formula>
    </cfRule>
    <cfRule type="cellIs" dxfId="4356" priority="2213" stopIfTrue="1" operator="greaterThanOrEqual">
      <formula>$H$6</formula>
    </cfRule>
    <cfRule type="cellIs" dxfId="4355" priority="2214" stopIfTrue="1" operator="between">
      <formula>0</formula>
      <formula>$H$6</formula>
    </cfRule>
  </conditionalFormatting>
  <conditionalFormatting sqref="U708:U709">
    <cfRule type="containsText" dxfId="4354" priority="2204" operator="containsText" text="NO CUMPLE">
      <formula>NOT(ISERROR(SEARCH("NO CUMPLE",U708)))</formula>
    </cfRule>
  </conditionalFormatting>
  <conditionalFormatting sqref="L708:L709">
    <cfRule type="cellIs" dxfId="4353" priority="2205" stopIfTrue="1" operator="equal">
      <formula>0</formula>
    </cfRule>
    <cfRule type="cellIs" dxfId="4352" priority="2206" stopIfTrue="1" operator="greaterThanOrEqual">
      <formula>$H$6</formula>
    </cfRule>
    <cfRule type="cellIs" dxfId="4351" priority="2207" stopIfTrue="1" operator="between">
      <formula>0</formula>
      <formula>$H$6</formula>
    </cfRule>
  </conditionalFormatting>
  <conditionalFormatting sqref="U723">
    <cfRule type="containsText" dxfId="4350" priority="2203" operator="containsText" text="NO CUMPLE">
      <formula>NOT(ISERROR(SEARCH("NO CUMPLE",U723)))</formula>
    </cfRule>
  </conditionalFormatting>
  <conditionalFormatting sqref="U724">
    <cfRule type="containsText" dxfId="4349" priority="2202" operator="containsText" text="NO CUMPLE">
      <formula>NOT(ISERROR(SEARCH("NO CUMPLE",U724)))</formula>
    </cfRule>
  </conditionalFormatting>
  <conditionalFormatting sqref="U737:U739">
    <cfRule type="containsText" dxfId="4348" priority="2198" operator="containsText" text="NO CUMPLE">
      <formula>NOT(ISERROR(SEARCH("NO CUMPLE",U737)))</formula>
    </cfRule>
  </conditionalFormatting>
  <conditionalFormatting sqref="I737:I738">
    <cfRule type="cellIs" dxfId="4347" priority="2195" operator="equal">
      <formula>"NA"</formula>
    </cfRule>
    <cfRule type="cellIs" dxfId="4346" priority="2196" operator="equal">
      <formula>"SI"</formula>
    </cfRule>
    <cfRule type="cellIs" dxfId="4345" priority="2197" operator="equal">
      <formula>"NO"</formula>
    </cfRule>
  </conditionalFormatting>
  <conditionalFormatting sqref="L737:L739">
    <cfRule type="cellIs" dxfId="4344" priority="2199" stopIfTrue="1" operator="equal">
      <formula>0</formula>
    </cfRule>
    <cfRule type="cellIs" dxfId="4343" priority="2200" stopIfTrue="1" operator="greaterThanOrEqual">
      <formula>$H$6</formula>
    </cfRule>
    <cfRule type="cellIs" dxfId="4342" priority="2201" stopIfTrue="1" operator="between">
      <formula>0</formula>
      <formula>$H$6</formula>
    </cfRule>
  </conditionalFormatting>
  <conditionalFormatting sqref="U725:U726">
    <cfRule type="containsText" dxfId="4341" priority="2191" operator="containsText" text="NO CUMPLE">
      <formula>NOT(ISERROR(SEARCH("NO CUMPLE",U725)))</formula>
    </cfRule>
  </conditionalFormatting>
  <conditionalFormatting sqref="L725:L726">
    <cfRule type="cellIs" dxfId="4340" priority="2192" stopIfTrue="1" operator="equal">
      <formula>0</formula>
    </cfRule>
    <cfRule type="cellIs" dxfId="4339" priority="2193" stopIfTrue="1" operator="greaterThanOrEqual">
      <formula>$H$6</formula>
    </cfRule>
    <cfRule type="cellIs" dxfId="4338" priority="2194" stopIfTrue="1" operator="between">
      <formula>0</formula>
      <formula>$H$6</formula>
    </cfRule>
  </conditionalFormatting>
  <conditionalFormatting sqref="U740">
    <cfRule type="containsText" dxfId="4337" priority="2190" operator="containsText" text="NO CUMPLE">
      <formula>NOT(ISERROR(SEARCH("NO CUMPLE",U740)))</formula>
    </cfRule>
  </conditionalFormatting>
  <conditionalFormatting sqref="U741">
    <cfRule type="containsText" dxfId="4336" priority="2189" operator="containsText" text="NO CUMPLE">
      <formula>NOT(ISERROR(SEARCH("NO CUMPLE",U741)))</formula>
    </cfRule>
  </conditionalFormatting>
  <conditionalFormatting sqref="U754:U756">
    <cfRule type="containsText" dxfId="4335" priority="2185" operator="containsText" text="NO CUMPLE">
      <formula>NOT(ISERROR(SEARCH("NO CUMPLE",U754)))</formula>
    </cfRule>
  </conditionalFormatting>
  <conditionalFormatting sqref="I754:I755">
    <cfRule type="cellIs" dxfId="4334" priority="2182" operator="equal">
      <formula>"NA"</formula>
    </cfRule>
    <cfRule type="cellIs" dxfId="4333" priority="2183" operator="equal">
      <formula>"SI"</formula>
    </cfRule>
    <cfRule type="cellIs" dxfId="4332" priority="2184" operator="equal">
      <formula>"NO"</formula>
    </cfRule>
  </conditionalFormatting>
  <conditionalFormatting sqref="L754:L756">
    <cfRule type="cellIs" dxfId="4331" priority="2186" stopIfTrue="1" operator="equal">
      <formula>0</formula>
    </cfRule>
    <cfRule type="cellIs" dxfId="4330" priority="2187" stopIfTrue="1" operator="greaterThanOrEqual">
      <formula>$H$6</formula>
    </cfRule>
    <cfRule type="cellIs" dxfId="4329" priority="2188" stopIfTrue="1" operator="between">
      <formula>0</formula>
      <formula>$H$6</formula>
    </cfRule>
  </conditionalFormatting>
  <conditionalFormatting sqref="U742:U743">
    <cfRule type="containsText" dxfId="4328" priority="2178" operator="containsText" text="NO CUMPLE">
      <formula>NOT(ISERROR(SEARCH("NO CUMPLE",U742)))</formula>
    </cfRule>
  </conditionalFormatting>
  <conditionalFormatting sqref="L742:L743">
    <cfRule type="cellIs" dxfId="4327" priority="2179" stopIfTrue="1" operator="equal">
      <formula>0</formula>
    </cfRule>
    <cfRule type="cellIs" dxfId="4326" priority="2180" stopIfTrue="1" operator="greaterThanOrEqual">
      <formula>$H$6</formula>
    </cfRule>
    <cfRule type="cellIs" dxfId="4325" priority="2181" stopIfTrue="1" operator="between">
      <formula>0</formula>
      <formula>$H$6</formula>
    </cfRule>
  </conditionalFormatting>
  <conditionalFormatting sqref="U757">
    <cfRule type="containsText" dxfId="4324" priority="2177" operator="containsText" text="NO CUMPLE">
      <formula>NOT(ISERROR(SEARCH("NO CUMPLE",U757)))</formula>
    </cfRule>
  </conditionalFormatting>
  <conditionalFormatting sqref="U758">
    <cfRule type="containsText" dxfId="4323" priority="2176" operator="containsText" text="NO CUMPLE">
      <formula>NOT(ISERROR(SEARCH("NO CUMPLE",U758)))</formula>
    </cfRule>
  </conditionalFormatting>
  <conditionalFormatting sqref="U771:U773">
    <cfRule type="containsText" dxfId="4322" priority="2172" operator="containsText" text="NO CUMPLE">
      <formula>NOT(ISERROR(SEARCH("NO CUMPLE",U771)))</formula>
    </cfRule>
  </conditionalFormatting>
  <conditionalFormatting sqref="I771:I772">
    <cfRule type="cellIs" dxfId="4321" priority="2169" operator="equal">
      <formula>"NA"</formula>
    </cfRule>
    <cfRule type="cellIs" dxfId="4320" priority="2170" operator="equal">
      <formula>"SI"</formula>
    </cfRule>
    <cfRule type="cellIs" dxfId="4319" priority="2171" operator="equal">
      <formula>"NO"</formula>
    </cfRule>
  </conditionalFormatting>
  <conditionalFormatting sqref="L771:L773">
    <cfRule type="cellIs" dxfId="4318" priority="2173" stopIfTrue="1" operator="equal">
      <formula>0</formula>
    </cfRule>
    <cfRule type="cellIs" dxfId="4317" priority="2174" stopIfTrue="1" operator="greaterThanOrEqual">
      <formula>$H$6</formula>
    </cfRule>
    <cfRule type="cellIs" dxfId="4316" priority="2175" stopIfTrue="1" operator="between">
      <formula>0</formula>
      <formula>$H$6</formula>
    </cfRule>
  </conditionalFormatting>
  <conditionalFormatting sqref="U759:U760">
    <cfRule type="containsText" dxfId="4315" priority="2165" operator="containsText" text="NO CUMPLE">
      <formula>NOT(ISERROR(SEARCH("NO CUMPLE",U759)))</formula>
    </cfRule>
  </conditionalFormatting>
  <conditionalFormatting sqref="L759:L760">
    <cfRule type="cellIs" dxfId="4314" priority="2166" stopIfTrue="1" operator="equal">
      <formula>0</formula>
    </cfRule>
    <cfRule type="cellIs" dxfId="4313" priority="2167" stopIfTrue="1" operator="greaterThanOrEqual">
      <formula>$H$6</formula>
    </cfRule>
    <cfRule type="cellIs" dxfId="4312" priority="2168" stopIfTrue="1" operator="between">
      <formula>0</formula>
      <formula>$H$6</formula>
    </cfRule>
  </conditionalFormatting>
  <conditionalFormatting sqref="U774">
    <cfRule type="containsText" dxfId="4311" priority="2164" operator="containsText" text="NO CUMPLE">
      <formula>NOT(ISERROR(SEARCH("NO CUMPLE",U774)))</formula>
    </cfRule>
  </conditionalFormatting>
  <conditionalFormatting sqref="U775">
    <cfRule type="containsText" dxfId="4310" priority="2163" operator="containsText" text="NO CUMPLE">
      <formula>NOT(ISERROR(SEARCH("NO CUMPLE",U775)))</formula>
    </cfRule>
  </conditionalFormatting>
  <conditionalFormatting sqref="U788:U790">
    <cfRule type="containsText" dxfId="4309" priority="2159" operator="containsText" text="NO CUMPLE">
      <formula>NOT(ISERROR(SEARCH("NO CUMPLE",U788)))</formula>
    </cfRule>
  </conditionalFormatting>
  <conditionalFormatting sqref="I788:I789">
    <cfRule type="cellIs" dxfId="4308" priority="2156" operator="equal">
      <formula>"NA"</formula>
    </cfRule>
    <cfRule type="cellIs" dxfId="4307" priority="2157" operator="equal">
      <formula>"SI"</formula>
    </cfRule>
    <cfRule type="cellIs" dxfId="4306" priority="2158" operator="equal">
      <formula>"NO"</formula>
    </cfRule>
  </conditionalFormatting>
  <conditionalFormatting sqref="L788:L790">
    <cfRule type="cellIs" dxfId="4305" priority="2160" stopIfTrue="1" operator="equal">
      <formula>0</formula>
    </cfRule>
    <cfRule type="cellIs" dxfId="4304" priority="2161" stopIfTrue="1" operator="greaterThanOrEqual">
      <formula>$H$6</formula>
    </cfRule>
    <cfRule type="cellIs" dxfId="4303" priority="2162" stopIfTrue="1" operator="between">
      <formula>0</formula>
      <formula>$H$6</formula>
    </cfRule>
  </conditionalFormatting>
  <conditionalFormatting sqref="U776:U777">
    <cfRule type="containsText" dxfId="4302" priority="2152" operator="containsText" text="NO CUMPLE">
      <formula>NOT(ISERROR(SEARCH("NO CUMPLE",U776)))</formula>
    </cfRule>
  </conditionalFormatting>
  <conditionalFormatting sqref="L776:L777">
    <cfRule type="cellIs" dxfId="4301" priority="2153" stopIfTrue="1" operator="equal">
      <formula>0</formula>
    </cfRule>
    <cfRule type="cellIs" dxfId="4300" priority="2154" stopIfTrue="1" operator="greaterThanOrEqual">
      <formula>$H$6</formula>
    </cfRule>
    <cfRule type="cellIs" dxfId="4299" priority="2155" stopIfTrue="1" operator="between">
      <formula>0</formula>
      <formula>$H$6</formula>
    </cfRule>
  </conditionalFormatting>
  <conditionalFormatting sqref="U791">
    <cfRule type="containsText" dxfId="4298" priority="2151" operator="containsText" text="NO CUMPLE">
      <formula>NOT(ISERROR(SEARCH("NO CUMPLE",U791)))</formula>
    </cfRule>
  </conditionalFormatting>
  <conditionalFormatting sqref="U792">
    <cfRule type="containsText" dxfId="4297" priority="2150" operator="containsText" text="NO CUMPLE">
      <formula>NOT(ISERROR(SEARCH("NO CUMPLE",U792)))</formula>
    </cfRule>
  </conditionalFormatting>
  <conditionalFormatting sqref="U805:U807">
    <cfRule type="containsText" dxfId="4296" priority="2146" operator="containsText" text="NO CUMPLE">
      <formula>NOT(ISERROR(SEARCH("NO CUMPLE",U805)))</formula>
    </cfRule>
  </conditionalFormatting>
  <conditionalFormatting sqref="I805:I806">
    <cfRule type="cellIs" dxfId="4295" priority="2143" operator="equal">
      <formula>"NA"</formula>
    </cfRule>
    <cfRule type="cellIs" dxfId="4294" priority="2144" operator="equal">
      <formula>"SI"</formula>
    </cfRule>
    <cfRule type="cellIs" dxfId="4293" priority="2145" operator="equal">
      <formula>"NO"</formula>
    </cfRule>
  </conditionalFormatting>
  <conditionalFormatting sqref="L805:L807">
    <cfRule type="cellIs" dxfId="4292" priority="2147" stopIfTrue="1" operator="equal">
      <formula>0</formula>
    </cfRule>
    <cfRule type="cellIs" dxfId="4291" priority="2148" stopIfTrue="1" operator="greaterThanOrEqual">
      <formula>$H$6</formula>
    </cfRule>
    <cfRule type="cellIs" dxfId="4290" priority="2149" stopIfTrue="1" operator="between">
      <formula>0</formula>
      <formula>$H$6</formula>
    </cfRule>
  </conditionalFormatting>
  <conditionalFormatting sqref="U793:U794">
    <cfRule type="containsText" dxfId="4289" priority="2139" operator="containsText" text="NO CUMPLE">
      <formula>NOT(ISERROR(SEARCH("NO CUMPLE",U793)))</formula>
    </cfRule>
  </conditionalFormatting>
  <conditionalFormatting sqref="L793:L794">
    <cfRule type="cellIs" dxfId="4288" priority="2140" stopIfTrue="1" operator="equal">
      <formula>0</formula>
    </cfRule>
    <cfRule type="cellIs" dxfId="4287" priority="2141" stopIfTrue="1" operator="greaterThanOrEqual">
      <formula>$H$6</formula>
    </cfRule>
    <cfRule type="cellIs" dxfId="4286" priority="2142" stopIfTrue="1" operator="between">
      <formula>0</formula>
      <formula>$H$6</formula>
    </cfRule>
  </conditionalFormatting>
  <conditionalFormatting sqref="U808">
    <cfRule type="containsText" dxfId="4285" priority="2138" operator="containsText" text="NO CUMPLE">
      <formula>NOT(ISERROR(SEARCH("NO CUMPLE",U808)))</formula>
    </cfRule>
  </conditionalFormatting>
  <conditionalFormatting sqref="U809">
    <cfRule type="containsText" dxfId="4284" priority="2137" operator="containsText" text="NO CUMPLE">
      <formula>NOT(ISERROR(SEARCH("NO CUMPLE",U809)))</formula>
    </cfRule>
  </conditionalFormatting>
  <conditionalFormatting sqref="U822:U824">
    <cfRule type="containsText" dxfId="4283" priority="2133" operator="containsText" text="NO CUMPLE">
      <formula>NOT(ISERROR(SEARCH("NO CUMPLE",U822)))</formula>
    </cfRule>
  </conditionalFormatting>
  <conditionalFormatting sqref="I822:I823">
    <cfRule type="cellIs" dxfId="4282" priority="2130" operator="equal">
      <formula>"NA"</formula>
    </cfRule>
    <cfRule type="cellIs" dxfId="4281" priority="2131" operator="equal">
      <formula>"SI"</formula>
    </cfRule>
    <cfRule type="cellIs" dxfId="4280" priority="2132" operator="equal">
      <formula>"NO"</formula>
    </cfRule>
  </conditionalFormatting>
  <conditionalFormatting sqref="L822:L824">
    <cfRule type="cellIs" dxfId="4279" priority="2134" stopIfTrue="1" operator="equal">
      <formula>0</formula>
    </cfRule>
    <cfRule type="cellIs" dxfId="4278" priority="2135" stopIfTrue="1" operator="greaterThanOrEqual">
      <formula>$H$6</formula>
    </cfRule>
    <cfRule type="cellIs" dxfId="4277" priority="2136" stopIfTrue="1" operator="between">
      <formula>0</formula>
      <formula>$H$6</formula>
    </cfRule>
  </conditionalFormatting>
  <conditionalFormatting sqref="U810:U811">
    <cfRule type="containsText" dxfId="4276" priority="2126" operator="containsText" text="NO CUMPLE">
      <formula>NOT(ISERROR(SEARCH("NO CUMPLE",U810)))</formula>
    </cfRule>
  </conditionalFormatting>
  <conditionalFormatting sqref="L810:L811">
    <cfRule type="cellIs" dxfId="4275" priority="2127" stopIfTrue="1" operator="equal">
      <formula>0</formula>
    </cfRule>
    <cfRule type="cellIs" dxfId="4274" priority="2128" stopIfTrue="1" operator="greaterThanOrEqual">
      <formula>$H$6</formula>
    </cfRule>
    <cfRule type="cellIs" dxfId="4273" priority="2129" stopIfTrue="1" operator="between">
      <formula>0</formula>
      <formula>$H$6</formula>
    </cfRule>
  </conditionalFormatting>
  <conditionalFormatting sqref="U825">
    <cfRule type="containsText" dxfId="4272" priority="2125" operator="containsText" text="NO CUMPLE">
      <formula>NOT(ISERROR(SEARCH("NO CUMPLE",U825)))</formula>
    </cfRule>
  </conditionalFormatting>
  <conditionalFormatting sqref="U826">
    <cfRule type="containsText" dxfId="4271" priority="2124" operator="containsText" text="NO CUMPLE">
      <formula>NOT(ISERROR(SEARCH("NO CUMPLE",U826)))</formula>
    </cfRule>
  </conditionalFormatting>
  <conditionalFormatting sqref="U839:U841">
    <cfRule type="containsText" dxfId="4270" priority="2120" operator="containsText" text="NO CUMPLE">
      <formula>NOT(ISERROR(SEARCH("NO CUMPLE",U839)))</formula>
    </cfRule>
  </conditionalFormatting>
  <conditionalFormatting sqref="I839:I840">
    <cfRule type="cellIs" dxfId="4269" priority="2117" operator="equal">
      <formula>"NA"</formula>
    </cfRule>
    <cfRule type="cellIs" dxfId="4268" priority="2118" operator="equal">
      <formula>"SI"</formula>
    </cfRule>
    <cfRule type="cellIs" dxfId="4267" priority="2119" operator="equal">
      <formula>"NO"</formula>
    </cfRule>
  </conditionalFormatting>
  <conditionalFormatting sqref="L839:L841">
    <cfRule type="cellIs" dxfId="4266" priority="2121" stopIfTrue="1" operator="equal">
      <formula>0</formula>
    </cfRule>
    <cfRule type="cellIs" dxfId="4265" priority="2122" stopIfTrue="1" operator="greaterThanOrEqual">
      <formula>$H$6</formula>
    </cfRule>
    <cfRule type="cellIs" dxfId="4264" priority="2123" stopIfTrue="1" operator="between">
      <formula>0</formula>
      <formula>$H$6</formula>
    </cfRule>
  </conditionalFormatting>
  <conditionalFormatting sqref="U827:U828">
    <cfRule type="containsText" dxfId="4263" priority="2113" operator="containsText" text="NO CUMPLE">
      <formula>NOT(ISERROR(SEARCH("NO CUMPLE",U827)))</formula>
    </cfRule>
  </conditionalFormatting>
  <conditionalFormatting sqref="L827:L828">
    <cfRule type="cellIs" dxfId="4262" priority="2114" stopIfTrue="1" operator="equal">
      <formula>0</formula>
    </cfRule>
    <cfRule type="cellIs" dxfId="4261" priority="2115" stopIfTrue="1" operator="greaterThanOrEqual">
      <formula>$H$6</formula>
    </cfRule>
    <cfRule type="cellIs" dxfId="4260" priority="2116" stopIfTrue="1" operator="between">
      <formula>0</formula>
      <formula>$H$6</formula>
    </cfRule>
  </conditionalFormatting>
  <conditionalFormatting sqref="U842">
    <cfRule type="containsText" dxfId="4259" priority="2112" operator="containsText" text="NO CUMPLE">
      <formula>NOT(ISERROR(SEARCH("NO CUMPLE",U842)))</formula>
    </cfRule>
  </conditionalFormatting>
  <conditionalFormatting sqref="U843">
    <cfRule type="containsText" dxfId="4258" priority="2111" operator="containsText" text="NO CUMPLE">
      <formula>NOT(ISERROR(SEARCH("NO CUMPLE",U843)))</formula>
    </cfRule>
  </conditionalFormatting>
  <conditionalFormatting sqref="U856:U858">
    <cfRule type="containsText" dxfId="4257" priority="2107" operator="containsText" text="NO CUMPLE">
      <formula>NOT(ISERROR(SEARCH("NO CUMPLE",U856)))</formula>
    </cfRule>
  </conditionalFormatting>
  <conditionalFormatting sqref="I856:I857">
    <cfRule type="cellIs" dxfId="4256" priority="2104" operator="equal">
      <formula>"NA"</formula>
    </cfRule>
    <cfRule type="cellIs" dxfId="4255" priority="2105" operator="equal">
      <formula>"SI"</formula>
    </cfRule>
    <cfRule type="cellIs" dxfId="4254" priority="2106" operator="equal">
      <formula>"NO"</formula>
    </cfRule>
  </conditionalFormatting>
  <conditionalFormatting sqref="L856:L858">
    <cfRule type="cellIs" dxfId="4253" priority="2108" stopIfTrue="1" operator="equal">
      <formula>0</formula>
    </cfRule>
    <cfRule type="cellIs" dxfId="4252" priority="2109" stopIfTrue="1" operator="greaterThanOrEqual">
      <formula>$H$6</formula>
    </cfRule>
    <cfRule type="cellIs" dxfId="4251" priority="2110" stopIfTrue="1" operator="between">
      <formula>0</formula>
      <formula>$H$6</formula>
    </cfRule>
  </conditionalFormatting>
  <conditionalFormatting sqref="U844:U845">
    <cfRule type="containsText" dxfId="4250" priority="2100" operator="containsText" text="NO CUMPLE">
      <formula>NOT(ISERROR(SEARCH("NO CUMPLE",U844)))</formula>
    </cfRule>
  </conditionalFormatting>
  <conditionalFormatting sqref="L844:L845">
    <cfRule type="cellIs" dxfId="4249" priority="2101" stopIfTrue="1" operator="equal">
      <formula>0</formula>
    </cfRule>
    <cfRule type="cellIs" dxfId="4248" priority="2102" stopIfTrue="1" operator="greaterThanOrEqual">
      <formula>$H$6</formula>
    </cfRule>
    <cfRule type="cellIs" dxfId="4247" priority="2103" stopIfTrue="1" operator="between">
      <formula>0</formula>
      <formula>$H$6</formula>
    </cfRule>
  </conditionalFormatting>
  <conditionalFormatting sqref="U859">
    <cfRule type="containsText" dxfId="4246" priority="2099" operator="containsText" text="NO CUMPLE">
      <formula>NOT(ISERROR(SEARCH("NO CUMPLE",U859)))</formula>
    </cfRule>
  </conditionalFormatting>
  <conditionalFormatting sqref="U860">
    <cfRule type="containsText" dxfId="4245" priority="2098" operator="containsText" text="NO CUMPLE">
      <formula>NOT(ISERROR(SEARCH("NO CUMPLE",U860)))</formula>
    </cfRule>
  </conditionalFormatting>
  <conditionalFormatting sqref="U873:U875">
    <cfRule type="containsText" dxfId="4244" priority="2094" operator="containsText" text="NO CUMPLE">
      <formula>NOT(ISERROR(SEARCH("NO CUMPLE",U873)))</formula>
    </cfRule>
  </conditionalFormatting>
  <conditionalFormatting sqref="I873:I874">
    <cfRule type="cellIs" dxfId="4243" priority="2091" operator="equal">
      <formula>"NA"</formula>
    </cfRule>
    <cfRule type="cellIs" dxfId="4242" priority="2092" operator="equal">
      <formula>"SI"</formula>
    </cfRule>
    <cfRule type="cellIs" dxfId="4241" priority="2093" operator="equal">
      <formula>"NO"</formula>
    </cfRule>
  </conditionalFormatting>
  <conditionalFormatting sqref="L873:L875">
    <cfRule type="cellIs" dxfId="4240" priority="2095" stopIfTrue="1" operator="equal">
      <formula>0</formula>
    </cfRule>
    <cfRule type="cellIs" dxfId="4239" priority="2096" stopIfTrue="1" operator="greaterThanOrEqual">
      <formula>$H$6</formula>
    </cfRule>
    <cfRule type="cellIs" dxfId="4238" priority="2097" stopIfTrue="1" operator="between">
      <formula>0</formula>
      <formula>$H$6</formula>
    </cfRule>
  </conditionalFormatting>
  <conditionalFormatting sqref="U861:U862">
    <cfRule type="containsText" dxfId="4237" priority="2087" operator="containsText" text="NO CUMPLE">
      <formula>NOT(ISERROR(SEARCH("NO CUMPLE",U861)))</formula>
    </cfRule>
  </conditionalFormatting>
  <conditionalFormatting sqref="L861:L862">
    <cfRule type="cellIs" dxfId="4236" priority="2088" stopIfTrue="1" operator="equal">
      <formula>0</formula>
    </cfRule>
    <cfRule type="cellIs" dxfId="4235" priority="2089" stopIfTrue="1" operator="greaterThanOrEqual">
      <formula>$H$6</formula>
    </cfRule>
    <cfRule type="cellIs" dxfId="4234" priority="2090" stopIfTrue="1" operator="between">
      <formula>0</formula>
      <formula>$H$6</formula>
    </cfRule>
  </conditionalFormatting>
  <conditionalFormatting sqref="U876">
    <cfRule type="containsText" dxfId="4233" priority="2086" operator="containsText" text="NO CUMPLE">
      <formula>NOT(ISERROR(SEARCH("NO CUMPLE",U876)))</formula>
    </cfRule>
  </conditionalFormatting>
  <conditionalFormatting sqref="U877">
    <cfRule type="containsText" dxfId="4232" priority="2085" operator="containsText" text="NO CUMPLE">
      <formula>NOT(ISERROR(SEARCH("NO CUMPLE",U877)))</formula>
    </cfRule>
  </conditionalFormatting>
  <conditionalFormatting sqref="U890:U892">
    <cfRule type="containsText" dxfId="4231" priority="2081" operator="containsText" text="NO CUMPLE">
      <formula>NOT(ISERROR(SEARCH("NO CUMPLE",U890)))</formula>
    </cfRule>
  </conditionalFormatting>
  <conditionalFormatting sqref="I890:I891">
    <cfRule type="cellIs" dxfId="4230" priority="2078" operator="equal">
      <formula>"NA"</formula>
    </cfRule>
    <cfRule type="cellIs" dxfId="4229" priority="2079" operator="equal">
      <formula>"SI"</formula>
    </cfRule>
    <cfRule type="cellIs" dxfId="4228" priority="2080" operator="equal">
      <formula>"NO"</formula>
    </cfRule>
  </conditionalFormatting>
  <conditionalFormatting sqref="L890:L892">
    <cfRule type="cellIs" dxfId="4227" priority="2082" stopIfTrue="1" operator="equal">
      <formula>0</formula>
    </cfRule>
    <cfRule type="cellIs" dxfId="4226" priority="2083" stopIfTrue="1" operator="greaterThanOrEqual">
      <formula>$H$6</formula>
    </cfRule>
    <cfRule type="cellIs" dxfId="4225" priority="2084" stopIfTrue="1" operator="between">
      <formula>0</formula>
      <formula>$H$6</formula>
    </cfRule>
  </conditionalFormatting>
  <conditionalFormatting sqref="U878:U879">
    <cfRule type="containsText" dxfId="4224" priority="2074" operator="containsText" text="NO CUMPLE">
      <formula>NOT(ISERROR(SEARCH("NO CUMPLE",U878)))</formula>
    </cfRule>
  </conditionalFormatting>
  <conditionalFormatting sqref="L878:L879">
    <cfRule type="cellIs" dxfId="4223" priority="2075" stopIfTrue="1" operator="equal">
      <formula>0</formula>
    </cfRule>
    <cfRule type="cellIs" dxfId="4222" priority="2076" stopIfTrue="1" operator="greaterThanOrEqual">
      <formula>$H$6</formula>
    </cfRule>
    <cfRule type="cellIs" dxfId="4221" priority="2077" stopIfTrue="1" operator="between">
      <formula>0</formula>
      <formula>$H$6</formula>
    </cfRule>
  </conditionalFormatting>
  <conditionalFormatting sqref="U893">
    <cfRule type="containsText" dxfId="4220" priority="2073" operator="containsText" text="NO CUMPLE">
      <formula>NOT(ISERROR(SEARCH("NO CUMPLE",U893)))</formula>
    </cfRule>
  </conditionalFormatting>
  <conditionalFormatting sqref="U894">
    <cfRule type="containsText" dxfId="4219" priority="2072" operator="containsText" text="NO CUMPLE">
      <formula>NOT(ISERROR(SEARCH("NO CUMPLE",U894)))</formula>
    </cfRule>
  </conditionalFormatting>
  <conditionalFormatting sqref="U907:U909">
    <cfRule type="containsText" dxfId="4218" priority="2068" operator="containsText" text="NO CUMPLE">
      <formula>NOT(ISERROR(SEARCH("NO CUMPLE",U907)))</formula>
    </cfRule>
  </conditionalFormatting>
  <conditionalFormatting sqref="I907:I908">
    <cfRule type="cellIs" dxfId="4217" priority="2065" operator="equal">
      <formula>"NA"</formula>
    </cfRule>
    <cfRule type="cellIs" dxfId="4216" priority="2066" operator="equal">
      <formula>"SI"</formula>
    </cfRule>
    <cfRule type="cellIs" dxfId="4215" priority="2067" operator="equal">
      <formula>"NO"</formula>
    </cfRule>
  </conditionalFormatting>
  <conditionalFormatting sqref="L907:L909">
    <cfRule type="cellIs" dxfId="4214" priority="2069" stopIfTrue="1" operator="equal">
      <formula>0</formula>
    </cfRule>
    <cfRule type="cellIs" dxfId="4213" priority="2070" stopIfTrue="1" operator="greaterThanOrEqual">
      <formula>$H$6</formula>
    </cfRule>
    <cfRule type="cellIs" dxfId="4212" priority="2071" stopIfTrue="1" operator="between">
      <formula>0</formula>
      <formula>$H$6</formula>
    </cfRule>
  </conditionalFormatting>
  <conditionalFormatting sqref="U895:U896">
    <cfRule type="containsText" dxfId="4211" priority="2061" operator="containsText" text="NO CUMPLE">
      <formula>NOT(ISERROR(SEARCH("NO CUMPLE",U895)))</formula>
    </cfRule>
  </conditionalFormatting>
  <conditionalFormatting sqref="L895:L896">
    <cfRule type="cellIs" dxfId="4210" priority="2062" stopIfTrue="1" operator="equal">
      <formula>0</formula>
    </cfRule>
    <cfRule type="cellIs" dxfId="4209" priority="2063" stopIfTrue="1" operator="greaterThanOrEqual">
      <formula>$H$6</formula>
    </cfRule>
    <cfRule type="cellIs" dxfId="4208" priority="2064" stopIfTrue="1" operator="between">
      <formula>0</formula>
      <formula>$H$6</formula>
    </cfRule>
  </conditionalFormatting>
  <conditionalFormatting sqref="U910">
    <cfRule type="containsText" dxfId="4207" priority="2060" operator="containsText" text="NO CUMPLE">
      <formula>NOT(ISERROR(SEARCH("NO CUMPLE",U910)))</formula>
    </cfRule>
  </conditionalFormatting>
  <conditionalFormatting sqref="U911">
    <cfRule type="containsText" dxfId="4206" priority="2059" operator="containsText" text="NO CUMPLE">
      <formula>NOT(ISERROR(SEARCH("NO CUMPLE",U911)))</formula>
    </cfRule>
  </conditionalFormatting>
  <conditionalFormatting sqref="U924:U926">
    <cfRule type="containsText" dxfId="4205" priority="2055" operator="containsText" text="NO CUMPLE">
      <formula>NOT(ISERROR(SEARCH("NO CUMPLE",U924)))</formula>
    </cfRule>
  </conditionalFormatting>
  <conditionalFormatting sqref="I924:I925">
    <cfRule type="cellIs" dxfId="4204" priority="2052" operator="equal">
      <formula>"NA"</formula>
    </cfRule>
    <cfRule type="cellIs" dxfId="4203" priority="2053" operator="equal">
      <formula>"SI"</formula>
    </cfRule>
    <cfRule type="cellIs" dxfId="4202" priority="2054" operator="equal">
      <formula>"NO"</formula>
    </cfRule>
  </conditionalFormatting>
  <conditionalFormatting sqref="L924:L926">
    <cfRule type="cellIs" dxfId="4201" priority="2056" stopIfTrue="1" operator="equal">
      <formula>0</formula>
    </cfRule>
    <cfRule type="cellIs" dxfId="4200" priority="2057" stopIfTrue="1" operator="greaterThanOrEqual">
      <formula>$H$6</formula>
    </cfRule>
    <cfRule type="cellIs" dxfId="4199" priority="2058" stopIfTrue="1" operator="between">
      <formula>0</formula>
      <formula>$H$6</formula>
    </cfRule>
  </conditionalFormatting>
  <conditionalFormatting sqref="U912:U913">
    <cfRule type="containsText" dxfId="4198" priority="2048" operator="containsText" text="NO CUMPLE">
      <formula>NOT(ISERROR(SEARCH("NO CUMPLE",U912)))</formula>
    </cfRule>
  </conditionalFormatting>
  <conditionalFormatting sqref="L912:L913">
    <cfRule type="cellIs" dxfId="4197" priority="2049" stopIfTrue="1" operator="equal">
      <formula>0</formula>
    </cfRule>
    <cfRule type="cellIs" dxfId="4196" priority="2050" stopIfTrue="1" operator="greaterThanOrEqual">
      <formula>$H$6</formula>
    </cfRule>
    <cfRule type="cellIs" dxfId="4195" priority="2051" stopIfTrue="1" operator="between">
      <formula>0</formula>
      <formula>$H$6</formula>
    </cfRule>
  </conditionalFormatting>
  <conditionalFormatting sqref="U927">
    <cfRule type="containsText" dxfId="4194" priority="2047" operator="containsText" text="NO CUMPLE">
      <formula>NOT(ISERROR(SEARCH("NO CUMPLE",U927)))</formula>
    </cfRule>
  </conditionalFormatting>
  <conditionalFormatting sqref="U928">
    <cfRule type="containsText" dxfId="4193" priority="2046" operator="containsText" text="NO CUMPLE">
      <formula>NOT(ISERROR(SEARCH("NO CUMPLE",U928)))</formula>
    </cfRule>
  </conditionalFormatting>
  <conditionalFormatting sqref="U941:U943">
    <cfRule type="containsText" dxfId="4192" priority="2042" operator="containsText" text="NO CUMPLE">
      <formula>NOT(ISERROR(SEARCH("NO CUMPLE",U941)))</formula>
    </cfRule>
  </conditionalFormatting>
  <conditionalFormatting sqref="I941:I942">
    <cfRule type="cellIs" dxfId="4191" priority="2039" operator="equal">
      <formula>"NA"</formula>
    </cfRule>
    <cfRule type="cellIs" dxfId="4190" priority="2040" operator="equal">
      <formula>"SI"</formula>
    </cfRule>
    <cfRule type="cellIs" dxfId="4189" priority="2041" operator="equal">
      <formula>"NO"</formula>
    </cfRule>
  </conditionalFormatting>
  <conditionalFormatting sqref="L941:L943">
    <cfRule type="cellIs" dxfId="4188" priority="2043" stopIfTrue="1" operator="equal">
      <formula>0</formula>
    </cfRule>
    <cfRule type="cellIs" dxfId="4187" priority="2044" stopIfTrue="1" operator="greaterThanOrEqual">
      <formula>$H$6</formula>
    </cfRule>
    <cfRule type="cellIs" dxfId="4186" priority="2045" stopIfTrue="1" operator="between">
      <formula>0</formula>
      <formula>$H$6</formula>
    </cfRule>
  </conditionalFormatting>
  <conditionalFormatting sqref="U929:U930">
    <cfRule type="containsText" dxfId="4185" priority="2035" operator="containsText" text="NO CUMPLE">
      <formula>NOT(ISERROR(SEARCH("NO CUMPLE",U929)))</formula>
    </cfRule>
  </conditionalFormatting>
  <conditionalFormatting sqref="L929:L930">
    <cfRule type="cellIs" dxfId="4184" priority="2036" stopIfTrue="1" operator="equal">
      <formula>0</formula>
    </cfRule>
    <cfRule type="cellIs" dxfId="4183" priority="2037" stopIfTrue="1" operator="greaterThanOrEqual">
      <formula>$H$6</formula>
    </cfRule>
    <cfRule type="cellIs" dxfId="4182" priority="2038" stopIfTrue="1" operator="between">
      <formula>0</formula>
      <formula>$H$6</formula>
    </cfRule>
  </conditionalFormatting>
  <conditionalFormatting sqref="U944">
    <cfRule type="containsText" dxfId="4181" priority="2034" operator="containsText" text="NO CUMPLE">
      <formula>NOT(ISERROR(SEARCH("NO CUMPLE",U944)))</formula>
    </cfRule>
  </conditionalFormatting>
  <conditionalFormatting sqref="X13">
    <cfRule type="cellIs" dxfId="4180" priority="2032" stopIfTrue="1" operator="equal">
      <formula>"NO"</formula>
    </cfRule>
    <cfRule type="cellIs" dxfId="4179" priority="2033" stopIfTrue="1" operator="equal">
      <formula>"SI"</formula>
    </cfRule>
  </conditionalFormatting>
  <conditionalFormatting sqref="I42">
    <cfRule type="cellIs" dxfId="4178" priority="2029" operator="equal">
      <formula>"NA"</formula>
    </cfRule>
    <cfRule type="cellIs" dxfId="4177" priority="2030" operator="equal">
      <formula>"SI"</formula>
    </cfRule>
    <cfRule type="cellIs" dxfId="4176" priority="2031" operator="equal">
      <formula>"NO"</formula>
    </cfRule>
  </conditionalFormatting>
  <conditionalFormatting sqref="I59">
    <cfRule type="cellIs" dxfId="4175" priority="2026" operator="equal">
      <formula>"NA"</formula>
    </cfRule>
    <cfRule type="cellIs" dxfId="4174" priority="2027" operator="equal">
      <formula>"SI"</formula>
    </cfRule>
    <cfRule type="cellIs" dxfId="4173" priority="2028" operator="equal">
      <formula>"NO"</formula>
    </cfRule>
  </conditionalFormatting>
  <conditionalFormatting sqref="I76">
    <cfRule type="cellIs" dxfId="4172" priority="2023" operator="equal">
      <formula>"NA"</formula>
    </cfRule>
    <cfRule type="cellIs" dxfId="4171" priority="2024" operator="equal">
      <formula>"SI"</formula>
    </cfRule>
    <cfRule type="cellIs" dxfId="4170" priority="2025" operator="equal">
      <formula>"NO"</formula>
    </cfRule>
  </conditionalFormatting>
  <conditionalFormatting sqref="I93">
    <cfRule type="cellIs" dxfId="4169" priority="2020" operator="equal">
      <formula>"NA"</formula>
    </cfRule>
    <cfRule type="cellIs" dxfId="4168" priority="2021" operator="equal">
      <formula>"SI"</formula>
    </cfRule>
    <cfRule type="cellIs" dxfId="4167" priority="2022" operator="equal">
      <formula>"NO"</formula>
    </cfRule>
  </conditionalFormatting>
  <conditionalFormatting sqref="I110">
    <cfRule type="cellIs" dxfId="4166" priority="2017" operator="equal">
      <formula>"NA"</formula>
    </cfRule>
    <cfRule type="cellIs" dxfId="4165" priority="2018" operator="equal">
      <formula>"SI"</formula>
    </cfRule>
    <cfRule type="cellIs" dxfId="4164" priority="2019" operator="equal">
      <formula>"NO"</formula>
    </cfRule>
  </conditionalFormatting>
  <conditionalFormatting sqref="I127">
    <cfRule type="cellIs" dxfId="4163" priority="2014" operator="equal">
      <formula>"NA"</formula>
    </cfRule>
    <cfRule type="cellIs" dxfId="4162" priority="2015" operator="equal">
      <formula>"SI"</formula>
    </cfRule>
    <cfRule type="cellIs" dxfId="4161" priority="2016" operator="equal">
      <formula>"NO"</formula>
    </cfRule>
  </conditionalFormatting>
  <conditionalFormatting sqref="I144">
    <cfRule type="cellIs" dxfId="4160" priority="2011" operator="equal">
      <formula>"NA"</formula>
    </cfRule>
    <cfRule type="cellIs" dxfId="4159" priority="2012" operator="equal">
      <formula>"SI"</formula>
    </cfRule>
    <cfRule type="cellIs" dxfId="4158" priority="2013" operator="equal">
      <formula>"NO"</formula>
    </cfRule>
  </conditionalFormatting>
  <conditionalFormatting sqref="I161">
    <cfRule type="cellIs" dxfId="4157" priority="2008" operator="equal">
      <formula>"NA"</formula>
    </cfRule>
    <cfRule type="cellIs" dxfId="4156" priority="2009" operator="equal">
      <formula>"SI"</formula>
    </cfRule>
    <cfRule type="cellIs" dxfId="4155" priority="2010" operator="equal">
      <formula>"NO"</formula>
    </cfRule>
  </conditionalFormatting>
  <conditionalFormatting sqref="I178">
    <cfRule type="cellIs" dxfId="4154" priority="2005" operator="equal">
      <formula>"NA"</formula>
    </cfRule>
    <cfRule type="cellIs" dxfId="4153" priority="2006" operator="equal">
      <formula>"SI"</formula>
    </cfRule>
    <cfRule type="cellIs" dxfId="4152" priority="2007" operator="equal">
      <formula>"NO"</formula>
    </cfRule>
  </conditionalFormatting>
  <conditionalFormatting sqref="I195">
    <cfRule type="cellIs" dxfId="4151" priority="2002" operator="equal">
      <formula>"NA"</formula>
    </cfRule>
    <cfRule type="cellIs" dxfId="4150" priority="2003" operator="equal">
      <formula>"SI"</formula>
    </cfRule>
    <cfRule type="cellIs" dxfId="4149" priority="2004" operator="equal">
      <formula>"NO"</formula>
    </cfRule>
  </conditionalFormatting>
  <conditionalFormatting sqref="I212">
    <cfRule type="cellIs" dxfId="4148" priority="1999" operator="equal">
      <formula>"NA"</formula>
    </cfRule>
    <cfRule type="cellIs" dxfId="4147" priority="2000" operator="equal">
      <formula>"SI"</formula>
    </cfRule>
    <cfRule type="cellIs" dxfId="4146" priority="2001" operator="equal">
      <formula>"NO"</formula>
    </cfRule>
  </conditionalFormatting>
  <conditionalFormatting sqref="I229">
    <cfRule type="cellIs" dxfId="4145" priority="1996" operator="equal">
      <formula>"NA"</formula>
    </cfRule>
    <cfRule type="cellIs" dxfId="4144" priority="1997" operator="equal">
      <formula>"SI"</formula>
    </cfRule>
    <cfRule type="cellIs" dxfId="4143" priority="1998" operator="equal">
      <formula>"NO"</formula>
    </cfRule>
  </conditionalFormatting>
  <conditionalFormatting sqref="I246">
    <cfRule type="cellIs" dxfId="4142" priority="1993" operator="equal">
      <formula>"NA"</formula>
    </cfRule>
    <cfRule type="cellIs" dxfId="4141" priority="1994" operator="equal">
      <formula>"SI"</formula>
    </cfRule>
    <cfRule type="cellIs" dxfId="4140" priority="1995" operator="equal">
      <formula>"NO"</formula>
    </cfRule>
  </conditionalFormatting>
  <conditionalFormatting sqref="I263">
    <cfRule type="cellIs" dxfId="4139" priority="1990" operator="equal">
      <formula>"NA"</formula>
    </cfRule>
    <cfRule type="cellIs" dxfId="4138" priority="1991" operator="equal">
      <formula>"SI"</formula>
    </cfRule>
    <cfRule type="cellIs" dxfId="4137" priority="1992" operator="equal">
      <formula>"NO"</formula>
    </cfRule>
  </conditionalFormatting>
  <conditionalFormatting sqref="I280">
    <cfRule type="cellIs" dxfId="4136" priority="1987" operator="equal">
      <formula>"NA"</formula>
    </cfRule>
    <cfRule type="cellIs" dxfId="4135" priority="1988" operator="equal">
      <formula>"SI"</formula>
    </cfRule>
    <cfRule type="cellIs" dxfId="4134" priority="1989" operator="equal">
      <formula>"NO"</formula>
    </cfRule>
  </conditionalFormatting>
  <conditionalFormatting sqref="I297">
    <cfRule type="cellIs" dxfId="4133" priority="1984" operator="equal">
      <formula>"NA"</formula>
    </cfRule>
    <cfRule type="cellIs" dxfId="4132" priority="1985" operator="equal">
      <formula>"SI"</formula>
    </cfRule>
    <cfRule type="cellIs" dxfId="4131" priority="1986" operator="equal">
      <formula>"NO"</formula>
    </cfRule>
  </conditionalFormatting>
  <conditionalFormatting sqref="I314">
    <cfRule type="cellIs" dxfId="4130" priority="1981" operator="equal">
      <formula>"NA"</formula>
    </cfRule>
    <cfRule type="cellIs" dxfId="4129" priority="1982" operator="equal">
      <formula>"SI"</formula>
    </cfRule>
    <cfRule type="cellIs" dxfId="4128" priority="1983" operator="equal">
      <formula>"NO"</formula>
    </cfRule>
  </conditionalFormatting>
  <conditionalFormatting sqref="I331">
    <cfRule type="cellIs" dxfId="4127" priority="1978" operator="equal">
      <formula>"NA"</formula>
    </cfRule>
    <cfRule type="cellIs" dxfId="4126" priority="1979" operator="equal">
      <formula>"SI"</formula>
    </cfRule>
    <cfRule type="cellIs" dxfId="4125" priority="1980" operator="equal">
      <formula>"NO"</formula>
    </cfRule>
  </conditionalFormatting>
  <conditionalFormatting sqref="I348">
    <cfRule type="cellIs" dxfId="4124" priority="1975" operator="equal">
      <formula>"NA"</formula>
    </cfRule>
    <cfRule type="cellIs" dxfId="4123" priority="1976" operator="equal">
      <formula>"SI"</formula>
    </cfRule>
    <cfRule type="cellIs" dxfId="4122" priority="1977" operator="equal">
      <formula>"NO"</formula>
    </cfRule>
  </conditionalFormatting>
  <conditionalFormatting sqref="I365">
    <cfRule type="cellIs" dxfId="4121" priority="1972" operator="equal">
      <formula>"NA"</formula>
    </cfRule>
    <cfRule type="cellIs" dxfId="4120" priority="1973" operator="equal">
      <formula>"SI"</formula>
    </cfRule>
    <cfRule type="cellIs" dxfId="4119" priority="1974" operator="equal">
      <formula>"NO"</formula>
    </cfRule>
  </conditionalFormatting>
  <conditionalFormatting sqref="I382">
    <cfRule type="cellIs" dxfId="4118" priority="1969" operator="equal">
      <formula>"NA"</formula>
    </cfRule>
    <cfRule type="cellIs" dxfId="4117" priority="1970" operator="equal">
      <formula>"SI"</formula>
    </cfRule>
    <cfRule type="cellIs" dxfId="4116" priority="1971" operator="equal">
      <formula>"NO"</formula>
    </cfRule>
  </conditionalFormatting>
  <conditionalFormatting sqref="I399">
    <cfRule type="cellIs" dxfId="4115" priority="1966" operator="equal">
      <formula>"NA"</formula>
    </cfRule>
    <cfRule type="cellIs" dxfId="4114" priority="1967" operator="equal">
      <formula>"SI"</formula>
    </cfRule>
    <cfRule type="cellIs" dxfId="4113" priority="1968" operator="equal">
      <formula>"NO"</formula>
    </cfRule>
  </conditionalFormatting>
  <conditionalFormatting sqref="I416">
    <cfRule type="cellIs" dxfId="4112" priority="1963" operator="equal">
      <formula>"NA"</formula>
    </cfRule>
    <cfRule type="cellIs" dxfId="4111" priority="1964" operator="equal">
      <formula>"SI"</formula>
    </cfRule>
    <cfRule type="cellIs" dxfId="4110" priority="1965" operator="equal">
      <formula>"NO"</formula>
    </cfRule>
  </conditionalFormatting>
  <conditionalFormatting sqref="I433">
    <cfRule type="cellIs" dxfId="4109" priority="1960" operator="equal">
      <formula>"NA"</formula>
    </cfRule>
    <cfRule type="cellIs" dxfId="4108" priority="1961" operator="equal">
      <formula>"SI"</formula>
    </cfRule>
    <cfRule type="cellIs" dxfId="4107" priority="1962" operator="equal">
      <formula>"NO"</formula>
    </cfRule>
  </conditionalFormatting>
  <conditionalFormatting sqref="I943">
    <cfRule type="cellIs" dxfId="4106" priority="1870" operator="equal">
      <formula>"NA"</formula>
    </cfRule>
    <cfRule type="cellIs" dxfId="4105" priority="1871" operator="equal">
      <formula>"SI"</formula>
    </cfRule>
    <cfRule type="cellIs" dxfId="4104" priority="1872" operator="equal">
      <formula>"NO"</formula>
    </cfRule>
  </conditionalFormatting>
  <conditionalFormatting sqref="I450">
    <cfRule type="cellIs" dxfId="4103" priority="1957" operator="equal">
      <formula>"NA"</formula>
    </cfRule>
    <cfRule type="cellIs" dxfId="4102" priority="1958" operator="equal">
      <formula>"SI"</formula>
    </cfRule>
    <cfRule type="cellIs" dxfId="4101" priority="1959" operator="equal">
      <formula>"NO"</formula>
    </cfRule>
  </conditionalFormatting>
  <conditionalFormatting sqref="I467">
    <cfRule type="cellIs" dxfId="4100" priority="1954" operator="equal">
      <formula>"NA"</formula>
    </cfRule>
    <cfRule type="cellIs" dxfId="4099" priority="1955" operator="equal">
      <formula>"SI"</formula>
    </cfRule>
    <cfRule type="cellIs" dxfId="4098" priority="1956" operator="equal">
      <formula>"NO"</formula>
    </cfRule>
  </conditionalFormatting>
  <conditionalFormatting sqref="I484">
    <cfRule type="cellIs" dxfId="4097" priority="1951" operator="equal">
      <formula>"NA"</formula>
    </cfRule>
    <cfRule type="cellIs" dxfId="4096" priority="1952" operator="equal">
      <formula>"SI"</formula>
    </cfRule>
    <cfRule type="cellIs" dxfId="4095" priority="1953" operator="equal">
      <formula>"NO"</formula>
    </cfRule>
  </conditionalFormatting>
  <conditionalFormatting sqref="I501">
    <cfRule type="cellIs" dxfId="4094" priority="1948" operator="equal">
      <formula>"NA"</formula>
    </cfRule>
    <cfRule type="cellIs" dxfId="4093" priority="1949" operator="equal">
      <formula>"SI"</formula>
    </cfRule>
    <cfRule type="cellIs" dxfId="4092" priority="1950" operator="equal">
      <formula>"NO"</formula>
    </cfRule>
  </conditionalFormatting>
  <conditionalFormatting sqref="I518">
    <cfRule type="cellIs" dxfId="4091" priority="1945" operator="equal">
      <formula>"NA"</formula>
    </cfRule>
    <cfRule type="cellIs" dxfId="4090" priority="1946" operator="equal">
      <formula>"SI"</formula>
    </cfRule>
    <cfRule type="cellIs" dxfId="4089" priority="1947" operator="equal">
      <formula>"NO"</formula>
    </cfRule>
  </conditionalFormatting>
  <conditionalFormatting sqref="I535">
    <cfRule type="cellIs" dxfId="4088" priority="1942" operator="equal">
      <formula>"NA"</formula>
    </cfRule>
    <cfRule type="cellIs" dxfId="4087" priority="1943" operator="equal">
      <formula>"SI"</formula>
    </cfRule>
    <cfRule type="cellIs" dxfId="4086" priority="1944" operator="equal">
      <formula>"NO"</formula>
    </cfRule>
  </conditionalFormatting>
  <conditionalFormatting sqref="I552">
    <cfRule type="cellIs" dxfId="4085" priority="1939" operator="equal">
      <formula>"NA"</formula>
    </cfRule>
    <cfRule type="cellIs" dxfId="4084" priority="1940" operator="equal">
      <formula>"SI"</formula>
    </cfRule>
    <cfRule type="cellIs" dxfId="4083" priority="1941" operator="equal">
      <formula>"NO"</formula>
    </cfRule>
  </conditionalFormatting>
  <conditionalFormatting sqref="I569">
    <cfRule type="cellIs" dxfId="4082" priority="1936" operator="equal">
      <formula>"NA"</formula>
    </cfRule>
    <cfRule type="cellIs" dxfId="4081" priority="1937" operator="equal">
      <formula>"SI"</formula>
    </cfRule>
    <cfRule type="cellIs" dxfId="4080" priority="1938" operator="equal">
      <formula>"NO"</formula>
    </cfRule>
  </conditionalFormatting>
  <conditionalFormatting sqref="I586">
    <cfRule type="cellIs" dxfId="4079" priority="1933" operator="equal">
      <formula>"NA"</formula>
    </cfRule>
    <cfRule type="cellIs" dxfId="4078" priority="1934" operator="equal">
      <formula>"SI"</formula>
    </cfRule>
    <cfRule type="cellIs" dxfId="4077" priority="1935" operator="equal">
      <formula>"NO"</formula>
    </cfRule>
  </conditionalFormatting>
  <conditionalFormatting sqref="I603">
    <cfRule type="cellIs" dxfId="4076" priority="1930" operator="equal">
      <formula>"NA"</formula>
    </cfRule>
    <cfRule type="cellIs" dxfId="4075" priority="1931" operator="equal">
      <formula>"SI"</formula>
    </cfRule>
    <cfRule type="cellIs" dxfId="4074" priority="1932" operator="equal">
      <formula>"NO"</formula>
    </cfRule>
  </conditionalFormatting>
  <conditionalFormatting sqref="I926">
    <cfRule type="cellIs" dxfId="4073" priority="1873" operator="equal">
      <formula>"NA"</formula>
    </cfRule>
    <cfRule type="cellIs" dxfId="4072" priority="1874" operator="equal">
      <formula>"SI"</formula>
    </cfRule>
    <cfRule type="cellIs" dxfId="4071" priority="1875" operator="equal">
      <formula>"NO"</formula>
    </cfRule>
  </conditionalFormatting>
  <conditionalFormatting sqref="I620">
    <cfRule type="cellIs" dxfId="4070" priority="1927" operator="equal">
      <formula>"NA"</formula>
    </cfRule>
    <cfRule type="cellIs" dxfId="4069" priority="1928" operator="equal">
      <formula>"SI"</formula>
    </cfRule>
    <cfRule type="cellIs" dxfId="4068" priority="1929" operator="equal">
      <formula>"NO"</formula>
    </cfRule>
  </conditionalFormatting>
  <conditionalFormatting sqref="I637">
    <cfRule type="cellIs" dxfId="4067" priority="1924" operator="equal">
      <formula>"NA"</formula>
    </cfRule>
    <cfRule type="cellIs" dxfId="4066" priority="1925" operator="equal">
      <formula>"SI"</formula>
    </cfRule>
    <cfRule type="cellIs" dxfId="4065" priority="1926" operator="equal">
      <formula>"NO"</formula>
    </cfRule>
  </conditionalFormatting>
  <conditionalFormatting sqref="I654">
    <cfRule type="cellIs" dxfId="4064" priority="1921" operator="equal">
      <formula>"NA"</formula>
    </cfRule>
    <cfRule type="cellIs" dxfId="4063" priority="1922" operator="equal">
      <formula>"SI"</formula>
    </cfRule>
    <cfRule type="cellIs" dxfId="4062" priority="1923" operator="equal">
      <formula>"NO"</formula>
    </cfRule>
  </conditionalFormatting>
  <conditionalFormatting sqref="I671">
    <cfRule type="cellIs" dxfId="4061" priority="1918" operator="equal">
      <formula>"NA"</formula>
    </cfRule>
    <cfRule type="cellIs" dxfId="4060" priority="1919" operator="equal">
      <formula>"SI"</formula>
    </cfRule>
    <cfRule type="cellIs" dxfId="4059" priority="1920" operator="equal">
      <formula>"NO"</formula>
    </cfRule>
  </conditionalFormatting>
  <conditionalFormatting sqref="I688">
    <cfRule type="cellIs" dxfId="4058" priority="1915" operator="equal">
      <formula>"NA"</formula>
    </cfRule>
    <cfRule type="cellIs" dxfId="4057" priority="1916" operator="equal">
      <formula>"SI"</formula>
    </cfRule>
    <cfRule type="cellIs" dxfId="4056" priority="1917" operator="equal">
      <formula>"NO"</formula>
    </cfRule>
  </conditionalFormatting>
  <conditionalFormatting sqref="I705">
    <cfRule type="cellIs" dxfId="4055" priority="1912" operator="equal">
      <formula>"NA"</formula>
    </cfRule>
    <cfRule type="cellIs" dxfId="4054" priority="1913" operator="equal">
      <formula>"SI"</formula>
    </cfRule>
    <cfRule type="cellIs" dxfId="4053" priority="1914" operator="equal">
      <formula>"NO"</formula>
    </cfRule>
  </conditionalFormatting>
  <conditionalFormatting sqref="I722">
    <cfRule type="cellIs" dxfId="4052" priority="1909" operator="equal">
      <formula>"NA"</formula>
    </cfRule>
    <cfRule type="cellIs" dxfId="4051" priority="1910" operator="equal">
      <formula>"SI"</formula>
    </cfRule>
    <cfRule type="cellIs" dxfId="4050" priority="1911" operator="equal">
      <formula>"NO"</formula>
    </cfRule>
  </conditionalFormatting>
  <conditionalFormatting sqref="I739">
    <cfRule type="cellIs" dxfId="4049" priority="1906" operator="equal">
      <formula>"NA"</formula>
    </cfRule>
    <cfRule type="cellIs" dxfId="4048" priority="1907" operator="equal">
      <formula>"SI"</formula>
    </cfRule>
    <cfRule type="cellIs" dxfId="4047" priority="1908" operator="equal">
      <formula>"NO"</formula>
    </cfRule>
  </conditionalFormatting>
  <conditionalFormatting sqref="I756">
    <cfRule type="cellIs" dxfId="4046" priority="1903" operator="equal">
      <formula>"NA"</formula>
    </cfRule>
    <cfRule type="cellIs" dxfId="4045" priority="1904" operator="equal">
      <formula>"SI"</formula>
    </cfRule>
    <cfRule type="cellIs" dxfId="4044" priority="1905" operator="equal">
      <formula>"NO"</formula>
    </cfRule>
  </conditionalFormatting>
  <conditionalFormatting sqref="I773">
    <cfRule type="cellIs" dxfId="4043" priority="1900" operator="equal">
      <formula>"NA"</formula>
    </cfRule>
    <cfRule type="cellIs" dxfId="4042" priority="1901" operator="equal">
      <formula>"SI"</formula>
    </cfRule>
    <cfRule type="cellIs" dxfId="4041" priority="1902" operator="equal">
      <formula>"NO"</formula>
    </cfRule>
  </conditionalFormatting>
  <conditionalFormatting sqref="I790">
    <cfRule type="cellIs" dxfId="4040" priority="1897" operator="equal">
      <formula>"NA"</formula>
    </cfRule>
    <cfRule type="cellIs" dxfId="4039" priority="1898" operator="equal">
      <formula>"SI"</formula>
    </cfRule>
    <cfRule type="cellIs" dxfId="4038" priority="1899" operator="equal">
      <formula>"NO"</formula>
    </cfRule>
  </conditionalFormatting>
  <conditionalFormatting sqref="I807">
    <cfRule type="cellIs" dxfId="4037" priority="1894" operator="equal">
      <formula>"NA"</formula>
    </cfRule>
    <cfRule type="cellIs" dxfId="4036" priority="1895" operator="equal">
      <formula>"SI"</formula>
    </cfRule>
    <cfRule type="cellIs" dxfId="4035" priority="1896" operator="equal">
      <formula>"NO"</formula>
    </cfRule>
  </conditionalFormatting>
  <conditionalFormatting sqref="I824">
    <cfRule type="cellIs" dxfId="4034" priority="1891" operator="equal">
      <formula>"NA"</formula>
    </cfRule>
    <cfRule type="cellIs" dxfId="4033" priority="1892" operator="equal">
      <formula>"SI"</formula>
    </cfRule>
    <cfRule type="cellIs" dxfId="4032" priority="1893" operator="equal">
      <formula>"NO"</formula>
    </cfRule>
  </conditionalFormatting>
  <conditionalFormatting sqref="I841">
    <cfRule type="cellIs" dxfId="4031" priority="1888" operator="equal">
      <formula>"NA"</formula>
    </cfRule>
    <cfRule type="cellIs" dxfId="4030" priority="1889" operator="equal">
      <formula>"SI"</formula>
    </cfRule>
    <cfRule type="cellIs" dxfId="4029" priority="1890" operator="equal">
      <formula>"NO"</formula>
    </cfRule>
  </conditionalFormatting>
  <conditionalFormatting sqref="I858">
    <cfRule type="cellIs" dxfId="4028" priority="1885" operator="equal">
      <formula>"NA"</formula>
    </cfRule>
    <cfRule type="cellIs" dxfId="4027" priority="1886" operator="equal">
      <formula>"SI"</formula>
    </cfRule>
    <cfRule type="cellIs" dxfId="4026" priority="1887" operator="equal">
      <formula>"NO"</formula>
    </cfRule>
  </conditionalFormatting>
  <conditionalFormatting sqref="I875">
    <cfRule type="cellIs" dxfId="4025" priority="1882" operator="equal">
      <formula>"NA"</formula>
    </cfRule>
    <cfRule type="cellIs" dxfId="4024" priority="1883" operator="equal">
      <formula>"SI"</formula>
    </cfRule>
    <cfRule type="cellIs" dxfId="4023" priority="1884" operator="equal">
      <formula>"NO"</formula>
    </cfRule>
  </conditionalFormatting>
  <conditionalFormatting sqref="I892">
    <cfRule type="cellIs" dxfId="4022" priority="1879" operator="equal">
      <formula>"NA"</formula>
    </cfRule>
    <cfRule type="cellIs" dxfId="4021" priority="1880" operator="equal">
      <formula>"SI"</formula>
    </cfRule>
    <cfRule type="cellIs" dxfId="4020" priority="1881" operator="equal">
      <formula>"NO"</formula>
    </cfRule>
  </conditionalFormatting>
  <conditionalFormatting sqref="I909">
    <cfRule type="cellIs" dxfId="4019" priority="1876" operator="equal">
      <formula>"NA"</formula>
    </cfRule>
    <cfRule type="cellIs" dxfId="4018" priority="1877" operator="equal">
      <formula>"SI"</formula>
    </cfRule>
    <cfRule type="cellIs" dxfId="4017" priority="1878" operator="equal">
      <formula>"NO"</formula>
    </cfRule>
  </conditionalFormatting>
  <conditionalFormatting sqref="H272">
    <cfRule type="cellIs" dxfId="4016" priority="1361" stopIfTrue="1" operator="lessThan">
      <formula>0</formula>
    </cfRule>
  </conditionalFormatting>
  <conditionalFormatting sqref="H272">
    <cfRule type="cellIs" dxfId="4015" priority="1360" stopIfTrue="1" operator="greaterThan">
      <formula>0</formula>
    </cfRule>
  </conditionalFormatting>
  <conditionalFormatting sqref="H273:H275">
    <cfRule type="cellIs" dxfId="4014" priority="1358" stopIfTrue="1" operator="greaterThan">
      <formula>0</formula>
    </cfRule>
  </conditionalFormatting>
  <conditionalFormatting sqref="M268">
    <cfRule type="cellIs" dxfId="4013" priority="1357" stopIfTrue="1" operator="greaterThan">
      <formula>0</formula>
    </cfRule>
  </conditionalFormatting>
  <conditionalFormatting sqref="M269:M270">
    <cfRule type="cellIs" dxfId="4012" priority="1355" stopIfTrue="1" operator="greaterThan">
      <formula>0</formula>
    </cfRule>
  </conditionalFormatting>
  <conditionalFormatting sqref="Z285:Z294 AB285:AB294">
    <cfRule type="cellIs" dxfId="4011" priority="1331" operator="equal">
      <formula>"NO"</formula>
    </cfRule>
    <cfRule type="cellIs" dxfId="4010" priority="1332" operator="greaterThan">
      <formula>0</formula>
    </cfRule>
  </conditionalFormatting>
  <conditionalFormatting sqref="G4">
    <cfRule type="cellIs" dxfId="4009" priority="1869" stopIfTrue="1" operator="greaterThan">
      <formula>0</formula>
    </cfRule>
  </conditionalFormatting>
  <conditionalFormatting sqref="G4">
    <cfRule type="cellIs" dxfId="4008" priority="1868" stopIfTrue="1" operator="lessThan">
      <formula>0</formula>
    </cfRule>
  </conditionalFormatting>
  <conditionalFormatting sqref="G5">
    <cfRule type="cellIs" dxfId="4007" priority="1867" stopIfTrue="1" operator="greaterThan">
      <formula>0</formula>
    </cfRule>
  </conditionalFormatting>
  <conditionalFormatting sqref="G5">
    <cfRule type="cellIs" dxfId="4006" priority="1866" stopIfTrue="1" operator="lessThan">
      <formula>0</formula>
    </cfRule>
  </conditionalFormatting>
  <conditionalFormatting sqref="D8:F8">
    <cfRule type="containsBlanks" dxfId="4005" priority="1862">
      <formula>LEN(TRIM(D8))=0</formula>
    </cfRule>
    <cfRule type="containsBlanks" dxfId="4004" priority="1863">
      <formula>LEN(TRIM(D8))=0</formula>
    </cfRule>
    <cfRule type="containsBlanks" dxfId="4003" priority="1864">
      <formula>LEN(TRIM(D8))=0</formula>
    </cfRule>
    <cfRule type="containsBlanks" dxfId="4002" priority="1865">
      <formula>LEN(TRIM(D8))=0</formula>
    </cfRule>
  </conditionalFormatting>
  <conditionalFormatting sqref="G8">
    <cfRule type="cellIs" dxfId="4001" priority="1861" stopIfTrue="1" operator="greaterThan">
      <formula>0</formula>
    </cfRule>
  </conditionalFormatting>
  <conditionalFormatting sqref="G8">
    <cfRule type="cellIs" dxfId="4000" priority="1860" stopIfTrue="1" operator="lessThan">
      <formula>0</formula>
    </cfRule>
  </conditionalFormatting>
  <conditionalFormatting sqref="H8">
    <cfRule type="cellIs" dxfId="3999" priority="1859" stopIfTrue="1" operator="greaterThan">
      <formula>0</formula>
    </cfRule>
  </conditionalFormatting>
  <conditionalFormatting sqref="H8">
    <cfRule type="cellIs" dxfId="3998" priority="1858" stopIfTrue="1" operator="lessThan">
      <formula>0</formula>
    </cfRule>
  </conditionalFormatting>
  <conditionalFormatting sqref="B6">
    <cfRule type="containsBlanks" dxfId="3997" priority="1857">
      <formula>LEN(TRIM(B6))=0</formula>
    </cfRule>
  </conditionalFormatting>
  <conditionalFormatting sqref="Z8">
    <cfRule type="cellIs" dxfId="3996" priority="1856" stopIfTrue="1" operator="greaterThan">
      <formula>0</formula>
    </cfRule>
  </conditionalFormatting>
  <conditionalFormatting sqref="Z8">
    <cfRule type="cellIs" dxfId="3995" priority="1855" stopIfTrue="1" operator="lessThan">
      <formula>0</formula>
    </cfRule>
  </conditionalFormatting>
  <conditionalFormatting sqref="X14">
    <cfRule type="cellIs" dxfId="3994" priority="1853" stopIfTrue="1" operator="equal">
      <formula>"NO"</formula>
    </cfRule>
    <cfRule type="cellIs" dxfId="3993" priority="1854" stopIfTrue="1" operator="equal">
      <formula>"SI"</formula>
    </cfRule>
  </conditionalFormatting>
  <conditionalFormatting sqref="X15">
    <cfRule type="cellIs" dxfId="3992" priority="1851" stopIfTrue="1" operator="equal">
      <formula>"NO"</formula>
    </cfRule>
    <cfRule type="cellIs" dxfId="3991" priority="1852" stopIfTrue="1" operator="equal">
      <formula>"SI"</formula>
    </cfRule>
  </conditionalFormatting>
  <conditionalFormatting sqref="X16">
    <cfRule type="cellIs" dxfId="3990" priority="1849" stopIfTrue="1" operator="equal">
      <formula>"NO"</formula>
    </cfRule>
    <cfRule type="cellIs" dxfId="3989" priority="1850" stopIfTrue="1" operator="equal">
      <formula>"SI"</formula>
    </cfRule>
  </conditionalFormatting>
  <conditionalFormatting sqref="X17">
    <cfRule type="cellIs" dxfId="3988" priority="1847" stopIfTrue="1" operator="equal">
      <formula>"NO"</formula>
    </cfRule>
    <cfRule type="cellIs" dxfId="3987" priority="1848" stopIfTrue="1" operator="equal">
      <formula>"SI"</formula>
    </cfRule>
  </conditionalFormatting>
  <conditionalFormatting sqref="X18">
    <cfRule type="cellIs" dxfId="3986" priority="1845" stopIfTrue="1" operator="equal">
      <formula>"NO"</formula>
    </cfRule>
    <cfRule type="cellIs" dxfId="3985" priority="1846" stopIfTrue="1" operator="equal">
      <formula>"SI"</formula>
    </cfRule>
  </conditionalFormatting>
  <conditionalFormatting sqref="X19">
    <cfRule type="cellIs" dxfId="3984" priority="1843" stopIfTrue="1" operator="equal">
      <formula>"NO"</formula>
    </cfRule>
    <cfRule type="cellIs" dxfId="3983" priority="1844" stopIfTrue="1" operator="equal">
      <formula>"SI"</formula>
    </cfRule>
  </conditionalFormatting>
  <conditionalFormatting sqref="X20">
    <cfRule type="cellIs" dxfId="3982" priority="1841" stopIfTrue="1" operator="equal">
      <formula>"NO"</formula>
    </cfRule>
    <cfRule type="cellIs" dxfId="3981" priority="1842" stopIfTrue="1" operator="equal">
      <formula>"SI"</formula>
    </cfRule>
  </conditionalFormatting>
  <conditionalFormatting sqref="X21">
    <cfRule type="cellIs" dxfId="3980" priority="1839" stopIfTrue="1" operator="equal">
      <formula>"NO"</formula>
    </cfRule>
    <cfRule type="cellIs" dxfId="3979" priority="1840" stopIfTrue="1" operator="equal">
      <formula>"SI"</formula>
    </cfRule>
  </conditionalFormatting>
  <conditionalFormatting sqref="X22">
    <cfRule type="cellIs" dxfId="3978" priority="1837" stopIfTrue="1" operator="equal">
      <formula>"NO"</formula>
    </cfRule>
    <cfRule type="cellIs" dxfId="3977" priority="1838" stopIfTrue="1" operator="equal">
      <formula>"SI"</formula>
    </cfRule>
  </conditionalFormatting>
  <conditionalFormatting sqref="X30">
    <cfRule type="cellIs" dxfId="3976" priority="1835" stopIfTrue="1" operator="equal">
      <formula>"NO"</formula>
    </cfRule>
    <cfRule type="cellIs" dxfId="3975" priority="1836" stopIfTrue="1" operator="equal">
      <formula>"SI"</formula>
    </cfRule>
  </conditionalFormatting>
  <conditionalFormatting sqref="X31:X32">
    <cfRule type="cellIs" dxfId="3974" priority="1833" stopIfTrue="1" operator="equal">
      <formula>"NO"</formula>
    </cfRule>
    <cfRule type="cellIs" dxfId="3973" priority="1834" stopIfTrue="1" operator="equal">
      <formula>"SI"</formula>
    </cfRule>
  </conditionalFormatting>
  <conditionalFormatting sqref="X33">
    <cfRule type="cellIs" dxfId="3972" priority="1831" stopIfTrue="1" operator="equal">
      <formula>"NO"</formula>
    </cfRule>
    <cfRule type="cellIs" dxfId="3971" priority="1832" stopIfTrue="1" operator="equal">
      <formula>"SI"</formula>
    </cfRule>
  </conditionalFormatting>
  <conditionalFormatting sqref="X34">
    <cfRule type="cellIs" dxfId="3970" priority="1829" stopIfTrue="1" operator="equal">
      <formula>"NO"</formula>
    </cfRule>
    <cfRule type="cellIs" dxfId="3969" priority="1830" stopIfTrue="1" operator="equal">
      <formula>"SI"</formula>
    </cfRule>
  </conditionalFormatting>
  <conditionalFormatting sqref="X35">
    <cfRule type="cellIs" dxfId="3968" priority="1827" stopIfTrue="1" operator="equal">
      <formula>"NO"</formula>
    </cfRule>
    <cfRule type="cellIs" dxfId="3967" priority="1828" stopIfTrue="1" operator="equal">
      <formula>"SI"</formula>
    </cfRule>
  </conditionalFormatting>
  <conditionalFormatting sqref="X36">
    <cfRule type="cellIs" dxfId="3966" priority="1825" stopIfTrue="1" operator="equal">
      <formula>"NO"</formula>
    </cfRule>
    <cfRule type="cellIs" dxfId="3965" priority="1826" stopIfTrue="1" operator="equal">
      <formula>"SI"</formula>
    </cfRule>
  </conditionalFormatting>
  <conditionalFormatting sqref="X37">
    <cfRule type="cellIs" dxfId="3964" priority="1823" stopIfTrue="1" operator="equal">
      <formula>"NO"</formula>
    </cfRule>
    <cfRule type="cellIs" dxfId="3963" priority="1824" stopIfTrue="1" operator="equal">
      <formula>"SI"</formula>
    </cfRule>
  </conditionalFormatting>
  <conditionalFormatting sqref="X38">
    <cfRule type="cellIs" dxfId="3962" priority="1821" stopIfTrue="1" operator="equal">
      <formula>"NO"</formula>
    </cfRule>
    <cfRule type="cellIs" dxfId="3961" priority="1822" stopIfTrue="1" operator="equal">
      <formula>"SI"</formula>
    </cfRule>
  </conditionalFormatting>
  <conditionalFormatting sqref="X39">
    <cfRule type="cellIs" dxfId="3960" priority="1819" stopIfTrue="1" operator="equal">
      <formula>"NO"</formula>
    </cfRule>
    <cfRule type="cellIs" dxfId="3959" priority="1820" stopIfTrue="1" operator="equal">
      <formula>"SI"</formula>
    </cfRule>
  </conditionalFormatting>
  <conditionalFormatting sqref="X370">
    <cfRule type="cellIs" dxfId="3958" priority="1148" stopIfTrue="1" operator="equal">
      <formula>"NO"</formula>
    </cfRule>
    <cfRule type="cellIs" dxfId="3957" priority="1149" stopIfTrue="1" operator="equal">
      <formula>"SI"</formula>
    </cfRule>
  </conditionalFormatting>
  <conditionalFormatting sqref="X371:X372">
    <cfRule type="cellIs" dxfId="3956" priority="1146" stopIfTrue="1" operator="equal">
      <formula>"NO"</formula>
    </cfRule>
    <cfRule type="cellIs" dxfId="3955" priority="1147" stopIfTrue="1" operator="equal">
      <formula>"SI"</formula>
    </cfRule>
  </conditionalFormatting>
  <conditionalFormatting sqref="X356">
    <cfRule type="cellIs" dxfId="3954" priority="1178" stopIfTrue="1" operator="equal">
      <formula>"NO"</formula>
    </cfRule>
    <cfRule type="cellIs" dxfId="3953" priority="1179" stopIfTrue="1" operator="equal">
      <formula>"SI"</formula>
    </cfRule>
  </conditionalFormatting>
  <conditionalFormatting sqref="X357">
    <cfRule type="cellIs" dxfId="3952" priority="1176" stopIfTrue="1" operator="equal">
      <formula>"NO"</formula>
    </cfRule>
    <cfRule type="cellIs" dxfId="3951" priority="1177" stopIfTrue="1" operator="equal">
      <formula>"SI"</formula>
    </cfRule>
  </conditionalFormatting>
  <conditionalFormatting sqref="X358">
    <cfRule type="cellIs" dxfId="3950" priority="1174" stopIfTrue="1" operator="equal">
      <formula>"NO"</formula>
    </cfRule>
    <cfRule type="cellIs" dxfId="3949" priority="1175" stopIfTrue="1" operator="equal">
      <formula>"SI"</formula>
    </cfRule>
  </conditionalFormatting>
  <conditionalFormatting sqref="X359">
    <cfRule type="cellIs" dxfId="3948" priority="1172" stopIfTrue="1" operator="equal">
      <formula>"NO"</formula>
    </cfRule>
    <cfRule type="cellIs" dxfId="3947" priority="1173" stopIfTrue="1" operator="equal">
      <formula>"SI"</formula>
    </cfRule>
  </conditionalFormatting>
  <conditionalFormatting sqref="X360">
    <cfRule type="cellIs" dxfId="3946" priority="1170" stopIfTrue="1" operator="equal">
      <formula>"NO"</formula>
    </cfRule>
    <cfRule type="cellIs" dxfId="3945" priority="1171" stopIfTrue="1" operator="equal">
      <formula>"SI"</formula>
    </cfRule>
  </conditionalFormatting>
  <conditionalFormatting sqref="X361">
    <cfRule type="cellIs" dxfId="3944" priority="1168" stopIfTrue="1" operator="equal">
      <formula>"NO"</formula>
    </cfRule>
    <cfRule type="cellIs" dxfId="3943" priority="1169" stopIfTrue="1" operator="equal">
      <formula>"SI"</formula>
    </cfRule>
  </conditionalFormatting>
  <conditionalFormatting sqref="X362">
    <cfRule type="cellIs" dxfId="3942" priority="1166" stopIfTrue="1" operator="equal">
      <formula>"NO"</formula>
    </cfRule>
    <cfRule type="cellIs" dxfId="3941" priority="1167" stopIfTrue="1" operator="equal">
      <formula>"SI"</formula>
    </cfRule>
  </conditionalFormatting>
  <conditionalFormatting sqref="X353">
    <cfRule type="cellIs" dxfId="3940" priority="1182" stopIfTrue="1" operator="equal">
      <formula>"NO"</formula>
    </cfRule>
    <cfRule type="cellIs" dxfId="3939" priority="1183" stopIfTrue="1" operator="equal">
      <formula>"SI"</formula>
    </cfRule>
  </conditionalFormatting>
  <conditionalFormatting sqref="X354:X355">
    <cfRule type="cellIs" dxfId="3938" priority="1180" stopIfTrue="1" operator="equal">
      <formula>"NO"</formula>
    </cfRule>
    <cfRule type="cellIs" dxfId="3937" priority="1181" stopIfTrue="1" operator="equal">
      <formula>"SI"</formula>
    </cfRule>
  </conditionalFormatting>
  <conditionalFormatting sqref="X342">
    <cfRule type="cellIs" dxfId="3936" priority="1206" stopIfTrue="1" operator="equal">
      <formula>"NO"</formula>
    </cfRule>
    <cfRule type="cellIs" dxfId="3935" priority="1207" stopIfTrue="1" operator="equal">
      <formula>"SI"</formula>
    </cfRule>
  </conditionalFormatting>
  <conditionalFormatting sqref="X343">
    <cfRule type="cellIs" dxfId="3934" priority="1204" stopIfTrue="1" operator="equal">
      <formula>"NO"</formula>
    </cfRule>
    <cfRule type="cellIs" dxfId="3933" priority="1205" stopIfTrue="1" operator="equal">
      <formula>"SI"</formula>
    </cfRule>
  </conditionalFormatting>
  <conditionalFormatting sqref="X344">
    <cfRule type="cellIs" dxfId="3932" priority="1202" stopIfTrue="1" operator="equal">
      <formula>"NO"</formula>
    </cfRule>
    <cfRule type="cellIs" dxfId="3931" priority="1203" stopIfTrue="1" operator="equal">
      <formula>"SI"</formula>
    </cfRule>
  </conditionalFormatting>
  <conditionalFormatting sqref="X345">
    <cfRule type="cellIs" dxfId="3930" priority="1200" stopIfTrue="1" operator="equal">
      <formula>"NO"</formula>
    </cfRule>
    <cfRule type="cellIs" dxfId="3929" priority="1201" stopIfTrue="1" operator="equal">
      <formula>"SI"</formula>
    </cfRule>
  </conditionalFormatting>
  <conditionalFormatting sqref="X336">
    <cfRule type="cellIs" dxfId="3928" priority="1216" stopIfTrue="1" operator="equal">
      <formula>"NO"</formula>
    </cfRule>
    <cfRule type="cellIs" dxfId="3927" priority="1217" stopIfTrue="1" operator="equal">
      <formula>"SI"</formula>
    </cfRule>
  </conditionalFormatting>
  <conditionalFormatting sqref="X337:X338">
    <cfRule type="cellIs" dxfId="3926" priority="1214" stopIfTrue="1" operator="equal">
      <formula>"NO"</formula>
    </cfRule>
    <cfRule type="cellIs" dxfId="3925" priority="1215" stopIfTrue="1" operator="equal">
      <formula>"SI"</formula>
    </cfRule>
  </conditionalFormatting>
  <conditionalFormatting sqref="X339">
    <cfRule type="cellIs" dxfId="3924" priority="1212" stopIfTrue="1" operator="equal">
      <formula>"NO"</formula>
    </cfRule>
    <cfRule type="cellIs" dxfId="3923" priority="1213" stopIfTrue="1" operator="equal">
      <formula>"SI"</formula>
    </cfRule>
  </conditionalFormatting>
  <conditionalFormatting sqref="X340">
    <cfRule type="cellIs" dxfId="3922" priority="1210" stopIfTrue="1" operator="equal">
      <formula>"NO"</formula>
    </cfRule>
    <cfRule type="cellIs" dxfId="3921" priority="1211" stopIfTrue="1" operator="equal">
      <formula>"SI"</formula>
    </cfRule>
  </conditionalFormatting>
  <conditionalFormatting sqref="X341">
    <cfRule type="cellIs" dxfId="3920" priority="1208" stopIfTrue="1" operator="equal">
      <formula>"NO"</formula>
    </cfRule>
    <cfRule type="cellIs" dxfId="3919" priority="1209" stopIfTrue="1" operator="equal">
      <formula>"SI"</formula>
    </cfRule>
  </conditionalFormatting>
  <conditionalFormatting sqref="X328">
    <cfRule type="cellIs" dxfId="3918" priority="1234" stopIfTrue="1" operator="equal">
      <formula>"NO"</formula>
    </cfRule>
    <cfRule type="cellIs" dxfId="3917" priority="1235" stopIfTrue="1" operator="equal">
      <formula>"SI"</formula>
    </cfRule>
  </conditionalFormatting>
  <conditionalFormatting sqref="X320:X321">
    <cfRule type="cellIs" dxfId="3916" priority="1248" stopIfTrue="1" operator="equal">
      <formula>"NO"</formula>
    </cfRule>
    <cfRule type="cellIs" dxfId="3915" priority="1249" stopIfTrue="1" operator="equal">
      <formula>"SI"</formula>
    </cfRule>
  </conditionalFormatting>
  <conditionalFormatting sqref="X322">
    <cfRule type="cellIs" dxfId="3914" priority="1246" stopIfTrue="1" operator="equal">
      <formula>"NO"</formula>
    </cfRule>
    <cfRule type="cellIs" dxfId="3913" priority="1247" stopIfTrue="1" operator="equal">
      <formula>"SI"</formula>
    </cfRule>
  </conditionalFormatting>
  <conditionalFormatting sqref="X323">
    <cfRule type="cellIs" dxfId="3912" priority="1244" stopIfTrue="1" operator="equal">
      <formula>"NO"</formula>
    </cfRule>
    <cfRule type="cellIs" dxfId="3911" priority="1245" stopIfTrue="1" operator="equal">
      <formula>"SI"</formula>
    </cfRule>
  </conditionalFormatting>
  <conditionalFormatting sqref="X324">
    <cfRule type="cellIs" dxfId="3910" priority="1242" stopIfTrue="1" operator="equal">
      <formula>"NO"</formula>
    </cfRule>
    <cfRule type="cellIs" dxfId="3909" priority="1243" stopIfTrue="1" operator="equal">
      <formula>"SI"</formula>
    </cfRule>
  </conditionalFormatting>
  <conditionalFormatting sqref="X325">
    <cfRule type="cellIs" dxfId="3908" priority="1240" stopIfTrue="1" operator="equal">
      <formula>"NO"</formula>
    </cfRule>
    <cfRule type="cellIs" dxfId="3907" priority="1241" stopIfTrue="1" operator="equal">
      <formula>"SI"</formula>
    </cfRule>
  </conditionalFormatting>
  <conditionalFormatting sqref="X326">
    <cfRule type="cellIs" dxfId="3906" priority="1238" stopIfTrue="1" operator="equal">
      <formula>"NO"</formula>
    </cfRule>
    <cfRule type="cellIs" dxfId="3905" priority="1239" stopIfTrue="1" operator="equal">
      <formula>"SI"</formula>
    </cfRule>
  </conditionalFormatting>
  <conditionalFormatting sqref="X327">
    <cfRule type="cellIs" dxfId="3904" priority="1236" stopIfTrue="1" operator="equal">
      <formula>"NO"</formula>
    </cfRule>
    <cfRule type="cellIs" dxfId="3903" priority="1237" stopIfTrue="1" operator="equal">
      <formula>"SI"</formula>
    </cfRule>
  </conditionalFormatting>
  <conditionalFormatting sqref="X319">
    <cfRule type="cellIs" dxfId="3902" priority="1250" stopIfTrue="1" operator="equal">
      <formula>"NO"</formula>
    </cfRule>
    <cfRule type="cellIs" dxfId="3901" priority="1251" stopIfTrue="1" operator="equal">
      <formula>"SI"</formula>
    </cfRule>
  </conditionalFormatting>
  <conditionalFormatting sqref="X307">
    <cfRule type="cellIs" dxfId="3900" priority="1276" stopIfTrue="1" operator="equal">
      <formula>"NO"</formula>
    </cfRule>
    <cfRule type="cellIs" dxfId="3899" priority="1277" stopIfTrue="1" operator="equal">
      <formula>"SI"</formula>
    </cfRule>
  </conditionalFormatting>
  <conditionalFormatting sqref="X308">
    <cfRule type="cellIs" dxfId="3898" priority="1274" stopIfTrue="1" operator="equal">
      <formula>"NO"</formula>
    </cfRule>
    <cfRule type="cellIs" dxfId="3897" priority="1275" stopIfTrue="1" operator="equal">
      <formula>"SI"</formula>
    </cfRule>
  </conditionalFormatting>
  <conditionalFormatting sqref="X309">
    <cfRule type="cellIs" dxfId="3896" priority="1272" stopIfTrue="1" operator="equal">
      <formula>"NO"</formula>
    </cfRule>
    <cfRule type="cellIs" dxfId="3895" priority="1273" stopIfTrue="1" operator="equal">
      <formula>"SI"</formula>
    </cfRule>
  </conditionalFormatting>
  <conditionalFormatting sqref="X310">
    <cfRule type="cellIs" dxfId="3894" priority="1270" stopIfTrue="1" operator="equal">
      <formula>"NO"</formula>
    </cfRule>
    <cfRule type="cellIs" dxfId="3893" priority="1271" stopIfTrue="1" operator="equal">
      <formula>"SI"</formula>
    </cfRule>
  </conditionalFormatting>
  <conditionalFormatting sqref="X311">
    <cfRule type="cellIs" dxfId="3892" priority="1268" stopIfTrue="1" operator="equal">
      <formula>"NO"</formula>
    </cfRule>
    <cfRule type="cellIs" dxfId="3891" priority="1269" stopIfTrue="1" operator="equal">
      <formula>"SI"</formula>
    </cfRule>
  </conditionalFormatting>
  <conditionalFormatting sqref="X302">
    <cfRule type="cellIs" dxfId="3890" priority="1284" stopIfTrue="1" operator="equal">
      <formula>"NO"</formula>
    </cfRule>
    <cfRule type="cellIs" dxfId="3889" priority="1285" stopIfTrue="1" operator="equal">
      <formula>"SI"</formula>
    </cfRule>
  </conditionalFormatting>
  <conditionalFormatting sqref="X303:X304">
    <cfRule type="cellIs" dxfId="3888" priority="1282" stopIfTrue="1" operator="equal">
      <formula>"NO"</formula>
    </cfRule>
    <cfRule type="cellIs" dxfId="3887" priority="1283" stopIfTrue="1" operator="equal">
      <formula>"SI"</formula>
    </cfRule>
  </conditionalFormatting>
  <conditionalFormatting sqref="X305">
    <cfRule type="cellIs" dxfId="3886" priority="1280" stopIfTrue="1" operator="equal">
      <formula>"NO"</formula>
    </cfRule>
    <cfRule type="cellIs" dxfId="3885" priority="1281" stopIfTrue="1" operator="equal">
      <formula>"SI"</formula>
    </cfRule>
  </conditionalFormatting>
  <conditionalFormatting sqref="X306">
    <cfRule type="cellIs" dxfId="3884" priority="1278" stopIfTrue="1" operator="equal">
      <formula>"NO"</formula>
    </cfRule>
    <cfRule type="cellIs" dxfId="3883" priority="1279" stopIfTrue="1" operator="equal">
      <formula>"SI"</formula>
    </cfRule>
  </conditionalFormatting>
  <conditionalFormatting sqref="X285">
    <cfRule type="cellIs" dxfId="3882" priority="1318" stopIfTrue="1" operator="equal">
      <formula>"NO"</formula>
    </cfRule>
    <cfRule type="cellIs" dxfId="3881" priority="1319" stopIfTrue="1" operator="equal">
      <formula>"SI"</formula>
    </cfRule>
  </conditionalFormatting>
  <conditionalFormatting sqref="X286:X287">
    <cfRule type="cellIs" dxfId="3880" priority="1316" stopIfTrue="1" operator="equal">
      <formula>"NO"</formula>
    </cfRule>
    <cfRule type="cellIs" dxfId="3879" priority="1317" stopIfTrue="1" operator="equal">
      <formula>"SI"</formula>
    </cfRule>
  </conditionalFormatting>
  <conditionalFormatting sqref="X288">
    <cfRule type="cellIs" dxfId="3878" priority="1314" stopIfTrue="1" operator="equal">
      <formula>"NO"</formula>
    </cfRule>
    <cfRule type="cellIs" dxfId="3877" priority="1315" stopIfTrue="1" operator="equal">
      <formula>"SI"</formula>
    </cfRule>
  </conditionalFormatting>
  <conditionalFormatting sqref="X289">
    <cfRule type="cellIs" dxfId="3876" priority="1312" stopIfTrue="1" operator="equal">
      <formula>"NO"</formula>
    </cfRule>
    <cfRule type="cellIs" dxfId="3875" priority="1313" stopIfTrue="1" operator="equal">
      <formula>"SI"</formula>
    </cfRule>
  </conditionalFormatting>
  <conditionalFormatting sqref="X290">
    <cfRule type="cellIs" dxfId="3874" priority="1310" stopIfTrue="1" operator="equal">
      <formula>"NO"</formula>
    </cfRule>
    <cfRule type="cellIs" dxfId="3873" priority="1311" stopIfTrue="1" operator="equal">
      <formula>"SI"</formula>
    </cfRule>
  </conditionalFormatting>
  <conditionalFormatting sqref="X291">
    <cfRule type="cellIs" dxfId="3872" priority="1308" stopIfTrue="1" operator="equal">
      <formula>"NO"</formula>
    </cfRule>
    <cfRule type="cellIs" dxfId="3871" priority="1309" stopIfTrue="1" operator="equal">
      <formula>"SI"</formula>
    </cfRule>
  </conditionalFormatting>
  <conditionalFormatting sqref="X292">
    <cfRule type="cellIs" dxfId="3870" priority="1306" stopIfTrue="1" operator="equal">
      <formula>"NO"</formula>
    </cfRule>
    <cfRule type="cellIs" dxfId="3869" priority="1307" stopIfTrue="1" operator="equal">
      <formula>"SI"</formula>
    </cfRule>
  </conditionalFormatting>
  <conditionalFormatting sqref="X293">
    <cfRule type="cellIs" dxfId="3868" priority="1304" stopIfTrue="1" operator="equal">
      <formula>"NO"</formula>
    </cfRule>
    <cfRule type="cellIs" dxfId="3867" priority="1305" stopIfTrue="1" operator="equal">
      <formula>"SI"</formula>
    </cfRule>
  </conditionalFormatting>
  <conditionalFormatting sqref="X294">
    <cfRule type="cellIs" dxfId="3866" priority="1302" stopIfTrue="1" operator="equal">
      <formula>"NO"</formula>
    </cfRule>
    <cfRule type="cellIs" dxfId="3865" priority="1303" stopIfTrue="1" operator="equal">
      <formula>"SI"</formula>
    </cfRule>
  </conditionalFormatting>
  <conditionalFormatting sqref="X275">
    <cfRule type="cellIs" dxfId="3864" priority="1340" stopIfTrue="1" operator="equal">
      <formula>"NO"</formula>
    </cfRule>
    <cfRule type="cellIs" dxfId="3863" priority="1341" stopIfTrue="1" operator="equal">
      <formula>"SI"</formula>
    </cfRule>
  </conditionalFormatting>
  <conditionalFormatting sqref="X276">
    <cfRule type="cellIs" dxfId="3862" priority="1338" stopIfTrue="1" operator="equal">
      <formula>"NO"</formula>
    </cfRule>
    <cfRule type="cellIs" dxfId="3861" priority="1339" stopIfTrue="1" operator="equal">
      <formula>"SI"</formula>
    </cfRule>
  </conditionalFormatting>
  <conditionalFormatting sqref="X277">
    <cfRule type="cellIs" dxfId="3860" priority="1336" stopIfTrue="1" operator="equal">
      <formula>"NO"</formula>
    </cfRule>
    <cfRule type="cellIs" dxfId="3859" priority="1337" stopIfTrue="1" operator="equal">
      <formula>"SI"</formula>
    </cfRule>
  </conditionalFormatting>
  <conditionalFormatting sqref="X268">
    <cfRule type="cellIs" dxfId="3858" priority="1352" stopIfTrue="1" operator="equal">
      <formula>"NO"</formula>
    </cfRule>
    <cfRule type="cellIs" dxfId="3857" priority="1353" stopIfTrue="1" operator="equal">
      <formula>"SI"</formula>
    </cfRule>
  </conditionalFormatting>
  <conditionalFormatting sqref="X269:X270">
    <cfRule type="cellIs" dxfId="3856" priority="1350" stopIfTrue="1" operator="equal">
      <formula>"NO"</formula>
    </cfRule>
    <cfRule type="cellIs" dxfId="3855" priority="1351" stopIfTrue="1" operator="equal">
      <formula>"SI"</formula>
    </cfRule>
  </conditionalFormatting>
  <conditionalFormatting sqref="X271">
    <cfRule type="cellIs" dxfId="3854" priority="1348" stopIfTrue="1" operator="equal">
      <formula>"NO"</formula>
    </cfRule>
    <cfRule type="cellIs" dxfId="3853" priority="1349" stopIfTrue="1" operator="equal">
      <formula>"SI"</formula>
    </cfRule>
  </conditionalFormatting>
  <conditionalFormatting sqref="X272">
    <cfRule type="cellIs" dxfId="3852" priority="1346" stopIfTrue="1" operator="equal">
      <formula>"NO"</formula>
    </cfRule>
    <cfRule type="cellIs" dxfId="3851" priority="1347" stopIfTrue="1" operator="equal">
      <formula>"SI"</formula>
    </cfRule>
  </conditionalFormatting>
  <conditionalFormatting sqref="X273">
    <cfRule type="cellIs" dxfId="3850" priority="1344" stopIfTrue="1" operator="equal">
      <formula>"NO"</formula>
    </cfRule>
    <cfRule type="cellIs" dxfId="3849" priority="1345" stopIfTrue="1" operator="equal">
      <formula>"SI"</formula>
    </cfRule>
  </conditionalFormatting>
  <conditionalFormatting sqref="X274">
    <cfRule type="cellIs" dxfId="3848" priority="1342" stopIfTrue="1" operator="equal">
      <formula>"NO"</formula>
    </cfRule>
    <cfRule type="cellIs" dxfId="3847" priority="1343" stopIfTrue="1" operator="equal">
      <formula>"SI"</formula>
    </cfRule>
  </conditionalFormatting>
  <conditionalFormatting sqref="X254">
    <cfRule type="cellIs" dxfId="3846" priority="1382" stopIfTrue="1" operator="equal">
      <formula>"NO"</formula>
    </cfRule>
    <cfRule type="cellIs" dxfId="3845" priority="1383" stopIfTrue="1" operator="equal">
      <formula>"SI"</formula>
    </cfRule>
  </conditionalFormatting>
  <conditionalFormatting sqref="X255">
    <cfRule type="cellIs" dxfId="3844" priority="1380" stopIfTrue="1" operator="equal">
      <formula>"NO"</formula>
    </cfRule>
    <cfRule type="cellIs" dxfId="3843" priority="1381" stopIfTrue="1" operator="equal">
      <formula>"SI"</formula>
    </cfRule>
  </conditionalFormatting>
  <conditionalFormatting sqref="X256">
    <cfRule type="cellIs" dxfId="3842" priority="1378" stopIfTrue="1" operator="equal">
      <formula>"NO"</formula>
    </cfRule>
    <cfRule type="cellIs" dxfId="3841" priority="1379" stopIfTrue="1" operator="equal">
      <formula>"SI"</formula>
    </cfRule>
  </conditionalFormatting>
  <conditionalFormatting sqref="X257">
    <cfRule type="cellIs" dxfId="3840" priority="1376" stopIfTrue="1" operator="equal">
      <formula>"NO"</formula>
    </cfRule>
    <cfRule type="cellIs" dxfId="3839" priority="1377" stopIfTrue="1" operator="equal">
      <formula>"SI"</formula>
    </cfRule>
  </conditionalFormatting>
  <conditionalFormatting sqref="X258">
    <cfRule type="cellIs" dxfId="3838" priority="1374" stopIfTrue="1" operator="equal">
      <formula>"NO"</formula>
    </cfRule>
    <cfRule type="cellIs" dxfId="3837" priority="1375" stopIfTrue="1" operator="equal">
      <formula>"SI"</formula>
    </cfRule>
  </conditionalFormatting>
  <conditionalFormatting sqref="X259">
    <cfRule type="cellIs" dxfId="3836" priority="1372" stopIfTrue="1" operator="equal">
      <formula>"NO"</formula>
    </cfRule>
    <cfRule type="cellIs" dxfId="3835" priority="1373" stopIfTrue="1" operator="equal">
      <formula>"SI"</formula>
    </cfRule>
  </conditionalFormatting>
  <conditionalFormatting sqref="X260">
    <cfRule type="cellIs" dxfId="3834" priority="1370" stopIfTrue="1" operator="equal">
      <formula>"NO"</formula>
    </cfRule>
    <cfRule type="cellIs" dxfId="3833" priority="1371" stopIfTrue="1" operator="equal">
      <formula>"SI"</formula>
    </cfRule>
  </conditionalFormatting>
  <conditionalFormatting sqref="X251">
    <cfRule type="cellIs" dxfId="3832" priority="1386" stopIfTrue="1" operator="equal">
      <formula>"NO"</formula>
    </cfRule>
    <cfRule type="cellIs" dxfId="3831" priority="1387" stopIfTrue="1" operator="equal">
      <formula>"SI"</formula>
    </cfRule>
  </conditionalFormatting>
  <conditionalFormatting sqref="X252:X253">
    <cfRule type="cellIs" dxfId="3830" priority="1384" stopIfTrue="1" operator="equal">
      <formula>"NO"</formula>
    </cfRule>
    <cfRule type="cellIs" dxfId="3829" priority="1385" stopIfTrue="1" operator="equal">
      <formula>"SI"</formula>
    </cfRule>
  </conditionalFormatting>
  <conditionalFormatting sqref="X240">
    <cfRule type="cellIs" dxfId="3828" priority="1410" stopIfTrue="1" operator="equal">
      <formula>"NO"</formula>
    </cfRule>
    <cfRule type="cellIs" dxfId="3827" priority="1411" stopIfTrue="1" operator="equal">
      <formula>"SI"</formula>
    </cfRule>
  </conditionalFormatting>
  <conditionalFormatting sqref="X241">
    <cfRule type="cellIs" dxfId="3826" priority="1408" stopIfTrue="1" operator="equal">
      <formula>"NO"</formula>
    </cfRule>
    <cfRule type="cellIs" dxfId="3825" priority="1409" stopIfTrue="1" operator="equal">
      <formula>"SI"</formula>
    </cfRule>
  </conditionalFormatting>
  <conditionalFormatting sqref="X242">
    <cfRule type="cellIs" dxfId="3824" priority="1406" stopIfTrue="1" operator="equal">
      <formula>"NO"</formula>
    </cfRule>
    <cfRule type="cellIs" dxfId="3823" priority="1407" stopIfTrue="1" operator="equal">
      <formula>"SI"</formula>
    </cfRule>
  </conditionalFormatting>
  <conditionalFormatting sqref="X243">
    <cfRule type="cellIs" dxfId="3822" priority="1404" stopIfTrue="1" operator="equal">
      <formula>"NO"</formula>
    </cfRule>
    <cfRule type="cellIs" dxfId="3821" priority="1405" stopIfTrue="1" operator="equal">
      <formula>"SI"</formula>
    </cfRule>
  </conditionalFormatting>
  <conditionalFormatting sqref="X234">
    <cfRule type="cellIs" dxfId="3820" priority="1420" stopIfTrue="1" operator="equal">
      <formula>"NO"</formula>
    </cfRule>
    <cfRule type="cellIs" dxfId="3819" priority="1421" stopIfTrue="1" operator="equal">
      <formula>"SI"</formula>
    </cfRule>
  </conditionalFormatting>
  <conditionalFormatting sqref="X235:X236">
    <cfRule type="cellIs" dxfId="3818" priority="1418" stopIfTrue="1" operator="equal">
      <formula>"NO"</formula>
    </cfRule>
    <cfRule type="cellIs" dxfId="3817" priority="1419" stopIfTrue="1" operator="equal">
      <formula>"SI"</formula>
    </cfRule>
  </conditionalFormatting>
  <conditionalFormatting sqref="X237">
    <cfRule type="cellIs" dxfId="3816" priority="1416" stopIfTrue="1" operator="equal">
      <formula>"NO"</formula>
    </cfRule>
    <cfRule type="cellIs" dxfId="3815" priority="1417" stopIfTrue="1" operator="equal">
      <formula>"SI"</formula>
    </cfRule>
  </conditionalFormatting>
  <conditionalFormatting sqref="X238">
    <cfRule type="cellIs" dxfId="3814" priority="1414" stopIfTrue="1" operator="equal">
      <formula>"NO"</formula>
    </cfRule>
    <cfRule type="cellIs" dxfId="3813" priority="1415" stopIfTrue="1" operator="equal">
      <formula>"SI"</formula>
    </cfRule>
  </conditionalFormatting>
  <conditionalFormatting sqref="X239">
    <cfRule type="cellIs" dxfId="3812" priority="1412" stopIfTrue="1" operator="equal">
      <formula>"NO"</formula>
    </cfRule>
    <cfRule type="cellIs" dxfId="3811" priority="1413" stopIfTrue="1" operator="equal">
      <formula>"SI"</formula>
    </cfRule>
  </conditionalFormatting>
  <conditionalFormatting sqref="X226">
    <cfRule type="cellIs" dxfId="3810" priority="1438" stopIfTrue="1" operator="equal">
      <formula>"NO"</formula>
    </cfRule>
    <cfRule type="cellIs" dxfId="3809" priority="1439" stopIfTrue="1" operator="equal">
      <formula>"SI"</formula>
    </cfRule>
  </conditionalFormatting>
  <conditionalFormatting sqref="X218:X219">
    <cfRule type="cellIs" dxfId="3808" priority="1452" stopIfTrue="1" operator="equal">
      <formula>"NO"</formula>
    </cfRule>
    <cfRule type="cellIs" dxfId="3807" priority="1453" stopIfTrue="1" operator="equal">
      <formula>"SI"</formula>
    </cfRule>
  </conditionalFormatting>
  <conditionalFormatting sqref="X220">
    <cfRule type="cellIs" dxfId="3806" priority="1450" stopIfTrue="1" operator="equal">
      <formula>"NO"</formula>
    </cfRule>
    <cfRule type="cellIs" dxfId="3805" priority="1451" stopIfTrue="1" operator="equal">
      <formula>"SI"</formula>
    </cfRule>
  </conditionalFormatting>
  <conditionalFormatting sqref="X221">
    <cfRule type="cellIs" dxfId="3804" priority="1448" stopIfTrue="1" operator="equal">
      <formula>"NO"</formula>
    </cfRule>
    <cfRule type="cellIs" dxfId="3803" priority="1449" stopIfTrue="1" operator="equal">
      <formula>"SI"</formula>
    </cfRule>
  </conditionalFormatting>
  <conditionalFormatting sqref="X222">
    <cfRule type="cellIs" dxfId="3802" priority="1446" stopIfTrue="1" operator="equal">
      <formula>"NO"</formula>
    </cfRule>
    <cfRule type="cellIs" dxfId="3801" priority="1447" stopIfTrue="1" operator="equal">
      <formula>"SI"</formula>
    </cfRule>
  </conditionalFormatting>
  <conditionalFormatting sqref="X223">
    <cfRule type="cellIs" dxfId="3800" priority="1444" stopIfTrue="1" operator="equal">
      <formula>"NO"</formula>
    </cfRule>
    <cfRule type="cellIs" dxfId="3799" priority="1445" stopIfTrue="1" operator="equal">
      <formula>"SI"</formula>
    </cfRule>
  </conditionalFormatting>
  <conditionalFormatting sqref="X224">
    <cfRule type="cellIs" dxfId="3798" priority="1442" stopIfTrue="1" operator="equal">
      <formula>"NO"</formula>
    </cfRule>
    <cfRule type="cellIs" dxfId="3797" priority="1443" stopIfTrue="1" operator="equal">
      <formula>"SI"</formula>
    </cfRule>
  </conditionalFormatting>
  <conditionalFormatting sqref="X225">
    <cfRule type="cellIs" dxfId="3796" priority="1440" stopIfTrue="1" operator="equal">
      <formula>"NO"</formula>
    </cfRule>
    <cfRule type="cellIs" dxfId="3795" priority="1441" stopIfTrue="1" operator="equal">
      <formula>"SI"</formula>
    </cfRule>
  </conditionalFormatting>
  <conditionalFormatting sqref="X217">
    <cfRule type="cellIs" dxfId="3794" priority="1454" stopIfTrue="1" operator="equal">
      <formula>"NO"</formula>
    </cfRule>
    <cfRule type="cellIs" dxfId="3793" priority="1455" stopIfTrue="1" operator="equal">
      <formula>"SI"</formula>
    </cfRule>
  </conditionalFormatting>
  <conditionalFormatting sqref="X205">
    <cfRule type="cellIs" dxfId="3792" priority="1480" stopIfTrue="1" operator="equal">
      <formula>"NO"</formula>
    </cfRule>
    <cfRule type="cellIs" dxfId="3791" priority="1481" stopIfTrue="1" operator="equal">
      <formula>"SI"</formula>
    </cfRule>
  </conditionalFormatting>
  <conditionalFormatting sqref="X206">
    <cfRule type="cellIs" dxfId="3790" priority="1478" stopIfTrue="1" operator="equal">
      <formula>"NO"</formula>
    </cfRule>
    <cfRule type="cellIs" dxfId="3789" priority="1479" stopIfTrue="1" operator="equal">
      <formula>"SI"</formula>
    </cfRule>
  </conditionalFormatting>
  <conditionalFormatting sqref="X207">
    <cfRule type="cellIs" dxfId="3788" priority="1476" stopIfTrue="1" operator="equal">
      <formula>"NO"</formula>
    </cfRule>
    <cfRule type="cellIs" dxfId="3787" priority="1477" stopIfTrue="1" operator="equal">
      <formula>"SI"</formula>
    </cfRule>
  </conditionalFormatting>
  <conditionalFormatting sqref="X208">
    <cfRule type="cellIs" dxfId="3786" priority="1474" stopIfTrue="1" operator="equal">
      <formula>"NO"</formula>
    </cfRule>
    <cfRule type="cellIs" dxfId="3785" priority="1475" stopIfTrue="1" operator="equal">
      <formula>"SI"</formula>
    </cfRule>
  </conditionalFormatting>
  <conditionalFormatting sqref="X209">
    <cfRule type="cellIs" dxfId="3784" priority="1472" stopIfTrue="1" operator="equal">
      <formula>"NO"</formula>
    </cfRule>
    <cfRule type="cellIs" dxfId="3783" priority="1473" stopIfTrue="1" operator="equal">
      <formula>"SI"</formula>
    </cfRule>
  </conditionalFormatting>
  <conditionalFormatting sqref="X200">
    <cfRule type="cellIs" dxfId="3782" priority="1488" stopIfTrue="1" operator="equal">
      <formula>"NO"</formula>
    </cfRule>
    <cfRule type="cellIs" dxfId="3781" priority="1489" stopIfTrue="1" operator="equal">
      <formula>"SI"</formula>
    </cfRule>
  </conditionalFormatting>
  <conditionalFormatting sqref="X201:X202">
    <cfRule type="cellIs" dxfId="3780" priority="1486" stopIfTrue="1" operator="equal">
      <formula>"NO"</formula>
    </cfRule>
    <cfRule type="cellIs" dxfId="3779" priority="1487" stopIfTrue="1" operator="equal">
      <formula>"SI"</formula>
    </cfRule>
  </conditionalFormatting>
  <conditionalFormatting sqref="X203">
    <cfRule type="cellIs" dxfId="3778" priority="1484" stopIfTrue="1" operator="equal">
      <formula>"NO"</formula>
    </cfRule>
    <cfRule type="cellIs" dxfId="3777" priority="1485" stopIfTrue="1" operator="equal">
      <formula>"SI"</formula>
    </cfRule>
  </conditionalFormatting>
  <conditionalFormatting sqref="X204">
    <cfRule type="cellIs" dxfId="3776" priority="1482" stopIfTrue="1" operator="equal">
      <formula>"NO"</formula>
    </cfRule>
    <cfRule type="cellIs" dxfId="3775" priority="1483" stopIfTrue="1" operator="equal">
      <formula>"SI"</formula>
    </cfRule>
  </conditionalFormatting>
  <conditionalFormatting sqref="X191">
    <cfRule type="cellIs" dxfId="3774" priority="1508" stopIfTrue="1" operator="equal">
      <formula>"NO"</formula>
    </cfRule>
    <cfRule type="cellIs" dxfId="3773" priority="1509" stopIfTrue="1" operator="equal">
      <formula>"SI"</formula>
    </cfRule>
  </conditionalFormatting>
  <conditionalFormatting sqref="X192">
    <cfRule type="cellIs" dxfId="3772" priority="1506" stopIfTrue="1" operator="equal">
      <formula>"NO"</formula>
    </cfRule>
    <cfRule type="cellIs" dxfId="3771" priority="1507" stopIfTrue="1" operator="equal">
      <formula>"SI"</formula>
    </cfRule>
  </conditionalFormatting>
  <conditionalFormatting sqref="X183">
    <cfRule type="cellIs" dxfId="3770" priority="1522" stopIfTrue="1" operator="equal">
      <formula>"NO"</formula>
    </cfRule>
    <cfRule type="cellIs" dxfId="3769" priority="1523" stopIfTrue="1" operator="equal">
      <formula>"SI"</formula>
    </cfRule>
  </conditionalFormatting>
  <conditionalFormatting sqref="X184:X185">
    <cfRule type="cellIs" dxfId="3768" priority="1520" stopIfTrue="1" operator="equal">
      <formula>"NO"</formula>
    </cfRule>
    <cfRule type="cellIs" dxfId="3767" priority="1521" stopIfTrue="1" operator="equal">
      <formula>"SI"</formula>
    </cfRule>
  </conditionalFormatting>
  <conditionalFormatting sqref="X186">
    <cfRule type="cellIs" dxfId="3766" priority="1518" stopIfTrue="1" operator="equal">
      <formula>"NO"</formula>
    </cfRule>
    <cfRule type="cellIs" dxfId="3765" priority="1519" stopIfTrue="1" operator="equal">
      <formula>"SI"</formula>
    </cfRule>
  </conditionalFormatting>
  <conditionalFormatting sqref="X187">
    <cfRule type="cellIs" dxfId="3764" priority="1516" stopIfTrue="1" operator="equal">
      <formula>"NO"</formula>
    </cfRule>
    <cfRule type="cellIs" dxfId="3763" priority="1517" stopIfTrue="1" operator="equal">
      <formula>"SI"</formula>
    </cfRule>
  </conditionalFormatting>
  <conditionalFormatting sqref="X188">
    <cfRule type="cellIs" dxfId="3762" priority="1514" stopIfTrue="1" operator="equal">
      <formula>"NO"</formula>
    </cfRule>
    <cfRule type="cellIs" dxfId="3761" priority="1515" stopIfTrue="1" operator="equal">
      <formula>"SI"</formula>
    </cfRule>
  </conditionalFormatting>
  <conditionalFormatting sqref="X189">
    <cfRule type="cellIs" dxfId="3760" priority="1512" stopIfTrue="1" operator="equal">
      <formula>"NO"</formula>
    </cfRule>
    <cfRule type="cellIs" dxfId="3759" priority="1513" stopIfTrue="1" operator="equal">
      <formula>"SI"</formula>
    </cfRule>
  </conditionalFormatting>
  <conditionalFormatting sqref="X190">
    <cfRule type="cellIs" dxfId="3758" priority="1510" stopIfTrue="1" operator="equal">
      <formula>"NO"</formula>
    </cfRule>
    <cfRule type="cellIs" dxfId="3757" priority="1511" stopIfTrue="1" operator="equal">
      <formula>"SI"</formula>
    </cfRule>
  </conditionalFormatting>
  <conditionalFormatting sqref="X170">
    <cfRule type="cellIs" dxfId="3756" priority="1550" stopIfTrue="1" operator="equal">
      <formula>"NO"</formula>
    </cfRule>
    <cfRule type="cellIs" dxfId="3755" priority="1551" stopIfTrue="1" operator="equal">
      <formula>"SI"</formula>
    </cfRule>
  </conditionalFormatting>
  <conditionalFormatting sqref="X171">
    <cfRule type="cellIs" dxfId="3754" priority="1548" stopIfTrue="1" operator="equal">
      <formula>"NO"</formula>
    </cfRule>
    <cfRule type="cellIs" dxfId="3753" priority="1549" stopIfTrue="1" operator="equal">
      <formula>"SI"</formula>
    </cfRule>
  </conditionalFormatting>
  <conditionalFormatting sqref="X172">
    <cfRule type="cellIs" dxfId="3752" priority="1546" stopIfTrue="1" operator="equal">
      <formula>"NO"</formula>
    </cfRule>
    <cfRule type="cellIs" dxfId="3751" priority="1547" stopIfTrue="1" operator="equal">
      <formula>"SI"</formula>
    </cfRule>
  </conditionalFormatting>
  <conditionalFormatting sqref="X173">
    <cfRule type="cellIs" dxfId="3750" priority="1544" stopIfTrue="1" operator="equal">
      <formula>"NO"</formula>
    </cfRule>
    <cfRule type="cellIs" dxfId="3749" priority="1545" stopIfTrue="1" operator="equal">
      <formula>"SI"</formula>
    </cfRule>
  </conditionalFormatting>
  <conditionalFormatting sqref="X174">
    <cfRule type="cellIs" dxfId="3748" priority="1542" stopIfTrue="1" operator="equal">
      <formula>"NO"</formula>
    </cfRule>
    <cfRule type="cellIs" dxfId="3747" priority="1543" stopIfTrue="1" operator="equal">
      <formula>"SI"</formula>
    </cfRule>
  </conditionalFormatting>
  <conditionalFormatting sqref="X175">
    <cfRule type="cellIs" dxfId="3746" priority="1540" stopIfTrue="1" operator="equal">
      <formula>"NO"</formula>
    </cfRule>
    <cfRule type="cellIs" dxfId="3745" priority="1541" stopIfTrue="1" operator="equal">
      <formula>"SI"</formula>
    </cfRule>
  </conditionalFormatting>
  <conditionalFormatting sqref="I13">
    <cfRule type="cellIs" dxfId="3744" priority="1818" stopIfTrue="1" operator="greaterThan">
      <formula>0</formula>
    </cfRule>
  </conditionalFormatting>
  <conditionalFormatting sqref="I13">
    <cfRule type="cellIs" dxfId="3743" priority="1817" operator="equal">
      <formula>"NO"</formula>
    </cfRule>
  </conditionalFormatting>
  <conditionalFormatting sqref="H13">
    <cfRule type="cellIs" dxfId="3742" priority="1816" stopIfTrue="1" operator="lessThan">
      <formula>0</formula>
    </cfRule>
  </conditionalFormatting>
  <conditionalFormatting sqref="H13">
    <cfRule type="cellIs" dxfId="3741" priority="1815" stopIfTrue="1" operator="greaterThan">
      <formula>0</formula>
    </cfRule>
  </conditionalFormatting>
  <conditionalFormatting sqref="L13">
    <cfRule type="cellIs" dxfId="3740" priority="1812" stopIfTrue="1" operator="equal">
      <formula>0</formula>
    </cfRule>
    <cfRule type="cellIs" dxfId="3739" priority="1813" stopIfTrue="1" operator="greaterThanOrEqual">
      <formula>$H$6</formula>
    </cfRule>
    <cfRule type="cellIs" dxfId="3738" priority="1814" stopIfTrue="1" operator="between">
      <formula>0</formula>
      <formula>$H$6</formula>
    </cfRule>
  </conditionalFormatting>
  <conditionalFormatting sqref="L880:L889">
    <cfRule type="cellIs" dxfId="3737" priority="143" stopIfTrue="1" operator="equal">
      <formula>0</formula>
    </cfRule>
    <cfRule type="cellIs" dxfId="3736" priority="144" stopIfTrue="1" operator="greaterThanOrEqual">
      <formula>$H$6</formula>
    </cfRule>
    <cfRule type="cellIs" dxfId="3735" priority="145" stopIfTrue="1" operator="between">
      <formula>0</formula>
      <formula>$H$6</formula>
    </cfRule>
  </conditionalFormatting>
  <conditionalFormatting sqref="Z880:Z889 AB880:AB889">
    <cfRule type="cellIs" dxfId="3734" priority="141" operator="equal">
      <formula>"NO"</formula>
    </cfRule>
    <cfRule type="cellIs" dxfId="3733" priority="142" operator="greaterThan">
      <formula>0</formula>
    </cfRule>
  </conditionalFormatting>
  <conditionalFormatting sqref="H880:H883 C880:G889 I880:K889 P880:Q889 U880:U889 H888:H889 M883:N889">
    <cfRule type="cellIs" dxfId="3732" priority="140" stopIfTrue="1" operator="greaterThan">
      <formula>0</formula>
    </cfRule>
  </conditionalFormatting>
  <conditionalFormatting sqref="I880:I889 U880:U889">
    <cfRule type="cellIs" dxfId="3731" priority="139" operator="equal">
      <formula>"NO"</formula>
    </cfRule>
  </conditionalFormatting>
  <conditionalFormatting sqref="H880:H883 J880:J889 H888:H889">
    <cfRule type="cellIs" dxfId="3730" priority="138" stopIfTrue="1" operator="lessThan">
      <formula>0</formula>
    </cfRule>
  </conditionalFormatting>
  <conditionalFormatting sqref="H884">
    <cfRule type="cellIs" dxfId="3729" priority="137" stopIfTrue="1" operator="lessThan">
      <formula>0</formula>
    </cfRule>
  </conditionalFormatting>
  <conditionalFormatting sqref="H884">
    <cfRule type="cellIs" dxfId="3728" priority="136" stopIfTrue="1" operator="greaterThan">
      <formula>0</formula>
    </cfRule>
  </conditionalFormatting>
  <conditionalFormatting sqref="M846">
    <cfRule type="cellIs" dxfId="3727" priority="201" stopIfTrue="1" operator="greaterThan">
      <formula>0</formula>
    </cfRule>
  </conditionalFormatting>
  <conditionalFormatting sqref="N846">
    <cfRule type="cellIs" dxfId="3726" priority="200" stopIfTrue="1" operator="greaterThan">
      <formula>0</formula>
    </cfRule>
  </conditionalFormatting>
  <conditionalFormatting sqref="M847:M848">
    <cfRule type="cellIs" dxfId="3725" priority="199" stopIfTrue="1" operator="greaterThan">
      <formula>0</formula>
    </cfRule>
  </conditionalFormatting>
  <conditionalFormatting sqref="N677:N678">
    <cfRule type="cellIs" dxfId="3724" priority="538" stopIfTrue="1" operator="greaterThan">
      <formula>0</formula>
    </cfRule>
  </conditionalFormatting>
  <conditionalFormatting sqref="H698:H700">
    <cfRule type="cellIs" dxfId="3723" priority="509" stopIfTrue="1" operator="lessThan">
      <formula>0</formula>
    </cfRule>
  </conditionalFormatting>
  <conditionalFormatting sqref="H698:H700">
    <cfRule type="cellIs" dxfId="3722" priority="508" stopIfTrue="1" operator="greaterThan">
      <formula>0</formula>
    </cfRule>
  </conditionalFormatting>
  <conditionalFormatting sqref="M693">
    <cfRule type="cellIs" dxfId="3721" priority="507" stopIfTrue="1" operator="greaterThan">
      <formula>0</formula>
    </cfRule>
  </conditionalFormatting>
  <conditionalFormatting sqref="M694:M695">
    <cfRule type="cellIs" dxfId="3720" priority="505" stopIfTrue="1" operator="greaterThan">
      <formula>0</formula>
    </cfRule>
  </conditionalFormatting>
  <conditionalFormatting sqref="N694:N695">
    <cfRule type="cellIs" dxfId="3719" priority="504" stopIfTrue="1" operator="greaterThan">
      <formula>0</formula>
    </cfRule>
  </conditionalFormatting>
  <conditionalFormatting sqref="L438:L447">
    <cfRule type="cellIs" dxfId="3718" priority="1027" stopIfTrue="1" operator="equal">
      <formula>0</formula>
    </cfRule>
    <cfRule type="cellIs" dxfId="3717" priority="1028" stopIfTrue="1" operator="greaterThanOrEqual">
      <formula>$H$6</formula>
    </cfRule>
    <cfRule type="cellIs" dxfId="3716" priority="1029" stopIfTrue="1" operator="between">
      <formula>0</formula>
      <formula>$H$6</formula>
    </cfRule>
  </conditionalFormatting>
  <conditionalFormatting sqref="Z438:Z447 AB438:AB447">
    <cfRule type="cellIs" dxfId="3715" priority="1025" operator="equal">
      <formula>"NO"</formula>
    </cfRule>
    <cfRule type="cellIs" dxfId="3714" priority="1026" operator="greaterThan">
      <formula>0</formula>
    </cfRule>
  </conditionalFormatting>
  <conditionalFormatting sqref="H438:H441 C438:G447 I438:K447 P438:Q447 U438:U447 H446:H447 M441:N447">
    <cfRule type="cellIs" dxfId="3713" priority="1024" stopIfTrue="1" operator="greaterThan">
      <formula>0</formula>
    </cfRule>
  </conditionalFormatting>
  <conditionalFormatting sqref="I438:I447 U438:U447">
    <cfRule type="cellIs" dxfId="3712" priority="1023" operator="equal">
      <formula>"NO"</formula>
    </cfRule>
  </conditionalFormatting>
  <conditionalFormatting sqref="H438:H441 J438:J447 H446:H447">
    <cfRule type="cellIs" dxfId="3711" priority="1022" stopIfTrue="1" operator="lessThan">
      <formula>0</formula>
    </cfRule>
  </conditionalFormatting>
  <conditionalFormatting sqref="H442">
    <cfRule type="cellIs" dxfId="3710" priority="1021" stopIfTrue="1" operator="lessThan">
      <formula>0</formula>
    </cfRule>
  </conditionalFormatting>
  <conditionalFormatting sqref="H442">
    <cfRule type="cellIs" dxfId="3709" priority="1020" stopIfTrue="1" operator="greaterThan">
      <formula>0</formula>
    </cfRule>
  </conditionalFormatting>
  <conditionalFormatting sqref="H443:H445">
    <cfRule type="cellIs" dxfId="3708" priority="1019" stopIfTrue="1" operator="lessThan">
      <formula>0</formula>
    </cfRule>
  </conditionalFormatting>
  <conditionalFormatting sqref="H443:H445">
    <cfRule type="cellIs" dxfId="3707" priority="1018" stopIfTrue="1" operator="greaterThan">
      <formula>0</formula>
    </cfRule>
  </conditionalFormatting>
  <conditionalFormatting sqref="M438">
    <cfRule type="cellIs" dxfId="3706" priority="1017" stopIfTrue="1" operator="greaterThan">
      <formula>0</formula>
    </cfRule>
  </conditionalFormatting>
  <conditionalFormatting sqref="N438">
    <cfRule type="cellIs" dxfId="3705" priority="1016" stopIfTrue="1" operator="greaterThan">
      <formula>0</formula>
    </cfRule>
  </conditionalFormatting>
  <conditionalFormatting sqref="M439:M440">
    <cfRule type="cellIs" dxfId="3704" priority="1015" stopIfTrue="1" operator="greaterThan">
      <formula>0</formula>
    </cfRule>
  </conditionalFormatting>
  <conditionalFormatting sqref="N439:N440">
    <cfRule type="cellIs" dxfId="3703" priority="1014" stopIfTrue="1" operator="greaterThan">
      <formula>0</formula>
    </cfRule>
  </conditionalFormatting>
  <conditionalFormatting sqref="X438">
    <cfRule type="cellIs" dxfId="3702" priority="1012" stopIfTrue="1" operator="equal">
      <formula>"NO"</formula>
    </cfRule>
    <cfRule type="cellIs" dxfId="3701" priority="1013" stopIfTrue="1" operator="equal">
      <formula>"SI"</formula>
    </cfRule>
  </conditionalFormatting>
  <conditionalFormatting sqref="X439:X440">
    <cfRule type="cellIs" dxfId="3700" priority="1010" stopIfTrue="1" operator="equal">
      <formula>"NO"</formula>
    </cfRule>
    <cfRule type="cellIs" dxfId="3699" priority="1011" stopIfTrue="1" operator="equal">
      <formula>"SI"</formula>
    </cfRule>
  </conditionalFormatting>
  <conditionalFormatting sqref="X441">
    <cfRule type="cellIs" dxfId="3698" priority="1008" stopIfTrue="1" operator="equal">
      <formula>"NO"</formula>
    </cfRule>
    <cfRule type="cellIs" dxfId="3697" priority="1009" stopIfTrue="1" operator="equal">
      <formula>"SI"</formula>
    </cfRule>
  </conditionalFormatting>
  <conditionalFormatting sqref="X442">
    <cfRule type="cellIs" dxfId="3696" priority="1006" stopIfTrue="1" operator="equal">
      <formula>"NO"</formula>
    </cfRule>
    <cfRule type="cellIs" dxfId="3695" priority="1007" stopIfTrue="1" operator="equal">
      <formula>"SI"</formula>
    </cfRule>
  </conditionalFormatting>
  <conditionalFormatting sqref="X443">
    <cfRule type="cellIs" dxfId="3694" priority="1004" stopIfTrue="1" operator="equal">
      <formula>"NO"</formula>
    </cfRule>
    <cfRule type="cellIs" dxfId="3693" priority="1005" stopIfTrue="1" operator="equal">
      <formula>"SI"</formula>
    </cfRule>
  </conditionalFormatting>
  <conditionalFormatting sqref="X444">
    <cfRule type="cellIs" dxfId="3692" priority="1002" stopIfTrue="1" operator="equal">
      <formula>"NO"</formula>
    </cfRule>
    <cfRule type="cellIs" dxfId="3691" priority="1003" stopIfTrue="1" operator="equal">
      <formula>"SI"</formula>
    </cfRule>
  </conditionalFormatting>
  <conditionalFormatting sqref="X445">
    <cfRule type="cellIs" dxfId="3690" priority="1000" stopIfTrue="1" operator="equal">
      <formula>"NO"</formula>
    </cfRule>
    <cfRule type="cellIs" dxfId="3689" priority="1001" stopIfTrue="1" operator="equal">
      <formula>"SI"</formula>
    </cfRule>
  </conditionalFormatting>
  <conditionalFormatting sqref="X446">
    <cfRule type="cellIs" dxfId="3688" priority="998" stopIfTrue="1" operator="equal">
      <formula>"NO"</formula>
    </cfRule>
    <cfRule type="cellIs" dxfId="3687" priority="999" stopIfTrue="1" operator="equal">
      <formula>"SI"</formula>
    </cfRule>
  </conditionalFormatting>
  <conditionalFormatting sqref="X447">
    <cfRule type="cellIs" dxfId="3686" priority="996" stopIfTrue="1" operator="equal">
      <formula>"NO"</formula>
    </cfRule>
    <cfRule type="cellIs" dxfId="3685" priority="997" stopIfTrue="1" operator="equal">
      <formula>"SI"</formula>
    </cfRule>
  </conditionalFormatting>
  <conditionalFormatting sqref="L47:L56">
    <cfRule type="cellIs" dxfId="3684" priority="1809" stopIfTrue="1" operator="equal">
      <formula>0</formula>
    </cfRule>
    <cfRule type="cellIs" dxfId="3683" priority="1810" stopIfTrue="1" operator="greaterThanOrEqual">
      <formula>$H$6</formula>
    </cfRule>
    <cfRule type="cellIs" dxfId="3682" priority="1811" stopIfTrue="1" operator="between">
      <formula>0</formula>
      <formula>$H$6</formula>
    </cfRule>
  </conditionalFormatting>
  <conditionalFormatting sqref="Z47:Z56 AB47:AB56">
    <cfRule type="cellIs" dxfId="3681" priority="1807" operator="equal">
      <formula>"NO"</formula>
    </cfRule>
    <cfRule type="cellIs" dxfId="3680" priority="1808" operator="greaterThan">
      <formula>0</formula>
    </cfRule>
  </conditionalFormatting>
  <conditionalFormatting sqref="H47:H50 I47:K56 P47:Q56 U47:U56 H55:H56 M50:N56 D47:G56">
    <cfRule type="cellIs" dxfId="3679" priority="1806" stopIfTrue="1" operator="greaterThan">
      <formula>0</formula>
    </cfRule>
  </conditionalFormatting>
  <conditionalFormatting sqref="I47:I56 U47:U56">
    <cfRule type="cellIs" dxfId="3678" priority="1805" operator="equal">
      <formula>"NO"</formula>
    </cfRule>
  </conditionalFormatting>
  <conditionalFormatting sqref="H47:H50 J47:J56 H55:H56">
    <cfRule type="cellIs" dxfId="3677" priority="1804" stopIfTrue="1" operator="lessThan">
      <formula>0</formula>
    </cfRule>
  </conditionalFormatting>
  <conditionalFormatting sqref="H51">
    <cfRule type="cellIs" dxfId="3676" priority="1803" stopIfTrue="1" operator="lessThan">
      <formula>0</formula>
    </cfRule>
  </conditionalFormatting>
  <conditionalFormatting sqref="H51">
    <cfRule type="cellIs" dxfId="3675" priority="1802" stopIfTrue="1" operator="greaterThan">
      <formula>0</formula>
    </cfRule>
  </conditionalFormatting>
  <conditionalFormatting sqref="H52:H54">
    <cfRule type="cellIs" dxfId="3674" priority="1801" stopIfTrue="1" operator="lessThan">
      <formula>0</formula>
    </cfRule>
  </conditionalFormatting>
  <conditionalFormatting sqref="H52:H54">
    <cfRule type="cellIs" dxfId="3673" priority="1800" stopIfTrue="1" operator="greaterThan">
      <formula>0</formula>
    </cfRule>
  </conditionalFormatting>
  <conditionalFormatting sqref="M47">
    <cfRule type="cellIs" dxfId="3672" priority="1799" stopIfTrue="1" operator="greaterThan">
      <formula>0</formula>
    </cfRule>
  </conditionalFormatting>
  <conditionalFormatting sqref="N47">
    <cfRule type="cellIs" dxfId="3671" priority="1798" stopIfTrue="1" operator="greaterThan">
      <formula>0</formula>
    </cfRule>
  </conditionalFormatting>
  <conditionalFormatting sqref="M48:M49">
    <cfRule type="cellIs" dxfId="3670" priority="1797" stopIfTrue="1" operator="greaterThan">
      <formula>0</formula>
    </cfRule>
  </conditionalFormatting>
  <conditionalFormatting sqref="N48:N49">
    <cfRule type="cellIs" dxfId="3669" priority="1796" stopIfTrue="1" operator="greaterThan">
      <formula>0</formula>
    </cfRule>
  </conditionalFormatting>
  <conditionalFormatting sqref="X47">
    <cfRule type="cellIs" dxfId="3668" priority="1794" stopIfTrue="1" operator="equal">
      <formula>"NO"</formula>
    </cfRule>
    <cfRule type="cellIs" dxfId="3667" priority="1795" stopIfTrue="1" operator="equal">
      <formula>"SI"</formula>
    </cfRule>
  </conditionalFormatting>
  <conditionalFormatting sqref="X48:X49">
    <cfRule type="cellIs" dxfId="3666" priority="1792" stopIfTrue="1" operator="equal">
      <formula>"NO"</formula>
    </cfRule>
    <cfRule type="cellIs" dxfId="3665" priority="1793" stopIfTrue="1" operator="equal">
      <formula>"SI"</formula>
    </cfRule>
  </conditionalFormatting>
  <conditionalFormatting sqref="X50">
    <cfRule type="cellIs" dxfId="3664" priority="1790" stopIfTrue="1" operator="equal">
      <formula>"NO"</formula>
    </cfRule>
    <cfRule type="cellIs" dxfId="3663" priority="1791" stopIfTrue="1" operator="equal">
      <formula>"SI"</formula>
    </cfRule>
  </conditionalFormatting>
  <conditionalFormatting sqref="X51">
    <cfRule type="cellIs" dxfId="3662" priority="1788" stopIfTrue="1" operator="equal">
      <formula>"NO"</formula>
    </cfRule>
    <cfRule type="cellIs" dxfId="3661" priority="1789" stopIfTrue="1" operator="equal">
      <formula>"SI"</formula>
    </cfRule>
  </conditionalFormatting>
  <conditionalFormatting sqref="X52">
    <cfRule type="cellIs" dxfId="3660" priority="1786" stopIfTrue="1" operator="equal">
      <formula>"NO"</formula>
    </cfRule>
    <cfRule type="cellIs" dxfId="3659" priority="1787" stopIfTrue="1" operator="equal">
      <formula>"SI"</formula>
    </cfRule>
  </conditionalFormatting>
  <conditionalFormatting sqref="X53">
    <cfRule type="cellIs" dxfId="3658" priority="1784" stopIfTrue="1" operator="equal">
      <formula>"NO"</formula>
    </cfRule>
    <cfRule type="cellIs" dxfId="3657" priority="1785" stopIfTrue="1" operator="equal">
      <formula>"SI"</formula>
    </cfRule>
  </conditionalFormatting>
  <conditionalFormatting sqref="X54">
    <cfRule type="cellIs" dxfId="3656" priority="1782" stopIfTrue="1" operator="equal">
      <formula>"NO"</formula>
    </cfRule>
    <cfRule type="cellIs" dxfId="3655" priority="1783" stopIfTrue="1" operator="equal">
      <formula>"SI"</formula>
    </cfRule>
  </conditionalFormatting>
  <conditionalFormatting sqref="X55">
    <cfRule type="cellIs" dxfId="3654" priority="1780" stopIfTrue="1" operator="equal">
      <formula>"NO"</formula>
    </cfRule>
    <cfRule type="cellIs" dxfId="3653" priority="1781" stopIfTrue="1" operator="equal">
      <formula>"SI"</formula>
    </cfRule>
  </conditionalFormatting>
  <conditionalFormatting sqref="X56">
    <cfRule type="cellIs" dxfId="3652" priority="1778" stopIfTrue="1" operator="equal">
      <formula>"NO"</formula>
    </cfRule>
    <cfRule type="cellIs" dxfId="3651" priority="1779" stopIfTrue="1" operator="equal">
      <formula>"SI"</formula>
    </cfRule>
  </conditionalFormatting>
  <conditionalFormatting sqref="L64:L73">
    <cfRule type="cellIs" dxfId="3650" priority="1775" stopIfTrue="1" operator="equal">
      <formula>0</formula>
    </cfRule>
    <cfRule type="cellIs" dxfId="3649" priority="1776" stopIfTrue="1" operator="greaterThanOrEqual">
      <formula>$H$6</formula>
    </cfRule>
    <cfRule type="cellIs" dxfId="3648" priority="1777" stopIfTrue="1" operator="between">
      <formula>0</formula>
      <formula>$H$6</formula>
    </cfRule>
  </conditionalFormatting>
  <conditionalFormatting sqref="Z64:Z73 AB64:AB73">
    <cfRule type="cellIs" dxfId="3647" priority="1773" operator="equal">
      <formula>"NO"</formula>
    </cfRule>
    <cfRule type="cellIs" dxfId="3646" priority="1774" operator="greaterThan">
      <formula>0</formula>
    </cfRule>
  </conditionalFormatting>
  <conditionalFormatting sqref="H64:H67 I64:K73 P64:Q73 U64:U73 H72:H73 M67:N73 C64:G73">
    <cfRule type="cellIs" dxfId="3645" priority="1772" stopIfTrue="1" operator="greaterThan">
      <formula>0</formula>
    </cfRule>
  </conditionalFormatting>
  <conditionalFormatting sqref="I64:I73 U64:U73">
    <cfRule type="cellIs" dxfId="3644" priority="1771" operator="equal">
      <formula>"NO"</formula>
    </cfRule>
  </conditionalFormatting>
  <conditionalFormatting sqref="H64:H67 J64:J73 H72:H73">
    <cfRule type="cellIs" dxfId="3643" priority="1770" stopIfTrue="1" operator="lessThan">
      <formula>0</formula>
    </cfRule>
  </conditionalFormatting>
  <conditionalFormatting sqref="H68">
    <cfRule type="cellIs" dxfId="3642" priority="1769" stopIfTrue="1" operator="lessThan">
      <formula>0</formula>
    </cfRule>
  </conditionalFormatting>
  <conditionalFormatting sqref="H68">
    <cfRule type="cellIs" dxfId="3641" priority="1768" stopIfTrue="1" operator="greaterThan">
      <formula>0</formula>
    </cfRule>
  </conditionalFormatting>
  <conditionalFormatting sqref="H69:H71">
    <cfRule type="cellIs" dxfId="3640" priority="1767" stopIfTrue="1" operator="lessThan">
      <formula>0</formula>
    </cfRule>
  </conditionalFormatting>
  <conditionalFormatting sqref="H69:H71">
    <cfRule type="cellIs" dxfId="3639" priority="1766" stopIfTrue="1" operator="greaterThan">
      <formula>0</formula>
    </cfRule>
  </conditionalFormatting>
  <conditionalFormatting sqref="M64">
    <cfRule type="cellIs" dxfId="3638" priority="1765" stopIfTrue="1" operator="greaterThan">
      <formula>0</formula>
    </cfRule>
  </conditionalFormatting>
  <conditionalFormatting sqref="N64">
    <cfRule type="cellIs" dxfId="3637" priority="1764" stopIfTrue="1" operator="greaterThan">
      <formula>0</formula>
    </cfRule>
  </conditionalFormatting>
  <conditionalFormatting sqref="M65:M66">
    <cfRule type="cellIs" dxfId="3636" priority="1763" stopIfTrue="1" operator="greaterThan">
      <formula>0</formula>
    </cfRule>
  </conditionalFormatting>
  <conditionalFormatting sqref="N65:N66">
    <cfRule type="cellIs" dxfId="3635" priority="1762" stopIfTrue="1" operator="greaterThan">
      <formula>0</formula>
    </cfRule>
  </conditionalFormatting>
  <conditionalFormatting sqref="X64">
    <cfRule type="cellIs" dxfId="3634" priority="1760" stopIfTrue="1" operator="equal">
      <formula>"NO"</formula>
    </cfRule>
    <cfRule type="cellIs" dxfId="3633" priority="1761" stopIfTrue="1" operator="equal">
      <formula>"SI"</formula>
    </cfRule>
  </conditionalFormatting>
  <conditionalFormatting sqref="X65:X66">
    <cfRule type="cellIs" dxfId="3632" priority="1758" stopIfTrue="1" operator="equal">
      <formula>"NO"</formula>
    </cfRule>
    <cfRule type="cellIs" dxfId="3631" priority="1759" stopIfTrue="1" operator="equal">
      <formula>"SI"</formula>
    </cfRule>
  </conditionalFormatting>
  <conditionalFormatting sqref="X67">
    <cfRule type="cellIs" dxfId="3630" priority="1756" stopIfTrue="1" operator="equal">
      <formula>"NO"</formula>
    </cfRule>
    <cfRule type="cellIs" dxfId="3629" priority="1757" stopIfTrue="1" operator="equal">
      <formula>"SI"</formula>
    </cfRule>
  </conditionalFormatting>
  <conditionalFormatting sqref="X68">
    <cfRule type="cellIs" dxfId="3628" priority="1754" stopIfTrue="1" operator="equal">
      <formula>"NO"</formula>
    </cfRule>
    <cfRule type="cellIs" dxfId="3627" priority="1755" stopIfTrue="1" operator="equal">
      <formula>"SI"</formula>
    </cfRule>
  </conditionalFormatting>
  <conditionalFormatting sqref="X69">
    <cfRule type="cellIs" dxfId="3626" priority="1752" stopIfTrue="1" operator="equal">
      <formula>"NO"</formula>
    </cfRule>
    <cfRule type="cellIs" dxfId="3625" priority="1753" stopIfTrue="1" operator="equal">
      <formula>"SI"</formula>
    </cfRule>
  </conditionalFormatting>
  <conditionalFormatting sqref="X70">
    <cfRule type="cellIs" dxfId="3624" priority="1750" stopIfTrue="1" operator="equal">
      <formula>"NO"</formula>
    </cfRule>
    <cfRule type="cellIs" dxfId="3623" priority="1751" stopIfTrue="1" operator="equal">
      <formula>"SI"</formula>
    </cfRule>
  </conditionalFormatting>
  <conditionalFormatting sqref="X71">
    <cfRule type="cellIs" dxfId="3622" priority="1748" stopIfTrue="1" operator="equal">
      <formula>"NO"</formula>
    </cfRule>
    <cfRule type="cellIs" dxfId="3621" priority="1749" stopIfTrue="1" operator="equal">
      <formula>"SI"</formula>
    </cfRule>
  </conditionalFormatting>
  <conditionalFormatting sqref="X72">
    <cfRule type="cellIs" dxfId="3620" priority="1746" stopIfTrue="1" operator="equal">
      <formula>"NO"</formula>
    </cfRule>
    <cfRule type="cellIs" dxfId="3619" priority="1747" stopIfTrue="1" operator="equal">
      <formula>"SI"</formula>
    </cfRule>
  </conditionalFormatting>
  <conditionalFormatting sqref="X73">
    <cfRule type="cellIs" dxfId="3618" priority="1744" stopIfTrue="1" operator="equal">
      <formula>"NO"</formula>
    </cfRule>
    <cfRule type="cellIs" dxfId="3617" priority="1745" stopIfTrue="1" operator="equal">
      <formula>"SI"</formula>
    </cfRule>
  </conditionalFormatting>
  <conditionalFormatting sqref="L81:L90">
    <cfRule type="cellIs" dxfId="3616" priority="1741" stopIfTrue="1" operator="equal">
      <formula>0</formula>
    </cfRule>
    <cfRule type="cellIs" dxfId="3615" priority="1742" stopIfTrue="1" operator="greaterThanOrEqual">
      <formula>$H$6</formula>
    </cfRule>
    <cfRule type="cellIs" dxfId="3614" priority="1743" stopIfTrue="1" operator="between">
      <formula>0</formula>
      <formula>$H$6</formula>
    </cfRule>
  </conditionalFormatting>
  <conditionalFormatting sqref="Z81:Z90 AB81:AB90">
    <cfRule type="cellIs" dxfId="3613" priority="1739" operator="equal">
      <formula>"NO"</formula>
    </cfRule>
    <cfRule type="cellIs" dxfId="3612" priority="1740" operator="greaterThan">
      <formula>0</formula>
    </cfRule>
  </conditionalFormatting>
  <conditionalFormatting sqref="H81:H84 I81:K90 P81:Q90 U81:U90 H89:H90 M84:N90 C81:G90">
    <cfRule type="cellIs" dxfId="3611" priority="1738" stopIfTrue="1" operator="greaterThan">
      <formula>0</formula>
    </cfRule>
  </conditionalFormatting>
  <conditionalFormatting sqref="I81:I90 U81:U90">
    <cfRule type="cellIs" dxfId="3610" priority="1737" operator="equal">
      <formula>"NO"</formula>
    </cfRule>
  </conditionalFormatting>
  <conditionalFormatting sqref="H81:H84 J81:J90 H89:H90">
    <cfRule type="cellIs" dxfId="3609" priority="1736" stopIfTrue="1" operator="lessThan">
      <formula>0</formula>
    </cfRule>
  </conditionalFormatting>
  <conditionalFormatting sqref="H85">
    <cfRule type="cellIs" dxfId="3608" priority="1735" stopIfTrue="1" operator="lessThan">
      <formula>0</formula>
    </cfRule>
  </conditionalFormatting>
  <conditionalFormatting sqref="H85">
    <cfRule type="cellIs" dxfId="3607" priority="1734" stopIfTrue="1" operator="greaterThan">
      <formula>0</formula>
    </cfRule>
  </conditionalFormatting>
  <conditionalFormatting sqref="H86:H88">
    <cfRule type="cellIs" dxfId="3606" priority="1733" stopIfTrue="1" operator="lessThan">
      <formula>0</formula>
    </cfRule>
  </conditionalFormatting>
  <conditionalFormatting sqref="H86:H88">
    <cfRule type="cellIs" dxfId="3605" priority="1732" stopIfTrue="1" operator="greaterThan">
      <formula>0</formula>
    </cfRule>
  </conditionalFormatting>
  <conditionalFormatting sqref="M81">
    <cfRule type="cellIs" dxfId="3604" priority="1731" stopIfTrue="1" operator="greaterThan">
      <formula>0</formula>
    </cfRule>
  </conditionalFormatting>
  <conditionalFormatting sqref="N81">
    <cfRule type="cellIs" dxfId="3603" priority="1730" stopIfTrue="1" operator="greaterThan">
      <formula>0</formula>
    </cfRule>
  </conditionalFormatting>
  <conditionalFormatting sqref="M82:M83">
    <cfRule type="cellIs" dxfId="3602" priority="1729" stopIfTrue="1" operator="greaterThan">
      <formula>0</formula>
    </cfRule>
  </conditionalFormatting>
  <conditionalFormatting sqref="N82:N83">
    <cfRule type="cellIs" dxfId="3601" priority="1728" stopIfTrue="1" operator="greaterThan">
      <formula>0</formula>
    </cfRule>
  </conditionalFormatting>
  <conditionalFormatting sqref="X81">
    <cfRule type="cellIs" dxfId="3600" priority="1726" stopIfTrue="1" operator="equal">
      <formula>"NO"</formula>
    </cfRule>
    <cfRule type="cellIs" dxfId="3599" priority="1727" stopIfTrue="1" operator="equal">
      <formula>"SI"</formula>
    </cfRule>
  </conditionalFormatting>
  <conditionalFormatting sqref="X82:X83">
    <cfRule type="cellIs" dxfId="3598" priority="1724" stopIfTrue="1" operator="equal">
      <formula>"NO"</formula>
    </cfRule>
    <cfRule type="cellIs" dxfId="3597" priority="1725" stopIfTrue="1" operator="equal">
      <formula>"SI"</formula>
    </cfRule>
  </conditionalFormatting>
  <conditionalFormatting sqref="X84">
    <cfRule type="cellIs" dxfId="3596" priority="1722" stopIfTrue="1" operator="equal">
      <formula>"NO"</formula>
    </cfRule>
    <cfRule type="cellIs" dxfId="3595" priority="1723" stopIfTrue="1" operator="equal">
      <formula>"SI"</formula>
    </cfRule>
  </conditionalFormatting>
  <conditionalFormatting sqref="X85">
    <cfRule type="cellIs" dxfId="3594" priority="1720" stopIfTrue="1" operator="equal">
      <formula>"NO"</formula>
    </cfRule>
    <cfRule type="cellIs" dxfId="3593" priority="1721" stopIfTrue="1" operator="equal">
      <formula>"SI"</formula>
    </cfRule>
  </conditionalFormatting>
  <conditionalFormatting sqref="X86">
    <cfRule type="cellIs" dxfId="3592" priority="1718" stopIfTrue="1" operator="equal">
      <formula>"NO"</formula>
    </cfRule>
    <cfRule type="cellIs" dxfId="3591" priority="1719" stopIfTrue="1" operator="equal">
      <formula>"SI"</formula>
    </cfRule>
  </conditionalFormatting>
  <conditionalFormatting sqref="X87">
    <cfRule type="cellIs" dxfId="3590" priority="1716" stopIfTrue="1" operator="equal">
      <formula>"NO"</formula>
    </cfRule>
    <cfRule type="cellIs" dxfId="3589" priority="1717" stopIfTrue="1" operator="equal">
      <formula>"SI"</formula>
    </cfRule>
  </conditionalFormatting>
  <conditionalFormatting sqref="X88">
    <cfRule type="cellIs" dxfId="3588" priority="1714" stopIfTrue="1" operator="equal">
      <formula>"NO"</formula>
    </cfRule>
    <cfRule type="cellIs" dxfId="3587" priority="1715" stopIfTrue="1" operator="equal">
      <formula>"SI"</formula>
    </cfRule>
  </conditionalFormatting>
  <conditionalFormatting sqref="X89">
    <cfRule type="cellIs" dxfId="3586" priority="1712" stopIfTrue="1" operator="equal">
      <formula>"NO"</formula>
    </cfRule>
    <cfRule type="cellIs" dxfId="3585" priority="1713" stopIfTrue="1" operator="equal">
      <formula>"SI"</formula>
    </cfRule>
  </conditionalFormatting>
  <conditionalFormatting sqref="X90">
    <cfRule type="cellIs" dxfId="3584" priority="1710" stopIfTrue="1" operator="equal">
      <formula>"NO"</formula>
    </cfRule>
    <cfRule type="cellIs" dxfId="3583" priority="1711" stopIfTrue="1" operator="equal">
      <formula>"SI"</formula>
    </cfRule>
  </conditionalFormatting>
  <conditionalFormatting sqref="L98:L107">
    <cfRule type="cellIs" dxfId="3582" priority="1707" stopIfTrue="1" operator="equal">
      <formula>0</formula>
    </cfRule>
    <cfRule type="cellIs" dxfId="3581" priority="1708" stopIfTrue="1" operator="greaterThanOrEqual">
      <formula>$H$6</formula>
    </cfRule>
    <cfRule type="cellIs" dxfId="3580" priority="1709" stopIfTrue="1" operator="between">
      <formula>0</formula>
      <formula>$H$6</formula>
    </cfRule>
  </conditionalFormatting>
  <conditionalFormatting sqref="Z98:Z107 AB98:AB107">
    <cfRule type="cellIs" dxfId="3579" priority="1705" operator="equal">
      <formula>"NO"</formula>
    </cfRule>
    <cfRule type="cellIs" dxfId="3578" priority="1706" operator="greaterThan">
      <formula>0</formula>
    </cfRule>
  </conditionalFormatting>
  <conditionalFormatting sqref="H98:H101 C98:G107 I98:K107 P98:Q107 U98:U107 H106:H107 M101:N107">
    <cfRule type="cellIs" dxfId="3577" priority="1704" stopIfTrue="1" operator="greaterThan">
      <formula>0</formula>
    </cfRule>
  </conditionalFormatting>
  <conditionalFormatting sqref="I98:I107 U98:U107">
    <cfRule type="cellIs" dxfId="3576" priority="1703" operator="equal">
      <formula>"NO"</formula>
    </cfRule>
  </conditionalFormatting>
  <conditionalFormatting sqref="H98:H101 J98:J107 H106:H107">
    <cfRule type="cellIs" dxfId="3575" priority="1702" stopIfTrue="1" operator="lessThan">
      <formula>0</formula>
    </cfRule>
  </conditionalFormatting>
  <conditionalFormatting sqref="H102">
    <cfRule type="cellIs" dxfId="3574" priority="1701" stopIfTrue="1" operator="lessThan">
      <formula>0</formula>
    </cfRule>
  </conditionalFormatting>
  <conditionalFormatting sqref="H102">
    <cfRule type="cellIs" dxfId="3573" priority="1700" stopIfTrue="1" operator="greaterThan">
      <formula>0</formula>
    </cfRule>
  </conditionalFormatting>
  <conditionalFormatting sqref="H103:H105">
    <cfRule type="cellIs" dxfId="3572" priority="1699" stopIfTrue="1" operator="lessThan">
      <formula>0</formula>
    </cfRule>
  </conditionalFormatting>
  <conditionalFormatting sqref="H103:H105">
    <cfRule type="cellIs" dxfId="3571" priority="1698" stopIfTrue="1" operator="greaterThan">
      <formula>0</formula>
    </cfRule>
  </conditionalFormatting>
  <conditionalFormatting sqref="M98">
    <cfRule type="cellIs" dxfId="3570" priority="1697" stopIfTrue="1" operator="greaterThan">
      <formula>0</formula>
    </cfRule>
  </conditionalFormatting>
  <conditionalFormatting sqref="N98">
    <cfRule type="cellIs" dxfId="3569" priority="1696" stopIfTrue="1" operator="greaterThan">
      <formula>0</formula>
    </cfRule>
  </conditionalFormatting>
  <conditionalFormatting sqref="M99:M100">
    <cfRule type="cellIs" dxfId="3568" priority="1695" stopIfTrue="1" operator="greaterThan">
      <formula>0</formula>
    </cfRule>
  </conditionalFormatting>
  <conditionalFormatting sqref="N99:N100">
    <cfRule type="cellIs" dxfId="3567" priority="1694" stopIfTrue="1" operator="greaterThan">
      <formula>0</formula>
    </cfRule>
  </conditionalFormatting>
  <conditionalFormatting sqref="X98">
    <cfRule type="cellIs" dxfId="3566" priority="1692" stopIfTrue="1" operator="equal">
      <formula>"NO"</formula>
    </cfRule>
    <cfRule type="cellIs" dxfId="3565" priority="1693" stopIfTrue="1" operator="equal">
      <formula>"SI"</formula>
    </cfRule>
  </conditionalFormatting>
  <conditionalFormatting sqref="X99:X100">
    <cfRule type="cellIs" dxfId="3564" priority="1690" stopIfTrue="1" operator="equal">
      <formula>"NO"</formula>
    </cfRule>
    <cfRule type="cellIs" dxfId="3563" priority="1691" stopIfTrue="1" operator="equal">
      <formula>"SI"</formula>
    </cfRule>
  </conditionalFormatting>
  <conditionalFormatting sqref="X101">
    <cfRule type="cellIs" dxfId="3562" priority="1688" stopIfTrue="1" operator="equal">
      <formula>"NO"</formula>
    </cfRule>
    <cfRule type="cellIs" dxfId="3561" priority="1689" stopIfTrue="1" operator="equal">
      <formula>"SI"</formula>
    </cfRule>
  </conditionalFormatting>
  <conditionalFormatting sqref="X102">
    <cfRule type="cellIs" dxfId="3560" priority="1686" stopIfTrue="1" operator="equal">
      <formula>"NO"</formula>
    </cfRule>
    <cfRule type="cellIs" dxfId="3559" priority="1687" stopIfTrue="1" operator="equal">
      <formula>"SI"</formula>
    </cfRule>
  </conditionalFormatting>
  <conditionalFormatting sqref="X103">
    <cfRule type="cellIs" dxfId="3558" priority="1684" stopIfTrue="1" operator="equal">
      <formula>"NO"</formula>
    </cfRule>
    <cfRule type="cellIs" dxfId="3557" priority="1685" stopIfTrue="1" operator="equal">
      <formula>"SI"</formula>
    </cfRule>
  </conditionalFormatting>
  <conditionalFormatting sqref="X104">
    <cfRule type="cellIs" dxfId="3556" priority="1682" stopIfTrue="1" operator="equal">
      <formula>"NO"</formula>
    </cfRule>
    <cfRule type="cellIs" dxfId="3555" priority="1683" stopIfTrue="1" operator="equal">
      <formula>"SI"</formula>
    </cfRule>
  </conditionalFormatting>
  <conditionalFormatting sqref="X105">
    <cfRule type="cellIs" dxfId="3554" priority="1680" stopIfTrue="1" operator="equal">
      <formula>"NO"</formula>
    </cfRule>
    <cfRule type="cellIs" dxfId="3553" priority="1681" stopIfTrue="1" operator="equal">
      <formula>"SI"</formula>
    </cfRule>
  </conditionalFormatting>
  <conditionalFormatting sqref="X106">
    <cfRule type="cellIs" dxfId="3552" priority="1678" stopIfTrue="1" operator="equal">
      <formula>"NO"</formula>
    </cfRule>
    <cfRule type="cellIs" dxfId="3551" priority="1679" stopIfTrue="1" operator="equal">
      <formula>"SI"</formula>
    </cfRule>
  </conditionalFormatting>
  <conditionalFormatting sqref="X107">
    <cfRule type="cellIs" dxfId="3550" priority="1676" stopIfTrue="1" operator="equal">
      <formula>"NO"</formula>
    </cfRule>
    <cfRule type="cellIs" dxfId="3549" priority="1677" stopIfTrue="1" operator="equal">
      <formula>"SI"</formula>
    </cfRule>
  </conditionalFormatting>
  <conditionalFormatting sqref="L115:L124">
    <cfRule type="cellIs" dxfId="3548" priority="1673" stopIfTrue="1" operator="equal">
      <formula>0</formula>
    </cfRule>
    <cfRule type="cellIs" dxfId="3547" priority="1674" stopIfTrue="1" operator="greaterThanOrEqual">
      <formula>$H$6</formula>
    </cfRule>
    <cfRule type="cellIs" dxfId="3546" priority="1675" stopIfTrue="1" operator="between">
      <formula>0</formula>
      <formula>$H$6</formula>
    </cfRule>
  </conditionalFormatting>
  <conditionalFormatting sqref="Z117:Z124 AB117:AB124">
    <cfRule type="cellIs" dxfId="3545" priority="1671" operator="equal">
      <formula>"NO"</formula>
    </cfRule>
    <cfRule type="cellIs" dxfId="3544" priority="1672" operator="greaterThan">
      <formula>0</formula>
    </cfRule>
  </conditionalFormatting>
  <conditionalFormatting sqref="H115:H118 C115:G124 I115:K124 P115:Q124 U115:U124 H123:H124 M118:N124">
    <cfRule type="cellIs" dxfId="3543" priority="1670" stopIfTrue="1" operator="greaterThan">
      <formula>0</formula>
    </cfRule>
  </conditionalFormatting>
  <conditionalFormatting sqref="I115:I124 U115:U124">
    <cfRule type="cellIs" dxfId="3542" priority="1669" operator="equal">
      <formula>"NO"</formula>
    </cfRule>
  </conditionalFormatting>
  <conditionalFormatting sqref="H115:H118 J115:J124 H123:H124">
    <cfRule type="cellIs" dxfId="3541" priority="1668" stopIfTrue="1" operator="lessThan">
      <formula>0</formula>
    </cfRule>
  </conditionalFormatting>
  <conditionalFormatting sqref="H119">
    <cfRule type="cellIs" dxfId="3540" priority="1667" stopIfTrue="1" operator="lessThan">
      <formula>0</formula>
    </cfRule>
  </conditionalFormatting>
  <conditionalFormatting sqref="H119">
    <cfRule type="cellIs" dxfId="3539" priority="1666" stopIfTrue="1" operator="greaterThan">
      <formula>0</formula>
    </cfRule>
  </conditionalFormatting>
  <conditionalFormatting sqref="H120:H122">
    <cfRule type="cellIs" dxfId="3538" priority="1665" stopIfTrue="1" operator="lessThan">
      <formula>0</formula>
    </cfRule>
  </conditionalFormatting>
  <conditionalFormatting sqref="H120:H122">
    <cfRule type="cellIs" dxfId="3537" priority="1664" stopIfTrue="1" operator="greaterThan">
      <formula>0</formula>
    </cfRule>
  </conditionalFormatting>
  <conditionalFormatting sqref="M115">
    <cfRule type="cellIs" dxfId="3536" priority="1663" stopIfTrue="1" operator="greaterThan">
      <formula>0</formula>
    </cfRule>
  </conditionalFormatting>
  <conditionalFormatting sqref="N115">
    <cfRule type="cellIs" dxfId="3535" priority="1662" stopIfTrue="1" operator="greaterThan">
      <formula>0</formula>
    </cfRule>
  </conditionalFormatting>
  <conditionalFormatting sqref="M116:M117">
    <cfRule type="cellIs" dxfId="3534" priority="1661" stopIfTrue="1" operator="greaterThan">
      <formula>0</formula>
    </cfRule>
  </conditionalFormatting>
  <conditionalFormatting sqref="N116:N117">
    <cfRule type="cellIs" dxfId="3533" priority="1660" stopIfTrue="1" operator="greaterThan">
      <formula>0</formula>
    </cfRule>
  </conditionalFormatting>
  <conditionalFormatting sqref="X115">
    <cfRule type="cellIs" dxfId="3532" priority="1658" stopIfTrue="1" operator="equal">
      <formula>"NO"</formula>
    </cfRule>
    <cfRule type="cellIs" dxfId="3531" priority="1659" stopIfTrue="1" operator="equal">
      <formula>"SI"</formula>
    </cfRule>
  </conditionalFormatting>
  <conditionalFormatting sqref="X116:X117">
    <cfRule type="cellIs" dxfId="3530" priority="1656" stopIfTrue="1" operator="equal">
      <formula>"NO"</formula>
    </cfRule>
    <cfRule type="cellIs" dxfId="3529" priority="1657" stopIfTrue="1" operator="equal">
      <formula>"SI"</formula>
    </cfRule>
  </conditionalFormatting>
  <conditionalFormatting sqref="X118">
    <cfRule type="cellIs" dxfId="3528" priority="1654" stopIfTrue="1" operator="equal">
      <formula>"NO"</formula>
    </cfRule>
    <cfRule type="cellIs" dxfId="3527" priority="1655" stopIfTrue="1" operator="equal">
      <formula>"SI"</formula>
    </cfRule>
  </conditionalFormatting>
  <conditionalFormatting sqref="X119">
    <cfRule type="cellIs" dxfId="3526" priority="1652" stopIfTrue="1" operator="equal">
      <formula>"NO"</formula>
    </cfRule>
    <cfRule type="cellIs" dxfId="3525" priority="1653" stopIfTrue="1" operator="equal">
      <formula>"SI"</formula>
    </cfRule>
  </conditionalFormatting>
  <conditionalFormatting sqref="X120">
    <cfRule type="cellIs" dxfId="3524" priority="1650" stopIfTrue="1" operator="equal">
      <formula>"NO"</formula>
    </cfRule>
    <cfRule type="cellIs" dxfId="3523" priority="1651" stopIfTrue="1" operator="equal">
      <formula>"SI"</formula>
    </cfRule>
  </conditionalFormatting>
  <conditionalFormatting sqref="X121">
    <cfRule type="cellIs" dxfId="3522" priority="1648" stopIfTrue="1" operator="equal">
      <formula>"NO"</formula>
    </cfRule>
    <cfRule type="cellIs" dxfId="3521" priority="1649" stopIfTrue="1" operator="equal">
      <formula>"SI"</formula>
    </cfRule>
  </conditionalFormatting>
  <conditionalFormatting sqref="X122">
    <cfRule type="cellIs" dxfId="3520" priority="1646" stopIfTrue="1" operator="equal">
      <formula>"NO"</formula>
    </cfRule>
    <cfRule type="cellIs" dxfId="3519" priority="1647" stopIfTrue="1" operator="equal">
      <formula>"SI"</formula>
    </cfRule>
  </conditionalFormatting>
  <conditionalFormatting sqref="X123">
    <cfRule type="cellIs" dxfId="3518" priority="1644" stopIfTrue="1" operator="equal">
      <formula>"NO"</formula>
    </cfRule>
    <cfRule type="cellIs" dxfId="3517" priority="1645" stopIfTrue="1" operator="equal">
      <formula>"SI"</formula>
    </cfRule>
  </conditionalFormatting>
  <conditionalFormatting sqref="X124">
    <cfRule type="cellIs" dxfId="3516" priority="1642" stopIfTrue="1" operator="equal">
      <formula>"NO"</formula>
    </cfRule>
    <cfRule type="cellIs" dxfId="3515" priority="1643" stopIfTrue="1" operator="equal">
      <formula>"SI"</formula>
    </cfRule>
  </conditionalFormatting>
  <conditionalFormatting sqref="L132:L141">
    <cfRule type="cellIs" dxfId="3514" priority="1639" stopIfTrue="1" operator="equal">
      <formula>0</formula>
    </cfRule>
    <cfRule type="cellIs" dxfId="3513" priority="1640" stopIfTrue="1" operator="greaterThanOrEqual">
      <formula>$H$6</formula>
    </cfRule>
    <cfRule type="cellIs" dxfId="3512" priority="1641" stopIfTrue="1" operator="between">
      <formula>0</formula>
      <formula>$H$6</formula>
    </cfRule>
  </conditionalFormatting>
  <conditionalFormatting sqref="Z132:Z141 AB132:AB141">
    <cfRule type="cellIs" dxfId="3511" priority="1637" operator="equal">
      <formula>"NO"</formula>
    </cfRule>
    <cfRule type="cellIs" dxfId="3510" priority="1638" operator="greaterThan">
      <formula>0</formula>
    </cfRule>
  </conditionalFormatting>
  <conditionalFormatting sqref="H132:H135 C132:G141 I132:K141 P132:Q141 U132:U141 H140:H141 M135:N141">
    <cfRule type="cellIs" dxfId="3509" priority="1636" stopIfTrue="1" operator="greaterThan">
      <formula>0</formula>
    </cfRule>
  </conditionalFormatting>
  <conditionalFormatting sqref="I132:I141 U132:U141">
    <cfRule type="cellIs" dxfId="3508" priority="1635" operator="equal">
      <formula>"NO"</formula>
    </cfRule>
  </conditionalFormatting>
  <conditionalFormatting sqref="H132:H135 J132:J141 H140:H141">
    <cfRule type="cellIs" dxfId="3507" priority="1634" stopIfTrue="1" operator="lessThan">
      <formula>0</formula>
    </cfRule>
  </conditionalFormatting>
  <conditionalFormatting sqref="H136">
    <cfRule type="cellIs" dxfId="3506" priority="1633" stopIfTrue="1" operator="lessThan">
      <formula>0</formula>
    </cfRule>
  </conditionalFormatting>
  <conditionalFormatting sqref="H136">
    <cfRule type="cellIs" dxfId="3505" priority="1632" stopIfTrue="1" operator="greaterThan">
      <formula>0</formula>
    </cfRule>
  </conditionalFormatting>
  <conditionalFormatting sqref="H137:H139">
    <cfRule type="cellIs" dxfId="3504" priority="1631" stopIfTrue="1" operator="lessThan">
      <formula>0</formula>
    </cfRule>
  </conditionalFormatting>
  <conditionalFormatting sqref="H137:H139">
    <cfRule type="cellIs" dxfId="3503" priority="1630" stopIfTrue="1" operator="greaterThan">
      <formula>0</formula>
    </cfRule>
  </conditionalFormatting>
  <conditionalFormatting sqref="M132">
    <cfRule type="cellIs" dxfId="3502" priority="1629" stopIfTrue="1" operator="greaterThan">
      <formula>0</formula>
    </cfRule>
  </conditionalFormatting>
  <conditionalFormatting sqref="N132">
    <cfRule type="cellIs" dxfId="3501" priority="1628" stopIfTrue="1" operator="greaterThan">
      <formula>0</formula>
    </cfRule>
  </conditionalFormatting>
  <conditionalFormatting sqref="M133:M134">
    <cfRule type="cellIs" dxfId="3500" priority="1627" stopIfTrue="1" operator="greaterThan">
      <formula>0</formula>
    </cfRule>
  </conditionalFormatting>
  <conditionalFormatting sqref="N133:N134">
    <cfRule type="cellIs" dxfId="3499" priority="1626" stopIfTrue="1" operator="greaterThan">
      <formula>0</formula>
    </cfRule>
  </conditionalFormatting>
  <conditionalFormatting sqref="X132">
    <cfRule type="cellIs" dxfId="3498" priority="1624" stopIfTrue="1" operator="equal">
      <formula>"NO"</formula>
    </cfRule>
    <cfRule type="cellIs" dxfId="3497" priority="1625" stopIfTrue="1" operator="equal">
      <formula>"SI"</formula>
    </cfRule>
  </conditionalFormatting>
  <conditionalFormatting sqref="X133:X134">
    <cfRule type="cellIs" dxfId="3496" priority="1622" stopIfTrue="1" operator="equal">
      <formula>"NO"</formula>
    </cfRule>
    <cfRule type="cellIs" dxfId="3495" priority="1623" stopIfTrue="1" operator="equal">
      <formula>"SI"</formula>
    </cfRule>
  </conditionalFormatting>
  <conditionalFormatting sqref="X135">
    <cfRule type="cellIs" dxfId="3494" priority="1620" stopIfTrue="1" operator="equal">
      <formula>"NO"</formula>
    </cfRule>
    <cfRule type="cellIs" dxfId="3493" priority="1621" stopIfTrue="1" operator="equal">
      <formula>"SI"</formula>
    </cfRule>
  </conditionalFormatting>
  <conditionalFormatting sqref="X136">
    <cfRule type="cellIs" dxfId="3492" priority="1618" stopIfTrue="1" operator="equal">
      <formula>"NO"</formula>
    </cfRule>
    <cfRule type="cellIs" dxfId="3491" priority="1619" stopIfTrue="1" operator="equal">
      <formula>"SI"</formula>
    </cfRule>
  </conditionalFormatting>
  <conditionalFormatting sqref="X137">
    <cfRule type="cellIs" dxfId="3490" priority="1616" stopIfTrue="1" operator="equal">
      <formula>"NO"</formula>
    </cfRule>
    <cfRule type="cellIs" dxfId="3489" priority="1617" stopIfTrue="1" operator="equal">
      <formula>"SI"</formula>
    </cfRule>
  </conditionalFormatting>
  <conditionalFormatting sqref="X138">
    <cfRule type="cellIs" dxfId="3488" priority="1614" stopIfTrue="1" operator="equal">
      <formula>"NO"</formula>
    </cfRule>
    <cfRule type="cellIs" dxfId="3487" priority="1615" stopIfTrue="1" operator="equal">
      <formula>"SI"</formula>
    </cfRule>
  </conditionalFormatting>
  <conditionalFormatting sqref="X139">
    <cfRule type="cellIs" dxfId="3486" priority="1612" stopIfTrue="1" operator="equal">
      <formula>"NO"</formula>
    </cfRule>
    <cfRule type="cellIs" dxfId="3485" priority="1613" stopIfTrue="1" operator="equal">
      <formula>"SI"</formula>
    </cfRule>
  </conditionalFormatting>
  <conditionalFormatting sqref="X140">
    <cfRule type="cellIs" dxfId="3484" priority="1610" stopIfTrue="1" operator="equal">
      <formula>"NO"</formula>
    </cfRule>
    <cfRule type="cellIs" dxfId="3483" priority="1611" stopIfTrue="1" operator="equal">
      <formula>"SI"</formula>
    </cfRule>
  </conditionalFormatting>
  <conditionalFormatting sqref="X141">
    <cfRule type="cellIs" dxfId="3482" priority="1608" stopIfTrue="1" operator="equal">
      <formula>"NO"</formula>
    </cfRule>
    <cfRule type="cellIs" dxfId="3481" priority="1609" stopIfTrue="1" operator="equal">
      <formula>"SI"</formula>
    </cfRule>
  </conditionalFormatting>
  <conditionalFormatting sqref="L149:L158">
    <cfRule type="cellIs" dxfId="3480" priority="1605" stopIfTrue="1" operator="equal">
      <formula>0</formula>
    </cfRule>
    <cfRule type="cellIs" dxfId="3479" priority="1606" stopIfTrue="1" operator="greaterThanOrEqual">
      <formula>$H$6</formula>
    </cfRule>
    <cfRule type="cellIs" dxfId="3478" priority="1607" stopIfTrue="1" operator="between">
      <formula>0</formula>
      <formula>$H$6</formula>
    </cfRule>
  </conditionalFormatting>
  <conditionalFormatting sqref="Z149:Z158 AB149:AB158">
    <cfRule type="cellIs" dxfId="3477" priority="1603" operator="equal">
      <formula>"NO"</formula>
    </cfRule>
    <cfRule type="cellIs" dxfId="3476" priority="1604" operator="greaterThan">
      <formula>0</formula>
    </cfRule>
  </conditionalFormatting>
  <conditionalFormatting sqref="H149:H152 C149:G150 P149:Q158 H157:H158 M152:N158 C152:G152 C151 C154:G158 C153 I149:K158 U149:U158">
    <cfRule type="cellIs" dxfId="3475" priority="1602" stopIfTrue="1" operator="greaterThan">
      <formula>0</formula>
    </cfRule>
  </conditionalFormatting>
  <conditionalFormatting sqref="I149:I158 U149:U158">
    <cfRule type="cellIs" dxfId="3474" priority="1601" operator="equal">
      <formula>"NO"</formula>
    </cfRule>
  </conditionalFormatting>
  <conditionalFormatting sqref="H149:H152 H157:H158 J149:J158">
    <cfRule type="cellIs" dxfId="3473" priority="1600" stopIfTrue="1" operator="lessThan">
      <formula>0</formula>
    </cfRule>
  </conditionalFormatting>
  <conditionalFormatting sqref="H153">
    <cfRule type="cellIs" dxfId="3472" priority="1599" stopIfTrue="1" operator="lessThan">
      <formula>0</formula>
    </cfRule>
  </conditionalFormatting>
  <conditionalFormatting sqref="H153">
    <cfRule type="cellIs" dxfId="3471" priority="1598" stopIfTrue="1" operator="greaterThan">
      <formula>0</formula>
    </cfRule>
  </conditionalFormatting>
  <conditionalFormatting sqref="H154:H156">
    <cfRule type="cellIs" dxfId="3470" priority="1597" stopIfTrue="1" operator="lessThan">
      <formula>0</formula>
    </cfRule>
  </conditionalFormatting>
  <conditionalFormatting sqref="H154:H156">
    <cfRule type="cellIs" dxfId="3469" priority="1596" stopIfTrue="1" operator="greaterThan">
      <formula>0</formula>
    </cfRule>
  </conditionalFormatting>
  <conditionalFormatting sqref="M149">
    <cfRule type="cellIs" dxfId="3468" priority="1595" stopIfTrue="1" operator="greaterThan">
      <formula>0</formula>
    </cfRule>
  </conditionalFormatting>
  <conditionalFormatting sqref="N149">
    <cfRule type="cellIs" dxfId="3467" priority="1594" stopIfTrue="1" operator="greaterThan">
      <formula>0</formula>
    </cfRule>
  </conditionalFormatting>
  <conditionalFormatting sqref="M150:M151">
    <cfRule type="cellIs" dxfId="3466" priority="1593" stopIfTrue="1" operator="greaterThan">
      <formula>0</formula>
    </cfRule>
  </conditionalFormatting>
  <conditionalFormatting sqref="N150:N151">
    <cfRule type="cellIs" dxfId="3465" priority="1592" stopIfTrue="1" operator="greaterThan">
      <formula>0</formula>
    </cfRule>
  </conditionalFormatting>
  <conditionalFormatting sqref="X149">
    <cfRule type="cellIs" dxfId="3464" priority="1590" stopIfTrue="1" operator="equal">
      <formula>"NO"</formula>
    </cfRule>
    <cfRule type="cellIs" dxfId="3463" priority="1591" stopIfTrue="1" operator="equal">
      <formula>"SI"</formula>
    </cfRule>
  </conditionalFormatting>
  <conditionalFormatting sqref="X150:X151">
    <cfRule type="cellIs" dxfId="3462" priority="1588" stopIfTrue="1" operator="equal">
      <formula>"NO"</formula>
    </cfRule>
    <cfRule type="cellIs" dxfId="3461" priority="1589" stopIfTrue="1" operator="equal">
      <formula>"SI"</formula>
    </cfRule>
  </conditionalFormatting>
  <conditionalFormatting sqref="X152">
    <cfRule type="cellIs" dxfId="3460" priority="1586" stopIfTrue="1" operator="equal">
      <formula>"NO"</formula>
    </cfRule>
    <cfRule type="cellIs" dxfId="3459" priority="1587" stopIfTrue="1" operator="equal">
      <formula>"SI"</formula>
    </cfRule>
  </conditionalFormatting>
  <conditionalFormatting sqref="X153">
    <cfRule type="cellIs" dxfId="3458" priority="1584" stopIfTrue="1" operator="equal">
      <formula>"NO"</formula>
    </cfRule>
    <cfRule type="cellIs" dxfId="3457" priority="1585" stopIfTrue="1" operator="equal">
      <formula>"SI"</formula>
    </cfRule>
  </conditionalFormatting>
  <conditionalFormatting sqref="X154">
    <cfRule type="cellIs" dxfId="3456" priority="1582" stopIfTrue="1" operator="equal">
      <formula>"NO"</formula>
    </cfRule>
    <cfRule type="cellIs" dxfId="3455" priority="1583" stopIfTrue="1" operator="equal">
      <formula>"SI"</formula>
    </cfRule>
  </conditionalFormatting>
  <conditionalFormatting sqref="X155">
    <cfRule type="cellIs" dxfId="3454" priority="1580" stopIfTrue="1" operator="equal">
      <formula>"NO"</formula>
    </cfRule>
    <cfRule type="cellIs" dxfId="3453" priority="1581" stopIfTrue="1" operator="equal">
      <formula>"SI"</formula>
    </cfRule>
  </conditionalFormatting>
  <conditionalFormatting sqref="X156">
    <cfRule type="cellIs" dxfId="3452" priority="1578" stopIfTrue="1" operator="equal">
      <formula>"NO"</formula>
    </cfRule>
    <cfRule type="cellIs" dxfId="3451" priority="1579" stopIfTrue="1" operator="equal">
      <formula>"SI"</formula>
    </cfRule>
  </conditionalFormatting>
  <conditionalFormatting sqref="X157">
    <cfRule type="cellIs" dxfId="3450" priority="1576" stopIfTrue="1" operator="equal">
      <formula>"NO"</formula>
    </cfRule>
    <cfRule type="cellIs" dxfId="3449" priority="1577" stopIfTrue="1" operator="equal">
      <formula>"SI"</formula>
    </cfRule>
  </conditionalFormatting>
  <conditionalFormatting sqref="X158">
    <cfRule type="cellIs" dxfId="3448" priority="1574" stopIfTrue="1" operator="equal">
      <formula>"NO"</formula>
    </cfRule>
    <cfRule type="cellIs" dxfId="3447" priority="1575" stopIfTrue="1" operator="equal">
      <formula>"SI"</formula>
    </cfRule>
  </conditionalFormatting>
  <conditionalFormatting sqref="L166:L175">
    <cfRule type="cellIs" dxfId="3446" priority="1571" stopIfTrue="1" operator="equal">
      <formula>0</formula>
    </cfRule>
    <cfRule type="cellIs" dxfId="3445" priority="1572" stopIfTrue="1" operator="greaterThanOrEqual">
      <formula>$H$6</formula>
    </cfRule>
    <cfRule type="cellIs" dxfId="3444" priority="1573" stopIfTrue="1" operator="between">
      <formula>0</formula>
      <formula>$H$6</formula>
    </cfRule>
  </conditionalFormatting>
  <conditionalFormatting sqref="Z166:Z175 AB166:AB175">
    <cfRule type="cellIs" dxfId="3443" priority="1569" operator="equal">
      <formula>"NO"</formula>
    </cfRule>
    <cfRule type="cellIs" dxfId="3442" priority="1570" operator="greaterThan">
      <formula>0</formula>
    </cfRule>
  </conditionalFormatting>
  <conditionalFormatting sqref="H166:H169 C166:G175 I166:K175 P166:Q175 U166:U175 H174:H175 M169:N175">
    <cfRule type="cellIs" dxfId="3441" priority="1568" stopIfTrue="1" operator="greaterThan">
      <formula>0</formula>
    </cfRule>
  </conditionalFormatting>
  <conditionalFormatting sqref="I166:I175 U166:U175">
    <cfRule type="cellIs" dxfId="3440" priority="1567" operator="equal">
      <formula>"NO"</formula>
    </cfRule>
  </conditionalFormatting>
  <conditionalFormatting sqref="H166:H169 J166:J175 H174:H175">
    <cfRule type="cellIs" dxfId="3439" priority="1566" stopIfTrue="1" operator="lessThan">
      <formula>0</formula>
    </cfRule>
  </conditionalFormatting>
  <conditionalFormatting sqref="H170">
    <cfRule type="cellIs" dxfId="3438" priority="1565" stopIfTrue="1" operator="lessThan">
      <formula>0</formula>
    </cfRule>
  </conditionalFormatting>
  <conditionalFormatting sqref="H170">
    <cfRule type="cellIs" dxfId="3437" priority="1564" stopIfTrue="1" operator="greaterThan">
      <formula>0</formula>
    </cfRule>
  </conditionalFormatting>
  <conditionalFormatting sqref="H171:H173">
    <cfRule type="cellIs" dxfId="3436" priority="1563" stopIfTrue="1" operator="lessThan">
      <formula>0</formula>
    </cfRule>
  </conditionalFormatting>
  <conditionalFormatting sqref="H171:H173">
    <cfRule type="cellIs" dxfId="3435" priority="1562" stopIfTrue="1" operator="greaterThan">
      <formula>0</formula>
    </cfRule>
  </conditionalFormatting>
  <conditionalFormatting sqref="M166">
    <cfRule type="cellIs" dxfId="3434" priority="1561" stopIfTrue="1" operator="greaterThan">
      <formula>0</formula>
    </cfRule>
  </conditionalFormatting>
  <conditionalFormatting sqref="N166">
    <cfRule type="cellIs" dxfId="3433" priority="1560" stopIfTrue="1" operator="greaterThan">
      <formula>0</formula>
    </cfRule>
  </conditionalFormatting>
  <conditionalFormatting sqref="M167:M168">
    <cfRule type="cellIs" dxfId="3432" priority="1559" stopIfTrue="1" operator="greaterThan">
      <formula>0</formula>
    </cfRule>
  </conditionalFormatting>
  <conditionalFormatting sqref="N167:N168">
    <cfRule type="cellIs" dxfId="3431" priority="1558" stopIfTrue="1" operator="greaterThan">
      <formula>0</formula>
    </cfRule>
  </conditionalFormatting>
  <conditionalFormatting sqref="X166">
    <cfRule type="cellIs" dxfId="3430" priority="1556" stopIfTrue="1" operator="equal">
      <formula>"NO"</formula>
    </cfRule>
    <cfRule type="cellIs" dxfId="3429" priority="1557" stopIfTrue="1" operator="equal">
      <formula>"SI"</formula>
    </cfRule>
  </conditionalFormatting>
  <conditionalFormatting sqref="X167:X168">
    <cfRule type="cellIs" dxfId="3428" priority="1554" stopIfTrue="1" operator="equal">
      <formula>"NO"</formula>
    </cfRule>
    <cfRule type="cellIs" dxfId="3427" priority="1555" stopIfTrue="1" operator="equal">
      <formula>"SI"</formula>
    </cfRule>
  </conditionalFormatting>
  <conditionalFormatting sqref="X169">
    <cfRule type="cellIs" dxfId="3426" priority="1552" stopIfTrue="1" operator="equal">
      <formula>"NO"</formula>
    </cfRule>
    <cfRule type="cellIs" dxfId="3425" priority="1553" stopIfTrue="1" operator="equal">
      <formula>"SI"</formula>
    </cfRule>
  </conditionalFormatting>
  <conditionalFormatting sqref="L183:L192">
    <cfRule type="cellIs" dxfId="3424" priority="1537" stopIfTrue="1" operator="equal">
      <formula>0</formula>
    </cfRule>
    <cfRule type="cellIs" dxfId="3423" priority="1538" stopIfTrue="1" operator="greaterThanOrEqual">
      <formula>$H$6</formula>
    </cfRule>
    <cfRule type="cellIs" dxfId="3422" priority="1539" stopIfTrue="1" operator="between">
      <formula>0</formula>
      <formula>$H$6</formula>
    </cfRule>
  </conditionalFormatting>
  <conditionalFormatting sqref="Z183:Z192 AB183:AB192">
    <cfRule type="cellIs" dxfId="3421" priority="1535" operator="equal">
      <formula>"NO"</formula>
    </cfRule>
    <cfRule type="cellIs" dxfId="3420" priority="1536" operator="greaterThan">
      <formula>0</formula>
    </cfRule>
  </conditionalFormatting>
  <conditionalFormatting sqref="H183:H186 C183:G192 I183:K192 P183:Q192 U183:U192 H191:H192 M186:N192">
    <cfRule type="cellIs" dxfId="3419" priority="1534" stopIfTrue="1" operator="greaterThan">
      <formula>0</formula>
    </cfRule>
  </conditionalFormatting>
  <conditionalFormatting sqref="I183:I192 U183:U192">
    <cfRule type="cellIs" dxfId="3418" priority="1533" operator="equal">
      <formula>"NO"</formula>
    </cfRule>
  </conditionalFormatting>
  <conditionalFormatting sqref="H183:H186 J183:J192 H191:H192">
    <cfRule type="cellIs" dxfId="3417" priority="1532" stopIfTrue="1" operator="lessThan">
      <formula>0</formula>
    </cfRule>
  </conditionalFormatting>
  <conditionalFormatting sqref="H187">
    <cfRule type="cellIs" dxfId="3416" priority="1531" stopIfTrue="1" operator="lessThan">
      <formula>0</formula>
    </cfRule>
  </conditionalFormatting>
  <conditionalFormatting sqref="H187">
    <cfRule type="cellIs" dxfId="3415" priority="1530" stopIfTrue="1" operator="greaterThan">
      <formula>0</formula>
    </cfRule>
  </conditionalFormatting>
  <conditionalFormatting sqref="H188:H190">
    <cfRule type="cellIs" dxfId="3414" priority="1529" stopIfTrue="1" operator="lessThan">
      <formula>0</formula>
    </cfRule>
  </conditionalFormatting>
  <conditionalFormatting sqref="H188:H190">
    <cfRule type="cellIs" dxfId="3413" priority="1528" stopIfTrue="1" operator="greaterThan">
      <formula>0</formula>
    </cfRule>
  </conditionalFormatting>
  <conditionalFormatting sqref="M183">
    <cfRule type="cellIs" dxfId="3412" priority="1527" stopIfTrue="1" operator="greaterThan">
      <formula>0</formula>
    </cfRule>
  </conditionalFormatting>
  <conditionalFormatting sqref="N183">
    <cfRule type="cellIs" dxfId="3411" priority="1526" stopIfTrue="1" operator="greaterThan">
      <formula>0</formula>
    </cfRule>
  </conditionalFormatting>
  <conditionalFormatting sqref="M184:M185">
    <cfRule type="cellIs" dxfId="3410" priority="1525" stopIfTrue="1" operator="greaterThan">
      <formula>0</formula>
    </cfRule>
  </conditionalFormatting>
  <conditionalFormatting sqref="N184:N185">
    <cfRule type="cellIs" dxfId="3409" priority="1524" stopIfTrue="1" operator="greaterThan">
      <formula>0</formula>
    </cfRule>
  </conditionalFormatting>
  <conditionalFormatting sqref="L200:L209">
    <cfRule type="cellIs" dxfId="3408" priority="1503" stopIfTrue="1" operator="equal">
      <formula>0</formula>
    </cfRule>
    <cfRule type="cellIs" dxfId="3407" priority="1504" stopIfTrue="1" operator="greaterThanOrEqual">
      <formula>$H$6</formula>
    </cfRule>
    <cfRule type="cellIs" dxfId="3406" priority="1505" stopIfTrue="1" operator="between">
      <formula>0</formula>
      <formula>$H$6</formula>
    </cfRule>
  </conditionalFormatting>
  <conditionalFormatting sqref="Z200:Z209 AB200:AB209">
    <cfRule type="cellIs" dxfId="3405" priority="1501" operator="equal">
      <formula>"NO"</formula>
    </cfRule>
    <cfRule type="cellIs" dxfId="3404" priority="1502" operator="greaterThan">
      <formula>0</formula>
    </cfRule>
  </conditionalFormatting>
  <conditionalFormatting sqref="H200:H203 C200:G209 I200:K209 P200:Q209 U200:U209 H208:H209 M203:N209">
    <cfRule type="cellIs" dxfId="3403" priority="1500" stopIfTrue="1" operator="greaterThan">
      <formula>0</formula>
    </cfRule>
  </conditionalFormatting>
  <conditionalFormatting sqref="I200:I209 U200:U209">
    <cfRule type="cellIs" dxfId="3402" priority="1499" operator="equal">
      <formula>"NO"</formula>
    </cfRule>
  </conditionalFormatting>
  <conditionalFormatting sqref="H200:H203 J200:J209 H208:H209">
    <cfRule type="cellIs" dxfId="3401" priority="1498" stopIfTrue="1" operator="lessThan">
      <formula>0</formula>
    </cfRule>
  </conditionalFormatting>
  <conditionalFormatting sqref="H204">
    <cfRule type="cellIs" dxfId="3400" priority="1497" stopIfTrue="1" operator="lessThan">
      <formula>0</formula>
    </cfRule>
  </conditionalFormatting>
  <conditionalFormatting sqref="H204">
    <cfRule type="cellIs" dxfId="3399" priority="1496" stopIfTrue="1" operator="greaterThan">
      <formula>0</formula>
    </cfRule>
  </conditionalFormatting>
  <conditionalFormatting sqref="H205:H207">
    <cfRule type="cellIs" dxfId="3398" priority="1495" stopIfTrue="1" operator="lessThan">
      <formula>0</formula>
    </cfRule>
  </conditionalFormatting>
  <conditionalFormatting sqref="H205:H207">
    <cfRule type="cellIs" dxfId="3397" priority="1494" stopIfTrue="1" operator="greaterThan">
      <formula>0</formula>
    </cfRule>
  </conditionalFormatting>
  <conditionalFormatting sqref="M200">
    <cfRule type="cellIs" dxfId="3396" priority="1493" stopIfTrue="1" operator="greaterThan">
      <formula>0</formula>
    </cfRule>
  </conditionalFormatting>
  <conditionalFormatting sqref="N200">
    <cfRule type="cellIs" dxfId="3395" priority="1492" stopIfTrue="1" operator="greaterThan">
      <formula>0</formula>
    </cfRule>
  </conditionalFormatting>
  <conditionalFormatting sqref="M201:M202">
    <cfRule type="cellIs" dxfId="3394" priority="1491" stopIfTrue="1" operator="greaterThan">
      <formula>0</formula>
    </cfRule>
  </conditionalFormatting>
  <conditionalFormatting sqref="N201:N202">
    <cfRule type="cellIs" dxfId="3393" priority="1490" stopIfTrue="1" operator="greaterThan">
      <formula>0</formula>
    </cfRule>
  </conditionalFormatting>
  <conditionalFormatting sqref="L217:L226">
    <cfRule type="cellIs" dxfId="3392" priority="1469" stopIfTrue="1" operator="equal">
      <formula>0</formula>
    </cfRule>
    <cfRule type="cellIs" dxfId="3391" priority="1470" stopIfTrue="1" operator="greaterThanOrEqual">
      <formula>$H$6</formula>
    </cfRule>
    <cfRule type="cellIs" dxfId="3390" priority="1471" stopIfTrue="1" operator="between">
      <formula>0</formula>
      <formula>$H$6</formula>
    </cfRule>
  </conditionalFormatting>
  <conditionalFormatting sqref="Z217:Z226 AB217:AB226">
    <cfRule type="cellIs" dxfId="3389" priority="1467" operator="equal">
      <formula>"NO"</formula>
    </cfRule>
    <cfRule type="cellIs" dxfId="3388" priority="1468" operator="greaterThan">
      <formula>0</formula>
    </cfRule>
  </conditionalFormatting>
  <conditionalFormatting sqref="H217:H220 C217:G217 I217:K226 P217:Q226 U217:U226 H225:H226 M220:N226 C219:G226 C218 G218">
    <cfRule type="cellIs" dxfId="3387" priority="1466" stopIfTrue="1" operator="greaterThan">
      <formula>0</formula>
    </cfRule>
  </conditionalFormatting>
  <conditionalFormatting sqref="I217:I226 U217:U226">
    <cfRule type="cellIs" dxfId="3386" priority="1465" operator="equal">
      <formula>"NO"</formula>
    </cfRule>
  </conditionalFormatting>
  <conditionalFormatting sqref="H217:H220 J217:J226 H225:H226">
    <cfRule type="cellIs" dxfId="3385" priority="1464" stopIfTrue="1" operator="lessThan">
      <formula>0</formula>
    </cfRule>
  </conditionalFormatting>
  <conditionalFormatting sqref="H221">
    <cfRule type="cellIs" dxfId="3384" priority="1463" stopIfTrue="1" operator="lessThan">
      <formula>0</formula>
    </cfRule>
  </conditionalFormatting>
  <conditionalFormatting sqref="H221">
    <cfRule type="cellIs" dxfId="3383" priority="1462" stopIfTrue="1" operator="greaterThan">
      <formula>0</formula>
    </cfRule>
  </conditionalFormatting>
  <conditionalFormatting sqref="H222:H224">
    <cfRule type="cellIs" dxfId="3382" priority="1461" stopIfTrue="1" operator="lessThan">
      <formula>0</formula>
    </cfRule>
  </conditionalFormatting>
  <conditionalFormatting sqref="H222:H224">
    <cfRule type="cellIs" dxfId="3381" priority="1460" stopIfTrue="1" operator="greaterThan">
      <formula>0</formula>
    </cfRule>
  </conditionalFormatting>
  <conditionalFormatting sqref="M217">
    <cfRule type="cellIs" dxfId="3380" priority="1459" stopIfTrue="1" operator="greaterThan">
      <formula>0</formula>
    </cfRule>
  </conditionalFormatting>
  <conditionalFormatting sqref="N217">
    <cfRule type="cellIs" dxfId="3379" priority="1458" stopIfTrue="1" operator="greaterThan">
      <formula>0</formula>
    </cfRule>
  </conditionalFormatting>
  <conditionalFormatting sqref="M218:M219">
    <cfRule type="cellIs" dxfId="3378" priority="1457" stopIfTrue="1" operator="greaterThan">
      <formula>0</formula>
    </cfRule>
  </conditionalFormatting>
  <conditionalFormatting sqref="N218:N219">
    <cfRule type="cellIs" dxfId="3377" priority="1456" stopIfTrue="1" operator="greaterThan">
      <formula>0</formula>
    </cfRule>
  </conditionalFormatting>
  <conditionalFormatting sqref="L234:L243">
    <cfRule type="cellIs" dxfId="3376" priority="1435" stopIfTrue="1" operator="equal">
      <formula>0</formula>
    </cfRule>
    <cfRule type="cellIs" dxfId="3375" priority="1436" stopIfTrue="1" operator="greaterThanOrEqual">
      <formula>$H$6</formula>
    </cfRule>
    <cfRule type="cellIs" dxfId="3374" priority="1437" stopIfTrue="1" operator="between">
      <formula>0</formula>
      <formula>$H$6</formula>
    </cfRule>
  </conditionalFormatting>
  <conditionalFormatting sqref="Z234:Z243 AB234:AB243">
    <cfRule type="cellIs" dxfId="3373" priority="1433" operator="equal">
      <formula>"NO"</formula>
    </cfRule>
    <cfRule type="cellIs" dxfId="3372" priority="1434" operator="greaterThan">
      <formula>0</formula>
    </cfRule>
  </conditionalFormatting>
  <conditionalFormatting sqref="H234:H237 C234:G243 I234:K243 P234:Q243 U234:U243 H242:H243 M237:N243">
    <cfRule type="cellIs" dxfId="3371" priority="1432" stopIfTrue="1" operator="greaterThan">
      <formula>0</formula>
    </cfRule>
  </conditionalFormatting>
  <conditionalFormatting sqref="I234:I243 U234:U243">
    <cfRule type="cellIs" dxfId="3370" priority="1431" operator="equal">
      <formula>"NO"</formula>
    </cfRule>
  </conditionalFormatting>
  <conditionalFormatting sqref="H234:H237 J234:J243 H242:H243">
    <cfRule type="cellIs" dxfId="3369" priority="1430" stopIfTrue="1" operator="lessThan">
      <formula>0</formula>
    </cfRule>
  </conditionalFormatting>
  <conditionalFormatting sqref="H238">
    <cfRule type="cellIs" dxfId="3368" priority="1429" stopIfTrue="1" operator="lessThan">
      <formula>0</formula>
    </cfRule>
  </conditionalFormatting>
  <conditionalFormatting sqref="H238">
    <cfRule type="cellIs" dxfId="3367" priority="1428" stopIfTrue="1" operator="greaterThan">
      <formula>0</formula>
    </cfRule>
  </conditionalFormatting>
  <conditionalFormatting sqref="H239:H241">
    <cfRule type="cellIs" dxfId="3366" priority="1427" stopIfTrue="1" operator="lessThan">
      <formula>0</formula>
    </cfRule>
  </conditionalFormatting>
  <conditionalFormatting sqref="H239:H241">
    <cfRule type="cellIs" dxfId="3365" priority="1426" stopIfTrue="1" operator="greaterThan">
      <formula>0</formula>
    </cfRule>
  </conditionalFormatting>
  <conditionalFormatting sqref="M234">
    <cfRule type="cellIs" dxfId="3364" priority="1425" stopIfTrue="1" operator="greaterThan">
      <formula>0</formula>
    </cfRule>
  </conditionalFormatting>
  <conditionalFormatting sqref="N234">
    <cfRule type="cellIs" dxfId="3363" priority="1424" stopIfTrue="1" operator="greaterThan">
      <formula>0</formula>
    </cfRule>
  </conditionalFormatting>
  <conditionalFormatting sqref="M235:M236">
    <cfRule type="cellIs" dxfId="3362" priority="1423" stopIfTrue="1" operator="greaterThan">
      <formula>0</formula>
    </cfRule>
  </conditionalFormatting>
  <conditionalFormatting sqref="N235:N236">
    <cfRule type="cellIs" dxfId="3361" priority="1422" stopIfTrue="1" operator="greaterThan">
      <formula>0</formula>
    </cfRule>
  </conditionalFormatting>
  <conditionalFormatting sqref="L251:L260">
    <cfRule type="cellIs" dxfId="3360" priority="1401" stopIfTrue="1" operator="equal">
      <formula>0</formula>
    </cfRule>
    <cfRule type="cellIs" dxfId="3359" priority="1402" stopIfTrue="1" operator="greaterThanOrEqual">
      <formula>$H$6</formula>
    </cfRule>
    <cfRule type="cellIs" dxfId="3358" priority="1403" stopIfTrue="1" operator="between">
      <formula>0</formula>
      <formula>$H$6</formula>
    </cfRule>
  </conditionalFormatting>
  <conditionalFormatting sqref="Z251:Z260 AB251:AB260">
    <cfRule type="cellIs" dxfId="3357" priority="1399" operator="equal">
      <formula>"NO"</formula>
    </cfRule>
    <cfRule type="cellIs" dxfId="3356" priority="1400" operator="greaterThan">
      <formula>0</formula>
    </cfRule>
  </conditionalFormatting>
  <conditionalFormatting sqref="H251:H254 C251:G260 I251:K260 P251:Q260 U251:U260 H259:H260 M254:N260">
    <cfRule type="cellIs" dxfId="3355" priority="1398" stopIfTrue="1" operator="greaterThan">
      <formula>0</formula>
    </cfRule>
  </conditionalFormatting>
  <conditionalFormatting sqref="I251:I260 U251:U260">
    <cfRule type="cellIs" dxfId="3354" priority="1397" operator="equal">
      <formula>"NO"</formula>
    </cfRule>
  </conditionalFormatting>
  <conditionalFormatting sqref="H251:H254 J251:J260 H259:H260">
    <cfRule type="cellIs" dxfId="3353" priority="1396" stopIfTrue="1" operator="lessThan">
      <formula>0</formula>
    </cfRule>
  </conditionalFormatting>
  <conditionalFormatting sqref="H255">
    <cfRule type="cellIs" dxfId="3352" priority="1395" stopIfTrue="1" operator="lessThan">
      <formula>0</formula>
    </cfRule>
  </conditionalFormatting>
  <conditionalFormatting sqref="H255">
    <cfRule type="cellIs" dxfId="3351" priority="1394" stopIfTrue="1" operator="greaterThan">
      <formula>0</formula>
    </cfRule>
  </conditionalFormatting>
  <conditionalFormatting sqref="H256:H258">
    <cfRule type="cellIs" dxfId="3350" priority="1393" stopIfTrue="1" operator="lessThan">
      <formula>0</formula>
    </cfRule>
  </conditionalFormatting>
  <conditionalFormatting sqref="H256:H258">
    <cfRule type="cellIs" dxfId="3349" priority="1392" stopIfTrue="1" operator="greaterThan">
      <formula>0</formula>
    </cfRule>
  </conditionalFormatting>
  <conditionalFormatting sqref="M251">
    <cfRule type="cellIs" dxfId="3348" priority="1391" stopIfTrue="1" operator="greaterThan">
      <formula>0</formula>
    </cfRule>
  </conditionalFormatting>
  <conditionalFormatting sqref="N251">
    <cfRule type="cellIs" dxfId="3347" priority="1390" stopIfTrue="1" operator="greaterThan">
      <formula>0</formula>
    </cfRule>
  </conditionalFormatting>
  <conditionalFormatting sqref="M252:M253">
    <cfRule type="cellIs" dxfId="3346" priority="1389" stopIfTrue="1" operator="greaterThan">
      <formula>0</formula>
    </cfRule>
  </conditionalFormatting>
  <conditionalFormatting sqref="N252:N253">
    <cfRule type="cellIs" dxfId="3345" priority="1388" stopIfTrue="1" operator="greaterThan">
      <formula>0</formula>
    </cfRule>
  </conditionalFormatting>
  <conditionalFormatting sqref="L268:L277">
    <cfRule type="cellIs" dxfId="3344" priority="1367" stopIfTrue="1" operator="equal">
      <formula>0</formula>
    </cfRule>
    <cfRule type="cellIs" dxfId="3343" priority="1368" stopIfTrue="1" operator="greaterThanOrEqual">
      <formula>$H$6</formula>
    </cfRule>
    <cfRule type="cellIs" dxfId="3342" priority="1369" stopIfTrue="1" operator="between">
      <formula>0</formula>
      <formula>$H$6</formula>
    </cfRule>
  </conditionalFormatting>
  <conditionalFormatting sqref="Z268:Z277 AB268:AB277">
    <cfRule type="cellIs" dxfId="3341" priority="1365" operator="equal">
      <formula>"NO"</formula>
    </cfRule>
    <cfRule type="cellIs" dxfId="3340" priority="1366" operator="greaterThan">
      <formula>0</formula>
    </cfRule>
  </conditionalFormatting>
  <conditionalFormatting sqref="H268:H271 C268:G268 I268:K277 P268:Q277 U268:U277 H276:H277 M271:N277 C270:G271 C269 C273:G277 C272">
    <cfRule type="cellIs" dxfId="3339" priority="1364" stopIfTrue="1" operator="greaterThan">
      <formula>0</formula>
    </cfRule>
  </conditionalFormatting>
  <conditionalFormatting sqref="I268:I277 U268:U277">
    <cfRule type="cellIs" dxfId="3338" priority="1363" operator="equal">
      <formula>"NO"</formula>
    </cfRule>
  </conditionalFormatting>
  <conditionalFormatting sqref="H268:H271 J268:J277 H276:H277">
    <cfRule type="cellIs" dxfId="3337" priority="1362" stopIfTrue="1" operator="lessThan">
      <formula>0</formula>
    </cfRule>
  </conditionalFormatting>
  <conditionalFormatting sqref="H273:H275">
    <cfRule type="cellIs" dxfId="3336" priority="1359" stopIfTrue="1" operator="lessThan">
      <formula>0</formula>
    </cfRule>
  </conditionalFormatting>
  <conditionalFormatting sqref="N268">
    <cfRule type="cellIs" dxfId="3335" priority="1356" stopIfTrue="1" operator="greaterThan">
      <formula>0</formula>
    </cfRule>
  </conditionalFormatting>
  <conditionalFormatting sqref="N269:N270">
    <cfRule type="cellIs" dxfId="3334" priority="1354" stopIfTrue="1" operator="greaterThan">
      <formula>0</formula>
    </cfRule>
  </conditionalFormatting>
  <conditionalFormatting sqref="L285:L294">
    <cfRule type="cellIs" dxfId="3333" priority="1333" stopIfTrue="1" operator="equal">
      <formula>0</formula>
    </cfRule>
    <cfRule type="cellIs" dxfId="3332" priority="1334" stopIfTrue="1" operator="greaterThanOrEqual">
      <formula>$H$6</formula>
    </cfRule>
    <cfRule type="cellIs" dxfId="3331" priority="1335" stopIfTrue="1" operator="between">
      <formula>0</formula>
      <formula>$H$6</formula>
    </cfRule>
  </conditionalFormatting>
  <conditionalFormatting sqref="H285:H288 C285:G294 I285:K294 P285:Q294 U285:U294 H293:H294 M288:N294">
    <cfRule type="cellIs" dxfId="3330" priority="1330" stopIfTrue="1" operator="greaterThan">
      <formula>0</formula>
    </cfRule>
  </conditionalFormatting>
  <conditionalFormatting sqref="I285:I294 U285:U294">
    <cfRule type="cellIs" dxfId="3329" priority="1329" operator="equal">
      <formula>"NO"</formula>
    </cfRule>
  </conditionalFormatting>
  <conditionalFormatting sqref="H285:H288 J285:J294 H293:H294">
    <cfRule type="cellIs" dxfId="3328" priority="1328" stopIfTrue="1" operator="lessThan">
      <formula>0</formula>
    </cfRule>
  </conditionalFormatting>
  <conditionalFormatting sqref="H289">
    <cfRule type="cellIs" dxfId="3327" priority="1327" stopIfTrue="1" operator="lessThan">
      <formula>0</formula>
    </cfRule>
  </conditionalFormatting>
  <conditionalFormatting sqref="H289">
    <cfRule type="cellIs" dxfId="3326" priority="1326" stopIfTrue="1" operator="greaterThan">
      <formula>0</formula>
    </cfRule>
  </conditionalFormatting>
  <conditionalFormatting sqref="H290:H292">
    <cfRule type="cellIs" dxfId="3325" priority="1325" stopIfTrue="1" operator="lessThan">
      <formula>0</formula>
    </cfRule>
  </conditionalFormatting>
  <conditionalFormatting sqref="H290:H292">
    <cfRule type="cellIs" dxfId="3324" priority="1324" stopIfTrue="1" operator="greaterThan">
      <formula>0</formula>
    </cfRule>
  </conditionalFormatting>
  <conditionalFormatting sqref="M285">
    <cfRule type="cellIs" dxfId="3323" priority="1323" stopIfTrue="1" operator="greaterThan">
      <formula>0</formula>
    </cfRule>
  </conditionalFormatting>
  <conditionalFormatting sqref="N285">
    <cfRule type="cellIs" dxfId="3322" priority="1322" stopIfTrue="1" operator="greaterThan">
      <formula>0</formula>
    </cfRule>
  </conditionalFormatting>
  <conditionalFormatting sqref="M286:M287">
    <cfRule type="cellIs" dxfId="3321" priority="1321" stopIfTrue="1" operator="greaterThan">
      <formula>0</formula>
    </cfRule>
  </conditionalFormatting>
  <conditionalFormatting sqref="N286:N287">
    <cfRule type="cellIs" dxfId="3320" priority="1320" stopIfTrue="1" operator="greaterThan">
      <formula>0</formula>
    </cfRule>
  </conditionalFormatting>
  <conditionalFormatting sqref="L302:L311">
    <cfRule type="cellIs" dxfId="3319" priority="1299" stopIfTrue="1" operator="equal">
      <formula>0</formula>
    </cfRule>
    <cfRule type="cellIs" dxfId="3318" priority="1300" stopIfTrue="1" operator="greaterThanOrEqual">
      <formula>$H$6</formula>
    </cfRule>
    <cfRule type="cellIs" dxfId="3317" priority="1301" stopIfTrue="1" operator="between">
      <formula>0</formula>
      <formula>$H$6</formula>
    </cfRule>
  </conditionalFormatting>
  <conditionalFormatting sqref="Z302:Z311 AB302:AB311">
    <cfRule type="cellIs" dxfId="3316" priority="1297" operator="equal">
      <formula>"NO"</formula>
    </cfRule>
    <cfRule type="cellIs" dxfId="3315" priority="1298" operator="greaterThan">
      <formula>0</formula>
    </cfRule>
  </conditionalFormatting>
  <conditionalFormatting sqref="H302:H305 C302:G311 I302:K311 P302:Q311 U302:U311 H310:H311 M305:N311">
    <cfRule type="cellIs" dxfId="3314" priority="1296" stopIfTrue="1" operator="greaterThan">
      <formula>0</formula>
    </cfRule>
  </conditionalFormatting>
  <conditionalFormatting sqref="I302:I311 U302:U311">
    <cfRule type="cellIs" dxfId="3313" priority="1295" operator="equal">
      <formula>"NO"</formula>
    </cfRule>
  </conditionalFormatting>
  <conditionalFormatting sqref="H302:H305 J302:J311 H310:H311">
    <cfRule type="cellIs" dxfId="3312" priority="1294" stopIfTrue="1" operator="lessThan">
      <formula>0</formula>
    </cfRule>
  </conditionalFormatting>
  <conditionalFormatting sqref="H306">
    <cfRule type="cellIs" dxfId="3311" priority="1293" stopIfTrue="1" operator="lessThan">
      <formula>0</formula>
    </cfRule>
  </conditionalFormatting>
  <conditionalFormatting sqref="H306">
    <cfRule type="cellIs" dxfId="3310" priority="1292" stopIfTrue="1" operator="greaterThan">
      <formula>0</formula>
    </cfRule>
  </conditionalFormatting>
  <conditionalFormatting sqref="H307:H309">
    <cfRule type="cellIs" dxfId="3309" priority="1291" stopIfTrue="1" operator="lessThan">
      <formula>0</formula>
    </cfRule>
  </conditionalFormatting>
  <conditionalFormatting sqref="H307:H309">
    <cfRule type="cellIs" dxfId="3308" priority="1290" stopIfTrue="1" operator="greaterThan">
      <formula>0</formula>
    </cfRule>
  </conditionalFormatting>
  <conditionalFormatting sqref="M302">
    <cfRule type="cellIs" dxfId="3307" priority="1289" stopIfTrue="1" operator="greaterThan">
      <formula>0</formula>
    </cfRule>
  </conditionalFormatting>
  <conditionalFormatting sqref="N302">
    <cfRule type="cellIs" dxfId="3306" priority="1288" stopIfTrue="1" operator="greaterThan">
      <formula>0</formula>
    </cfRule>
  </conditionalFormatting>
  <conditionalFormatting sqref="M303:M304">
    <cfRule type="cellIs" dxfId="3305" priority="1287" stopIfTrue="1" operator="greaterThan">
      <formula>0</formula>
    </cfRule>
  </conditionalFormatting>
  <conditionalFormatting sqref="N303:N304">
    <cfRule type="cellIs" dxfId="3304" priority="1286" stopIfTrue="1" operator="greaterThan">
      <formula>0</formula>
    </cfRule>
  </conditionalFormatting>
  <conditionalFormatting sqref="L319:L328">
    <cfRule type="cellIs" dxfId="3303" priority="1265" stopIfTrue="1" operator="equal">
      <formula>0</formula>
    </cfRule>
    <cfRule type="cellIs" dxfId="3302" priority="1266" stopIfTrue="1" operator="greaterThanOrEqual">
      <formula>$H$6</formula>
    </cfRule>
    <cfRule type="cellIs" dxfId="3301" priority="1267" stopIfTrue="1" operator="between">
      <formula>0</formula>
      <formula>$H$6</formula>
    </cfRule>
  </conditionalFormatting>
  <conditionalFormatting sqref="Z319:Z328 AB319:AB328">
    <cfRule type="cellIs" dxfId="3300" priority="1263" operator="equal">
      <formula>"NO"</formula>
    </cfRule>
    <cfRule type="cellIs" dxfId="3299" priority="1264" operator="greaterThan">
      <formula>0</formula>
    </cfRule>
  </conditionalFormatting>
  <conditionalFormatting sqref="H319:H322 C319:G328 I319:K328 P319:Q328 U319:U328 H327:H328 M322:N328">
    <cfRule type="cellIs" dxfId="3298" priority="1262" stopIfTrue="1" operator="greaterThan">
      <formula>0</formula>
    </cfRule>
  </conditionalFormatting>
  <conditionalFormatting sqref="I319:I328 U319:U328">
    <cfRule type="cellIs" dxfId="3297" priority="1261" operator="equal">
      <formula>"NO"</formula>
    </cfRule>
  </conditionalFormatting>
  <conditionalFormatting sqref="H319:H322 J319:J328 H327:H328">
    <cfRule type="cellIs" dxfId="3296" priority="1260" stopIfTrue="1" operator="lessThan">
      <formula>0</formula>
    </cfRule>
  </conditionalFormatting>
  <conditionalFormatting sqref="H323">
    <cfRule type="cellIs" dxfId="3295" priority="1259" stopIfTrue="1" operator="lessThan">
      <formula>0</formula>
    </cfRule>
  </conditionalFormatting>
  <conditionalFormatting sqref="H323">
    <cfRule type="cellIs" dxfId="3294" priority="1258" stopIfTrue="1" operator="greaterThan">
      <formula>0</formula>
    </cfRule>
  </conditionalFormatting>
  <conditionalFormatting sqref="H324:H326">
    <cfRule type="cellIs" dxfId="3293" priority="1257" stopIfTrue="1" operator="lessThan">
      <formula>0</formula>
    </cfRule>
  </conditionalFormatting>
  <conditionalFormatting sqref="H324:H326">
    <cfRule type="cellIs" dxfId="3292" priority="1256" stopIfTrue="1" operator="greaterThan">
      <formula>0</formula>
    </cfRule>
  </conditionalFormatting>
  <conditionalFormatting sqref="M319">
    <cfRule type="cellIs" dxfId="3291" priority="1255" stopIfTrue="1" operator="greaterThan">
      <formula>0</formula>
    </cfRule>
  </conditionalFormatting>
  <conditionalFormatting sqref="N319">
    <cfRule type="cellIs" dxfId="3290" priority="1254" stopIfTrue="1" operator="greaterThan">
      <formula>0</formula>
    </cfRule>
  </conditionalFormatting>
  <conditionalFormatting sqref="M320:M321">
    <cfRule type="cellIs" dxfId="3289" priority="1253" stopIfTrue="1" operator="greaterThan">
      <formula>0</formula>
    </cfRule>
  </conditionalFormatting>
  <conditionalFormatting sqref="N320:N321">
    <cfRule type="cellIs" dxfId="3288" priority="1252" stopIfTrue="1" operator="greaterThan">
      <formula>0</formula>
    </cfRule>
  </conditionalFormatting>
  <conditionalFormatting sqref="L336:L345">
    <cfRule type="cellIs" dxfId="3287" priority="1231" stopIfTrue="1" operator="equal">
      <formula>0</formula>
    </cfRule>
    <cfRule type="cellIs" dxfId="3286" priority="1232" stopIfTrue="1" operator="greaterThanOrEqual">
      <formula>$H$6</formula>
    </cfRule>
    <cfRule type="cellIs" dxfId="3285" priority="1233" stopIfTrue="1" operator="between">
      <formula>0</formula>
      <formula>$H$6</formula>
    </cfRule>
  </conditionalFormatting>
  <conditionalFormatting sqref="Z336:Z345 AB336:AB345">
    <cfRule type="cellIs" dxfId="3284" priority="1229" operator="equal">
      <formula>"NO"</formula>
    </cfRule>
    <cfRule type="cellIs" dxfId="3283" priority="1230" operator="greaterThan">
      <formula>0</formula>
    </cfRule>
  </conditionalFormatting>
  <conditionalFormatting sqref="H336:H339 C336:G345 I336:K345 P336:Q345 U336:U345 H344:H345 M339:N345">
    <cfRule type="cellIs" dxfId="3282" priority="1228" stopIfTrue="1" operator="greaterThan">
      <formula>0</formula>
    </cfRule>
  </conditionalFormatting>
  <conditionalFormatting sqref="I336:I345 U336:U345">
    <cfRule type="cellIs" dxfId="3281" priority="1227" operator="equal">
      <formula>"NO"</formula>
    </cfRule>
  </conditionalFormatting>
  <conditionalFormatting sqref="H336:H339 J336:J345 H344:H345">
    <cfRule type="cellIs" dxfId="3280" priority="1226" stopIfTrue="1" operator="lessThan">
      <formula>0</formula>
    </cfRule>
  </conditionalFormatting>
  <conditionalFormatting sqref="H340">
    <cfRule type="cellIs" dxfId="3279" priority="1225" stopIfTrue="1" operator="lessThan">
      <formula>0</formula>
    </cfRule>
  </conditionalFormatting>
  <conditionalFormatting sqref="H340">
    <cfRule type="cellIs" dxfId="3278" priority="1224" stopIfTrue="1" operator="greaterThan">
      <formula>0</formula>
    </cfRule>
  </conditionalFormatting>
  <conditionalFormatting sqref="H341:H343">
    <cfRule type="cellIs" dxfId="3277" priority="1223" stopIfTrue="1" operator="lessThan">
      <formula>0</formula>
    </cfRule>
  </conditionalFormatting>
  <conditionalFormatting sqref="H341:H343">
    <cfRule type="cellIs" dxfId="3276" priority="1222" stopIfTrue="1" operator="greaterThan">
      <formula>0</formula>
    </cfRule>
  </conditionalFormatting>
  <conditionalFormatting sqref="M336">
    <cfRule type="cellIs" dxfId="3275" priority="1221" stopIfTrue="1" operator="greaterThan">
      <formula>0</formula>
    </cfRule>
  </conditionalFormatting>
  <conditionalFormatting sqref="N336">
    <cfRule type="cellIs" dxfId="3274" priority="1220" stopIfTrue="1" operator="greaterThan">
      <formula>0</formula>
    </cfRule>
  </conditionalFormatting>
  <conditionalFormatting sqref="M337:M338">
    <cfRule type="cellIs" dxfId="3273" priority="1219" stopIfTrue="1" operator="greaterThan">
      <formula>0</formula>
    </cfRule>
  </conditionalFormatting>
  <conditionalFormatting sqref="N337:N338">
    <cfRule type="cellIs" dxfId="3272" priority="1218" stopIfTrue="1" operator="greaterThan">
      <formula>0</formula>
    </cfRule>
  </conditionalFormatting>
  <conditionalFormatting sqref="L353:L362">
    <cfRule type="cellIs" dxfId="3271" priority="1197" stopIfTrue="1" operator="equal">
      <formula>0</formula>
    </cfRule>
    <cfRule type="cellIs" dxfId="3270" priority="1198" stopIfTrue="1" operator="greaterThanOrEqual">
      <formula>$H$6</formula>
    </cfRule>
    <cfRule type="cellIs" dxfId="3269" priority="1199" stopIfTrue="1" operator="between">
      <formula>0</formula>
      <formula>$H$6</formula>
    </cfRule>
  </conditionalFormatting>
  <conditionalFormatting sqref="Z353:Z362 AB353:AB362">
    <cfRule type="cellIs" dxfId="3268" priority="1195" operator="equal">
      <formula>"NO"</formula>
    </cfRule>
    <cfRule type="cellIs" dxfId="3267" priority="1196" operator="greaterThan">
      <formula>0</formula>
    </cfRule>
  </conditionalFormatting>
  <conditionalFormatting sqref="H353:H356 C353:G362 I353:K362 P353:Q362 U353:U362 H361:H362 M356:N362">
    <cfRule type="cellIs" dxfId="3266" priority="1194" stopIfTrue="1" operator="greaterThan">
      <formula>0</formula>
    </cfRule>
  </conditionalFormatting>
  <conditionalFormatting sqref="I353:I362 U353:U362">
    <cfRule type="cellIs" dxfId="3265" priority="1193" operator="equal">
      <formula>"NO"</formula>
    </cfRule>
  </conditionalFormatting>
  <conditionalFormatting sqref="H353:H356 J353:J362 H361:H362">
    <cfRule type="cellIs" dxfId="3264" priority="1192" stopIfTrue="1" operator="lessThan">
      <formula>0</formula>
    </cfRule>
  </conditionalFormatting>
  <conditionalFormatting sqref="H357">
    <cfRule type="cellIs" dxfId="3263" priority="1191" stopIfTrue="1" operator="lessThan">
      <formula>0</formula>
    </cfRule>
  </conditionalFormatting>
  <conditionalFormatting sqref="H357">
    <cfRule type="cellIs" dxfId="3262" priority="1190" stopIfTrue="1" operator="greaterThan">
      <formula>0</formula>
    </cfRule>
  </conditionalFormatting>
  <conditionalFormatting sqref="H358:H360">
    <cfRule type="cellIs" dxfId="3261" priority="1189" stopIfTrue="1" operator="lessThan">
      <formula>0</formula>
    </cfRule>
  </conditionalFormatting>
  <conditionalFormatting sqref="H358:H360">
    <cfRule type="cellIs" dxfId="3260" priority="1188" stopIfTrue="1" operator="greaterThan">
      <formula>0</formula>
    </cfRule>
  </conditionalFormatting>
  <conditionalFormatting sqref="M353">
    <cfRule type="cellIs" dxfId="3259" priority="1187" stopIfTrue="1" operator="greaterThan">
      <formula>0</formula>
    </cfRule>
  </conditionalFormatting>
  <conditionalFormatting sqref="N353">
    <cfRule type="cellIs" dxfId="3258" priority="1186" stopIfTrue="1" operator="greaterThan">
      <formula>0</formula>
    </cfRule>
  </conditionalFormatting>
  <conditionalFormatting sqref="M354:M355">
    <cfRule type="cellIs" dxfId="3257" priority="1185" stopIfTrue="1" operator="greaterThan">
      <formula>0</formula>
    </cfRule>
  </conditionalFormatting>
  <conditionalFormatting sqref="N354:N355">
    <cfRule type="cellIs" dxfId="3256" priority="1184" stopIfTrue="1" operator="greaterThan">
      <formula>0</formula>
    </cfRule>
  </conditionalFormatting>
  <conditionalFormatting sqref="L370:L379">
    <cfRule type="cellIs" dxfId="3255" priority="1163" stopIfTrue="1" operator="equal">
      <formula>0</formula>
    </cfRule>
    <cfRule type="cellIs" dxfId="3254" priority="1164" stopIfTrue="1" operator="greaterThanOrEqual">
      <formula>$H$6</formula>
    </cfRule>
    <cfRule type="cellIs" dxfId="3253" priority="1165" stopIfTrue="1" operator="between">
      <formula>0</formula>
      <formula>$H$6</formula>
    </cfRule>
  </conditionalFormatting>
  <conditionalFormatting sqref="Z370:Z379 AB370:AB379">
    <cfRule type="cellIs" dxfId="3252" priority="1161" operator="equal">
      <formula>"NO"</formula>
    </cfRule>
    <cfRule type="cellIs" dxfId="3251" priority="1162" operator="greaterThan">
      <formula>0</formula>
    </cfRule>
  </conditionalFormatting>
  <conditionalFormatting sqref="H370:H373 C370:G370 I370:K379 P370:Q379 U370:U379 H378:H379 M373:N379 C372:G379 C371">
    <cfRule type="cellIs" dxfId="3250" priority="1160" stopIfTrue="1" operator="greaterThan">
      <formula>0</formula>
    </cfRule>
  </conditionalFormatting>
  <conditionalFormatting sqref="I370:I379 U370:U379">
    <cfRule type="cellIs" dxfId="3249" priority="1159" operator="equal">
      <formula>"NO"</formula>
    </cfRule>
  </conditionalFormatting>
  <conditionalFormatting sqref="H370:H373 J370:J379 H378:H379">
    <cfRule type="cellIs" dxfId="3248" priority="1158" stopIfTrue="1" operator="lessThan">
      <formula>0</formula>
    </cfRule>
  </conditionalFormatting>
  <conditionalFormatting sqref="H374">
    <cfRule type="cellIs" dxfId="3247" priority="1157" stopIfTrue="1" operator="lessThan">
      <formula>0</formula>
    </cfRule>
  </conditionalFormatting>
  <conditionalFormatting sqref="H374">
    <cfRule type="cellIs" dxfId="3246" priority="1156" stopIfTrue="1" operator="greaterThan">
      <formula>0</formula>
    </cfRule>
  </conditionalFormatting>
  <conditionalFormatting sqref="H375:H377">
    <cfRule type="cellIs" dxfId="3245" priority="1155" stopIfTrue="1" operator="lessThan">
      <formula>0</formula>
    </cfRule>
  </conditionalFormatting>
  <conditionalFormatting sqref="H375:H377">
    <cfRule type="cellIs" dxfId="3244" priority="1154" stopIfTrue="1" operator="greaterThan">
      <formula>0</formula>
    </cfRule>
  </conditionalFormatting>
  <conditionalFormatting sqref="M370">
    <cfRule type="cellIs" dxfId="3243" priority="1153" stopIfTrue="1" operator="greaterThan">
      <formula>0</formula>
    </cfRule>
  </conditionalFormatting>
  <conditionalFormatting sqref="N370">
    <cfRule type="cellIs" dxfId="3242" priority="1152" stopIfTrue="1" operator="greaterThan">
      <formula>0</formula>
    </cfRule>
  </conditionalFormatting>
  <conditionalFormatting sqref="M371:M372">
    <cfRule type="cellIs" dxfId="3241" priority="1151" stopIfTrue="1" operator="greaterThan">
      <formula>0</formula>
    </cfRule>
  </conditionalFormatting>
  <conditionalFormatting sqref="N371:N372">
    <cfRule type="cellIs" dxfId="3240" priority="1150" stopIfTrue="1" operator="greaterThan">
      <formula>0</formula>
    </cfRule>
  </conditionalFormatting>
  <conditionalFormatting sqref="X373">
    <cfRule type="cellIs" dxfId="3239" priority="1144" stopIfTrue="1" operator="equal">
      <formula>"NO"</formula>
    </cfRule>
    <cfRule type="cellIs" dxfId="3238" priority="1145" stopIfTrue="1" operator="equal">
      <formula>"SI"</formula>
    </cfRule>
  </conditionalFormatting>
  <conditionalFormatting sqref="X374">
    <cfRule type="cellIs" dxfId="3237" priority="1142" stopIfTrue="1" operator="equal">
      <formula>"NO"</formula>
    </cfRule>
    <cfRule type="cellIs" dxfId="3236" priority="1143" stopIfTrue="1" operator="equal">
      <formula>"SI"</formula>
    </cfRule>
  </conditionalFormatting>
  <conditionalFormatting sqref="X375">
    <cfRule type="cellIs" dxfId="3235" priority="1140" stopIfTrue="1" operator="equal">
      <formula>"NO"</formula>
    </cfRule>
    <cfRule type="cellIs" dxfId="3234" priority="1141" stopIfTrue="1" operator="equal">
      <formula>"SI"</formula>
    </cfRule>
  </conditionalFormatting>
  <conditionalFormatting sqref="X376">
    <cfRule type="cellIs" dxfId="3233" priority="1138" stopIfTrue="1" operator="equal">
      <formula>"NO"</formula>
    </cfRule>
    <cfRule type="cellIs" dxfId="3232" priority="1139" stopIfTrue="1" operator="equal">
      <formula>"SI"</formula>
    </cfRule>
  </conditionalFormatting>
  <conditionalFormatting sqref="X377">
    <cfRule type="cellIs" dxfId="3231" priority="1136" stopIfTrue="1" operator="equal">
      <formula>"NO"</formula>
    </cfRule>
    <cfRule type="cellIs" dxfId="3230" priority="1137" stopIfTrue="1" operator="equal">
      <formula>"SI"</formula>
    </cfRule>
  </conditionalFormatting>
  <conditionalFormatting sqref="X378">
    <cfRule type="cellIs" dxfId="3229" priority="1134" stopIfTrue="1" operator="equal">
      <formula>"NO"</formula>
    </cfRule>
    <cfRule type="cellIs" dxfId="3228" priority="1135" stopIfTrue="1" operator="equal">
      <formula>"SI"</formula>
    </cfRule>
  </conditionalFormatting>
  <conditionalFormatting sqref="X379">
    <cfRule type="cellIs" dxfId="3227" priority="1132" stopIfTrue="1" operator="equal">
      <formula>"NO"</formula>
    </cfRule>
    <cfRule type="cellIs" dxfId="3226" priority="1133" stopIfTrue="1" operator="equal">
      <formula>"SI"</formula>
    </cfRule>
  </conditionalFormatting>
  <conditionalFormatting sqref="L387:L396">
    <cfRule type="cellIs" dxfId="3225" priority="1129" stopIfTrue="1" operator="equal">
      <formula>0</formula>
    </cfRule>
    <cfRule type="cellIs" dxfId="3224" priority="1130" stopIfTrue="1" operator="greaterThanOrEqual">
      <formula>$H$6</formula>
    </cfRule>
    <cfRule type="cellIs" dxfId="3223" priority="1131" stopIfTrue="1" operator="between">
      <formula>0</formula>
      <formula>$H$6</formula>
    </cfRule>
  </conditionalFormatting>
  <conditionalFormatting sqref="Z390:Z396 AB390:AB396">
    <cfRule type="cellIs" dxfId="3222" priority="1127" operator="equal">
      <formula>"NO"</formula>
    </cfRule>
    <cfRule type="cellIs" dxfId="3221" priority="1128" operator="greaterThan">
      <formula>0</formula>
    </cfRule>
  </conditionalFormatting>
  <conditionalFormatting sqref="H387:H390 C387:G396 I387:K396 P387:Q396 U387:U396 H395:H396 M390:N396">
    <cfRule type="cellIs" dxfId="3220" priority="1126" stopIfTrue="1" operator="greaterThan">
      <formula>0</formula>
    </cfRule>
  </conditionalFormatting>
  <conditionalFormatting sqref="I387:I396 U387:U396">
    <cfRule type="cellIs" dxfId="3219" priority="1125" operator="equal">
      <formula>"NO"</formula>
    </cfRule>
  </conditionalFormatting>
  <conditionalFormatting sqref="H387:H390 J387:J396 H395:H396">
    <cfRule type="cellIs" dxfId="3218" priority="1124" stopIfTrue="1" operator="lessThan">
      <formula>0</formula>
    </cfRule>
  </conditionalFormatting>
  <conditionalFormatting sqref="H391">
    <cfRule type="cellIs" dxfId="3217" priority="1123" stopIfTrue="1" operator="lessThan">
      <formula>0</formula>
    </cfRule>
  </conditionalFormatting>
  <conditionalFormatting sqref="H391">
    <cfRule type="cellIs" dxfId="3216" priority="1122" stopIfTrue="1" operator="greaterThan">
      <formula>0</formula>
    </cfRule>
  </conditionalFormatting>
  <conditionalFormatting sqref="H392:H394">
    <cfRule type="cellIs" dxfId="3215" priority="1121" stopIfTrue="1" operator="lessThan">
      <formula>0</formula>
    </cfRule>
  </conditionalFormatting>
  <conditionalFormatting sqref="H392:H394">
    <cfRule type="cellIs" dxfId="3214" priority="1120" stopIfTrue="1" operator="greaterThan">
      <formula>0</formula>
    </cfRule>
  </conditionalFormatting>
  <conditionalFormatting sqref="M387">
    <cfRule type="cellIs" dxfId="3213" priority="1119" stopIfTrue="1" operator="greaterThan">
      <formula>0</formula>
    </cfRule>
  </conditionalFormatting>
  <conditionalFormatting sqref="N387">
    <cfRule type="cellIs" dxfId="3212" priority="1118" stopIfTrue="1" operator="greaterThan">
      <formula>0</formula>
    </cfRule>
  </conditionalFormatting>
  <conditionalFormatting sqref="M388:M389">
    <cfRule type="cellIs" dxfId="3211" priority="1117" stopIfTrue="1" operator="greaterThan">
      <formula>0</formula>
    </cfRule>
  </conditionalFormatting>
  <conditionalFormatting sqref="N388:N389">
    <cfRule type="cellIs" dxfId="3210" priority="1116" stopIfTrue="1" operator="greaterThan">
      <formula>0</formula>
    </cfRule>
  </conditionalFormatting>
  <conditionalFormatting sqref="X387">
    <cfRule type="cellIs" dxfId="3209" priority="1114" stopIfTrue="1" operator="equal">
      <formula>"NO"</formula>
    </cfRule>
    <cfRule type="cellIs" dxfId="3208" priority="1115" stopIfTrue="1" operator="equal">
      <formula>"SI"</formula>
    </cfRule>
  </conditionalFormatting>
  <conditionalFormatting sqref="X388:X389">
    <cfRule type="cellIs" dxfId="3207" priority="1112" stopIfTrue="1" operator="equal">
      <formula>"NO"</formula>
    </cfRule>
    <cfRule type="cellIs" dxfId="3206" priority="1113" stopIfTrue="1" operator="equal">
      <formula>"SI"</formula>
    </cfRule>
  </conditionalFormatting>
  <conditionalFormatting sqref="X390">
    <cfRule type="cellIs" dxfId="3205" priority="1110" stopIfTrue="1" operator="equal">
      <formula>"NO"</formula>
    </cfRule>
    <cfRule type="cellIs" dxfId="3204" priority="1111" stopIfTrue="1" operator="equal">
      <formula>"SI"</formula>
    </cfRule>
  </conditionalFormatting>
  <conditionalFormatting sqref="X391">
    <cfRule type="cellIs" dxfId="3203" priority="1108" stopIfTrue="1" operator="equal">
      <formula>"NO"</formula>
    </cfRule>
    <cfRule type="cellIs" dxfId="3202" priority="1109" stopIfTrue="1" operator="equal">
      <formula>"SI"</formula>
    </cfRule>
  </conditionalFormatting>
  <conditionalFormatting sqref="X392">
    <cfRule type="cellIs" dxfId="3201" priority="1106" stopIfTrue="1" operator="equal">
      <formula>"NO"</formula>
    </cfRule>
    <cfRule type="cellIs" dxfId="3200" priority="1107" stopIfTrue="1" operator="equal">
      <formula>"SI"</formula>
    </cfRule>
  </conditionalFormatting>
  <conditionalFormatting sqref="X393">
    <cfRule type="cellIs" dxfId="3199" priority="1104" stopIfTrue="1" operator="equal">
      <formula>"NO"</formula>
    </cfRule>
    <cfRule type="cellIs" dxfId="3198" priority="1105" stopIfTrue="1" operator="equal">
      <formula>"SI"</formula>
    </cfRule>
  </conditionalFormatting>
  <conditionalFormatting sqref="X394">
    <cfRule type="cellIs" dxfId="3197" priority="1102" stopIfTrue="1" operator="equal">
      <formula>"NO"</formula>
    </cfRule>
    <cfRule type="cellIs" dxfId="3196" priority="1103" stopIfTrue="1" operator="equal">
      <formula>"SI"</formula>
    </cfRule>
  </conditionalFormatting>
  <conditionalFormatting sqref="X395">
    <cfRule type="cellIs" dxfId="3195" priority="1100" stopIfTrue="1" operator="equal">
      <formula>"NO"</formula>
    </cfRule>
    <cfRule type="cellIs" dxfId="3194" priority="1101" stopIfTrue="1" operator="equal">
      <formula>"SI"</formula>
    </cfRule>
  </conditionalFormatting>
  <conditionalFormatting sqref="X396">
    <cfRule type="cellIs" dxfId="3193" priority="1098" stopIfTrue="1" operator="equal">
      <formula>"NO"</formula>
    </cfRule>
    <cfRule type="cellIs" dxfId="3192" priority="1099" stopIfTrue="1" operator="equal">
      <formula>"SI"</formula>
    </cfRule>
  </conditionalFormatting>
  <conditionalFormatting sqref="L404:L413">
    <cfRule type="cellIs" dxfId="3191" priority="1095" stopIfTrue="1" operator="equal">
      <formula>0</formula>
    </cfRule>
    <cfRule type="cellIs" dxfId="3190" priority="1096" stopIfTrue="1" operator="greaterThanOrEqual">
      <formula>$H$6</formula>
    </cfRule>
    <cfRule type="cellIs" dxfId="3189" priority="1097" stopIfTrue="1" operator="between">
      <formula>0</formula>
      <formula>$H$6</formula>
    </cfRule>
  </conditionalFormatting>
  <conditionalFormatting sqref="Z404:Z413 AB404:AB413">
    <cfRule type="cellIs" dxfId="3188" priority="1093" operator="equal">
      <formula>"NO"</formula>
    </cfRule>
    <cfRule type="cellIs" dxfId="3187" priority="1094" operator="greaterThan">
      <formula>0</formula>
    </cfRule>
  </conditionalFormatting>
  <conditionalFormatting sqref="H404:H407 C404:G413 I404:K413 P404:Q413 U404:U413 H412:H413 M407:N413">
    <cfRule type="cellIs" dxfId="3186" priority="1092" stopIfTrue="1" operator="greaterThan">
      <formula>0</formula>
    </cfRule>
  </conditionalFormatting>
  <conditionalFormatting sqref="I404:I413 U404:U413">
    <cfRule type="cellIs" dxfId="3185" priority="1091" operator="equal">
      <formula>"NO"</formula>
    </cfRule>
  </conditionalFormatting>
  <conditionalFormatting sqref="H404:H407 J404:J413 H412:H413">
    <cfRule type="cellIs" dxfId="3184" priority="1090" stopIfTrue="1" operator="lessThan">
      <formula>0</formula>
    </cfRule>
  </conditionalFormatting>
  <conditionalFormatting sqref="H408">
    <cfRule type="cellIs" dxfId="3183" priority="1089" stopIfTrue="1" operator="lessThan">
      <formula>0</formula>
    </cfRule>
  </conditionalFormatting>
  <conditionalFormatting sqref="H408">
    <cfRule type="cellIs" dxfId="3182" priority="1088" stopIfTrue="1" operator="greaterThan">
      <formula>0</formula>
    </cfRule>
  </conditionalFormatting>
  <conditionalFormatting sqref="H409:H411">
    <cfRule type="cellIs" dxfId="3181" priority="1087" stopIfTrue="1" operator="lessThan">
      <formula>0</formula>
    </cfRule>
  </conditionalFormatting>
  <conditionalFormatting sqref="H409:H411">
    <cfRule type="cellIs" dxfId="3180" priority="1086" stopIfTrue="1" operator="greaterThan">
      <formula>0</formula>
    </cfRule>
  </conditionalFormatting>
  <conditionalFormatting sqref="M404">
    <cfRule type="cellIs" dxfId="3179" priority="1085" stopIfTrue="1" operator="greaterThan">
      <formula>0</formula>
    </cfRule>
  </conditionalFormatting>
  <conditionalFormatting sqref="N404">
    <cfRule type="cellIs" dxfId="3178" priority="1084" stopIfTrue="1" operator="greaterThan">
      <formula>0</formula>
    </cfRule>
  </conditionalFormatting>
  <conditionalFormatting sqref="M405:M406">
    <cfRule type="cellIs" dxfId="3177" priority="1083" stopIfTrue="1" operator="greaterThan">
      <formula>0</formula>
    </cfRule>
  </conditionalFormatting>
  <conditionalFormatting sqref="N405:N406">
    <cfRule type="cellIs" dxfId="3176" priority="1082" stopIfTrue="1" operator="greaterThan">
      <formula>0</formula>
    </cfRule>
  </conditionalFormatting>
  <conditionalFormatting sqref="X404">
    <cfRule type="cellIs" dxfId="3175" priority="1080" stopIfTrue="1" operator="equal">
      <formula>"NO"</formula>
    </cfRule>
    <cfRule type="cellIs" dxfId="3174" priority="1081" stopIfTrue="1" operator="equal">
      <formula>"SI"</formula>
    </cfRule>
  </conditionalFormatting>
  <conditionalFormatting sqref="X405:X406">
    <cfRule type="cellIs" dxfId="3173" priority="1078" stopIfTrue="1" operator="equal">
      <formula>"NO"</formula>
    </cfRule>
    <cfRule type="cellIs" dxfId="3172" priority="1079" stopIfTrue="1" operator="equal">
      <formula>"SI"</formula>
    </cfRule>
  </conditionalFormatting>
  <conditionalFormatting sqref="X407">
    <cfRule type="cellIs" dxfId="3171" priority="1076" stopIfTrue="1" operator="equal">
      <formula>"NO"</formula>
    </cfRule>
    <cfRule type="cellIs" dxfId="3170" priority="1077" stopIfTrue="1" operator="equal">
      <formula>"SI"</formula>
    </cfRule>
  </conditionalFormatting>
  <conditionalFormatting sqref="X408">
    <cfRule type="cellIs" dxfId="3169" priority="1074" stopIfTrue="1" operator="equal">
      <formula>"NO"</formula>
    </cfRule>
    <cfRule type="cellIs" dxfId="3168" priority="1075" stopIfTrue="1" operator="equal">
      <formula>"SI"</formula>
    </cfRule>
  </conditionalFormatting>
  <conditionalFormatting sqref="X409">
    <cfRule type="cellIs" dxfId="3167" priority="1072" stopIfTrue="1" operator="equal">
      <formula>"NO"</formula>
    </cfRule>
    <cfRule type="cellIs" dxfId="3166" priority="1073" stopIfTrue="1" operator="equal">
      <formula>"SI"</formula>
    </cfRule>
  </conditionalFormatting>
  <conditionalFormatting sqref="X410">
    <cfRule type="cellIs" dxfId="3165" priority="1070" stopIfTrue="1" operator="equal">
      <formula>"NO"</formula>
    </cfRule>
    <cfRule type="cellIs" dxfId="3164" priority="1071" stopIfTrue="1" operator="equal">
      <formula>"SI"</formula>
    </cfRule>
  </conditionalFormatting>
  <conditionalFormatting sqref="X411">
    <cfRule type="cellIs" dxfId="3163" priority="1068" stopIfTrue="1" operator="equal">
      <formula>"NO"</formula>
    </cfRule>
    <cfRule type="cellIs" dxfId="3162" priority="1069" stopIfTrue="1" operator="equal">
      <formula>"SI"</formula>
    </cfRule>
  </conditionalFormatting>
  <conditionalFormatting sqref="X412">
    <cfRule type="cellIs" dxfId="3161" priority="1066" stopIfTrue="1" operator="equal">
      <formula>"NO"</formula>
    </cfRule>
    <cfRule type="cellIs" dxfId="3160" priority="1067" stopIfTrue="1" operator="equal">
      <formula>"SI"</formula>
    </cfRule>
  </conditionalFormatting>
  <conditionalFormatting sqref="X413">
    <cfRule type="cellIs" dxfId="3159" priority="1064" stopIfTrue="1" operator="equal">
      <formula>"NO"</formula>
    </cfRule>
    <cfRule type="cellIs" dxfId="3158" priority="1065" stopIfTrue="1" operator="equal">
      <formula>"SI"</formula>
    </cfRule>
  </conditionalFormatting>
  <conditionalFormatting sqref="L421:L430">
    <cfRule type="cellIs" dxfId="3157" priority="1061" stopIfTrue="1" operator="equal">
      <formula>0</formula>
    </cfRule>
    <cfRule type="cellIs" dxfId="3156" priority="1062" stopIfTrue="1" operator="greaterThanOrEqual">
      <formula>$H$6</formula>
    </cfRule>
    <cfRule type="cellIs" dxfId="3155" priority="1063" stopIfTrue="1" operator="between">
      <formula>0</formula>
      <formula>$H$6</formula>
    </cfRule>
  </conditionalFormatting>
  <conditionalFormatting sqref="Z421:Z430 AB421:AB430">
    <cfRule type="cellIs" dxfId="3154" priority="1059" operator="equal">
      <formula>"NO"</formula>
    </cfRule>
    <cfRule type="cellIs" dxfId="3153" priority="1060" operator="greaterThan">
      <formula>0</formula>
    </cfRule>
  </conditionalFormatting>
  <conditionalFormatting sqref="H421:H424 C421:G430 I421:K430 P421:Q430 U422:U430 H429:H430 M424:N430">
    <cfRule type="cellIs" dxfId="3152" priority="1058" stopIfTrue="1" operator="greaterThan">
      <formula>0</formula>
    </cfRule>
  </conditionalFormatting>
  <conditionalFormatting sqref="I421:I430 U422:U430">
    <cfRule type="cellIs" dxfId="3151" priority="1057" operator="equal">
      <formula>"NO"</formula>
    </cfRule>
  </conditionalFormatting>
  <conditionalFormatting sqref="H421:H424 J421:J430 H429:H430">
    <cfRule type="cellIs" dxfId="3150" priority="1056" stopIfTrue="1" operator="lessThan">
      <formula>0</formula>
    </cfRule>
  </conditionalFormatting>
  <conditionalFormatting sqref="H425">
    <cfRule type="cellIs" dxfId="3149" priority="1055" stopIfTrue="1" operator="lessThan">
      <formula>0</formula>
    </cfRule>
  </conditionalFormatting>
  <conditionalFormatting sqref="H425">
    <cfRule type="cellIs" dxfId="3148" priority="1054" stopIfTrue="1" operator="greaterThan">
      <formula>0</formula>
    </cfRule>
  </conditionalFormatting>
  <conditionalFormatting sqref="H426:H428">
    <cfRule type="cellIs" dxfId="3147" priority="1053" stopIfTrue="1" operator="lessThan">
      <formula>0</formula>
    </cfRule>
  </conditionalFormatting>
  <conditionalFormatting sqref="H426:H428">
    <cfRule type="cellIs" dxfId="3146" priority="1052" stopIfTrue="1" operator="greaterThan">
      <formula>0</formula>
    </cfRule>
  </conditionalFormatting>
  <conditionalFormatting sqref="M421">
    <cfRule type="cellIs" dxfId="3145" priority="1051" stopIfTrue="1" operator="greaterThan">
      <formula>0</formula>
    </cfRule>
  </conditionalFormatting>
  <conditionalFormatting sqref="N421">
    <cfRule type="cellIs" dxfId="3144" priority="1050" stopIfTrue="1" operator="greaterThan">
      <formula>0</formula>
    </cfRule>
  </conditionalFormatting>
  <conditionalFormatting sqref="M422:M423">
    <cfRule type="cellIs" dxfId="3143" priority="1049" stopIfTrue="1" operator="greaterThan">
      <formula>0</formula>
    </cfRule>
  </conditionalFormatting>
  <conditionalFormatting sqref="N422:N423">
    <cfRule type="cellIs" dxfId="3142" priority="1048" stopIfTrue="1" operator="greaterThan">
      <formula>0</formula>
    </cfRule>
  </conditionalFormatting>
  <conditionalFormatting sqref="X421">
    <cfRule type="cellIs" dxfId="3141" priority="1046" stopIfTrue="1" operator="equal">
      <formula>"NO"</formula>
    </cfRule>
    <cfRule type="cellIs" dxfId="3140" priority="1047" stopIfTrue="1" operator="equal">
      <formula>"SI"</formula>
    </cfRule>
  </conditionalFormatting>
  <conditionalFormatting sqref="X422:X423">
    <cfRule type="cellIs" dxfId="3139" priority="1044" stopIfTrue="1" operator="equal">
      <formula>"NO"</formula>
    </cfRule>
    <cfRule type="cellIs" dxfId="3138" priority="1045" stopIfTrue="1" operator="equal">
      <formula>"SI"</formula>
    </cfRule>
  </conditionalFormatting>
  <conditionalFormatting sqref="X424">
    <cfRule type="cellIs" dxfId="3137" priority="1042" stopIfTrue="1" operator="equal">
      <formula>"NO"</formula>
    </cfRule>
    <cfRule type="cellIs" dxfId="3136" priority="1043" stopIfTrue="1" operator="equal">
      <formula>"SI"</formula>
    </cfRule>
  </conditionalFormatting>
  <conditionalFormatting sqref="X425">
    <cfRule type="cellIs" dxfId="3135" priority="1040" stopIfTrue="1" operator="equal">
      <formula>"NO"</formula>
    </cfRule>
    <cfRule type="cellIs" dxfId="3134" priority="1041" stopIfTrue="1" operator="equal">
      <formula>"SI"</formula>
    </cfRule>
  </conditionalFormatting>
  <conditionalFormatting sqref="X426">
    <cfRule type="cellIs" dxfId="3133" priority="1038" stopIfTrue="1" operator="equal">
      <formula>"NO"</formula>
    </cfRule>
    <cfRule type="cellIs" dxfId="3132" priority="1039" stopIfTrue="1" operator="equal">
      <formula>"SI"</formula>
    </cfRule>
  </conditionalFormatting>
  <conditionalFormatting sqref="X427">
    <cfRule type="cellIs" dxfId="3131" priority="1036" stopIfTrue="1" operator="equal">
      <formula>"NO"</formula>
    </cfRule>
    <cfRule type="cellIs" dxfId="3130" priority="1037" stopIfTrue="1" operator="equal">
      <formula>"SI"</formula>
    </cfRule>
  </conditionalFormatting>
  <conditionalFormatting sqref="X428">
    <cfRule type="cellIs" dxfId="3129" priority="1034" stopIfTrue="1" operator="equal">
      <formula>"NO"</formula>
    </cfRule>
    <cfRule type="cellIs" dxfId="3128" priority="1035" stopIfTrue="1" operator="equal">
      <formula>"SI"</formula>
    </cfRule>
  </conditionalFormatting>
  <conditionalFormatting sqref="X429">
    <cfRule type="cellIs" dxfId="3127" priority="1032" stopIfTrue="1" operator="equal">
      <formula>"NO"</formula>
    </cfRule>
    <cfRule type="cellIs" dxfId="3126" priority="1033" stopIfTrue="1" operator="equal">
      <formula>"SI"</formula>
    </cfRule>
  </conditionalFormatting>
  <conditionalFormatting sqref="X430">
    <cfRule type="cellIs" dxfId="3125" priority="1030" stopIfTrue="1" operator="equal">
      <formula>"NO"</formula>
    </cfRule>
    <cfRule type="cellIs" dxfId="3124" priority="1031" stopIfTrue="1" operator="equal">
      <formula>"SI"</formula>
    </cfRule>
  </conditionalFormatting>
  <conditionalFormatting sqref="L455:L464">
    <cfRule type="cellIs" dxfId="3123" priority="993" stopIfTrue="1" operator="equal">
      <formula>0</formula>
    </cfRule>
    <cfRule type="cellIs" dxfId="3122" priority="994" stopIfTrue="1" operator="greaterThanOrEqual">
      <formula>$H$6</formula>
    </cfRule>
    <cfRule type="cellIs" dxfId="3121" priority="995" stopIfTrue="1" operator="between">
      <formula>0</formula>
      <formula>$H$6</formula>
    </cfRule>
  </conditionalFormatting>
  <conditionalFormatting sqref="Z455:Z464 AB455:AB464">
    <cfRule type="cellIs" dxfId="3120" priority="991" operator="equal">
      <formula>"NO"</formula>
    </cfRule>
    <cfRule type="cellIs" dxfId="3119" priority="992" operator="greaterThan">
      <formula>0</formula>
    </cfRule>
  </conditionalFormatting>
  <conditionalFormatting sqref="H455:H458 C455:G464 I455:K464 P455:Q464 U455:U464 H463:H464 M458:N464">
    <cfRule type="cellIs" dxfId="3118" priority="990" stopIfTrue="1" operator="greaterThan">
      <formula>0</formula>
    </cfRule>
  </conditionalFormatting>
  <conditionalFormatting sqref="I455:I464 U455:U464">
    <cfRule type="cellIs" dxfId="3117" priority="989" operator="equal">
      <formula>"NO"</formula>
    </cfRule>
  </conditionalFormatting>
  <conditionalFormatting sqref="H455:H458 J455:J464 H463:H464">
    <cfRule type="cellIs" dxfId="3116" priority="988" stopIfTrue="1" operator="lessThan">
      <formula>0</formula>
    </cfRule>
  </conditionalFormatting>
  <conditionalFormatting sqref="H459">
    <cfRule type="cellIs" dxfId="3115" priority="987" stopIfTrue="1" operator="lessThan">
      <formula>0</formula>
    </cfRule>
  </conditionalFormatting>
  <conditionalFormatting sqref="H459">
    <cfRule type="cellIs" dxfId="3114" priority="986" stopIfTrue="1" operator="greaterThan">
      <formula>0</formula>
    </cfRule>
  </conditionalFormatting>
  <conditionalFormatting sqref="H460:H462">
    <cfRule type="cellIs" dxfId="3113" priority="985" stopIfTrue="1" operator="lessThan">
      <formula>0</formula>
    </cfRule>
  </conditionalFormatting>
  <conditionalFormatting sqref="H460:H462">
    <cfRule type="cellIs" dxfId="3112" priority="984" stopIfTrue="1" operator="greaterThan">
      <formula>0</formula>
    </cfRule>
  </conditionalFormatting>
  <conditionalFormatting sqref="M455">
    <cfRule type="cellIs" dxfId="3111" priority="983" stopIfTrue="1" operator="greaterThan">
      <formula>0</formula>
    </cfRule>
  </conditionalFormatting>
  <conditionalFormatting sqref="N455">
    <cfRule type="cellIs" dxfId="3110" priority="982" stopIfTrue="1" operator="greaterThan">
      <formula>0</formula>
    </cfRule>
  </conditionalFormatting>
  <conditionalFormatting sqref="M456:M457">
    <cfRule type="cellIs" dxfId="3109" priority="981" stopIfTrue="1" operator="greaterThan">
      <formula>0</formula>
    </cfRule>
  </conditionalFormatting>
  <conditionalFormatting sqref="N456:N457">
    <cfRule type="cellIs" dxfId="3108" priority="980" stopIfTrue="1" operator="greaterThan">
      <formula>0</formula>
    </cfRule>
  </conditionalFormatting>
  <conditionalFormatting sqref="X455">
    <cfRule type="cellIs" dxfId="3107" priority="978" stopIfTrue="1" operator="equal">
      <formula>"NO"</formula>
    </cfRule>
    <cfRule type="cellIs" dxfId="3106" priority="979" stopIfTrue="1" operator="equal">
      <formula>"SI"</formula>
    </cfRule>
  </conditionalFormatting>
  <conditionalFormatting sqref="X456:X457">
    <cfRule type="cellIs" dxfId="3105" priority="976" stopIfTrue="1" operator="equal">
      <formula>"NO"</formula>
    </cfRule>
    <cfRule type="cellIs" dxfId="3104" priority="977" stopIfTrue="1" operator="equal">
      <formula>"SI"</formula>
    </cfRule>
  </conditionalFormatting>
  <conditionalFormatting sqref="X458">
    <cfRule type="cellIs" dxfId="3103" priority="974" stopIfTrue="1" operator="equal">
      <formula>"NO"</formula>
    </cfRule>
    <cfRule type="cellIs" dxfId="3102" priority="975" stopIfTrue="1" operator="equal">
      <formula>"SI"</formula>
    </cfRule>
  </conditionalFormatting>
  <conditionalFormatting sqref="X459">
    <cfRule type="cellIs" dxfId="3101" priority="972" stopIfTrue="1" operator="equal">
      <formula>"NO"</formula>
    </cfRule>
    <cfRule type="cellIs" dxfId="3100" priority="973" stopIfTrue="1" operator="equal">
      <formula>"SI"</formula>
    </cfRule>
  </conditionalFormatting>
  <conditionalFormatting sqref="X460">
    <cfRule type="cellIs" dxfId="3099" priority="970" stopIfTrue="1" operator="equal">
      <formula>"NO"</formula>
    </cfRule>
    <cfRule type="cellIs" dxfId="3098" priority="971" stopIfTrue="1" operator="equal">
      <formula>"SI"</formula>
    </cfRule>
  </conditionalFormatting>
  <conditionalFormatting sqref="X461">
    <cfRule type="cellIs" dxfId="3097" priority="968" stopIfTrue="1" operator="equal">
      <formula>"NO"</formula>
    </cfRule>
    <cfRule type="cellIs" dxfId="3096" priority="969" stopIfTrue="1" operator="equal">
      <formula>"SI"</formula>
    </cfRule>
  </conditionalFormatting>
  <conditionalFormatting sqref="X462">
    <cfRule type="cellIs" dxfId="3095" priority="966" stopIfTrue="1" operator="equal">
      <formula>"NO"</formula>
    </cfRule>
    <cfRule type="cellIs" dxfId="3094" priority="967" stopIfTrue="1" operator="equal">
      <formula>"SI"</formula>
    </cfRule>
  </conditionalFormatting>
  <conditionalFormatting sqref="X463">
    <cfRule type="cellIs" dxfId="3093" priority="964" stopIfTrue="1" operator="equal">
      <formula>"NO"</formula>
    </cfRule>
    <cfRule type="cellIs" dxfId="3092" priority="965" stopIfTrue="1" operator="equal">
      <formula>"SI"</formula>
    </cfRule>
  </conditionalFormatting>
  <conditionalFormatting sqref="X464">
    <cfRule type="cellIs" dxfId="3091" priority="962" stopIfTrue="1" operator="equal">
      <formula>"NO"</formula>
    </cfRule>
    <cfRule type="cellIs" dxfId="3090" priority="963" stopIfTrue="1" operator="equal">
      <formula>"SI"</formula>
    </cfRule>
  </conditionalFormatting>
  <conditionalFormatting sqref="L472:L481">
    <cfRule type="cellIs" dxfId="3089" priority="959" stopIfTrue="1" operator="equal">
      <formula>0</formula>
    </cfRule>
    <cfRule type="cellIs" dxfId="3088" priority="960" stopIfTrue="1" operator="greaterThanOrEqual">
      <formula>$H$6</formula>
    </cfRule>
    <cfRule type="cellIs" dxfId="3087" priority="961" stopIfTrue="1" operator="between">
      <formula>0</formula>
      <formula>$H$6</formula>
    </cfRule>
  </conditionalFormatting>
  <conditionalFormatting sqref="Z472:Z481 AB472:AB481">
    <cfRule type="cellIs" dxfId="3086" priority="957" operator="equal">
      <formula>"NO"</formula>
    </cfRule>
    <cfRule type="cellIs" dxfId="3085" priority="958" operator="greaterThan">
      <formula>0</formula>
    </cfRule>
  </conditionalFormatting>
  <conditionalFormatting sqref="H472:H475 C472:G481 I472:K481 P472:Q481 U472:U481 H480:H481 M475:N481">
    <cfRule type="cellIs" dxfId="3084" priority="956" stopIfTrue="1" operator="greaterThan">
      <formula>0</formula>
    </cfRule>
  </conditionalFormatting>
  <conditionalFormatting sqref="I472:I481 U472:U481">
    <cfRule type="cellIs" dxfId="3083" priority="955" operator="equal">
      <formula>"NO"</formula>
    </cfRule>
  </conditionalFormatting>
  <conditionalFormatting sqref="H472:H475 J472:J481 H480:H481">
    <cfRule type="cellIs" dxfId="3082" priority="954" stopIfTrue="1" operator="lessThan">
      <formula>0</formula>
    </cfRule>
  </conditionalFormatting>
  <conditionalFormatting sqref="H476">
    <cfRule type="cellIs" dxfId="3081" priority="953" stopIfTrue="1" operator="lessThan">
      <formula>0</formula>
    </cfRule>
  </conditionalFormatting>
  <conditionalFormatting sqref="H476">
    <cfRule type="cellIs" dxfId="3080" priority="952" stopIfTrue="1" operator="greaterThan">
      <formula>0</formula>
    </cfRule>
  </conditionalFormatting>
  <conditionalFormatting sqref="H477:H479">
    <cfRule type="cellIs" dxfId="3079" priority="951" stopIfTrue="1" operator="lessThan">
      <formula>0</formula>
    </cfRule>
  </conditionalFormatting>
  <conditionalFormatting sqref="H477:H479">
    <cfRule type="cellIs" dxfId="3078" priority="950" stopIfTrue="1" operator="greaterThan">
      <formula>0</formula>
    </cfRule>
  </conditionalFormatting>
  <conditionalFormatting sqref="M472">
    <cfRule type="cellIs" dxfId="3077" priority="949" stopIfTrue="1" operator="greaterThan">
      <formula>0</formula>
    </cfRule>
  </conditionalFormatting>
  <conditionalFormatting sqref="N472">
    <cfRule type="cellIs" dxfId="3076" priority="948" stopIfTrue="1" operator="greaterThan">
      <formula>0</formula>
    </cfRule>
  </conditionalFormatting>
  <conditionalFormatting sqref="M473:M474">
    <cfRule type="cellIs" dxfId="3075" priority="947" stopIfTrue="1" operator="greaterThan">
      <formula>0</formula>
    </cfRule>
  </conditionalFormatting>
  <conditionalFormatting sqref="N473:N474">
    <cfRule type="cellIs" dxfId="3074" priority="946" stopIfTrue="1" operator="greaterThan">
      <formula>0</formula>
    </cfRule>
  </conditionalFormatting>
  <conditionalFormatting sqref="X472">
    <cfRule type="cellIs" dxfId="3073" priority="944" stopIfTrue="1" operator="equal">
      <formula>"NO"</formula>
    </cfRule>
    <cfRule type="cellIs" dxfId="3072" priority="945" stopIfTrue="1" operator="equal">
      <formula>"SI"</formula>
    </cfRule>
  </conditionalFormatting>
  <conditionalFormatting sqref="X473:X474">
    <cfRule type="cellIs" dxfId="3071" priority="942" stopIfTrue="1" operator="equal">
      <formula>"NO"</formula>
    </cfRule>
    <cfRule type="cellIs" dxfId="3070" priority="943" stopIfTrue="1" operator="equal">
      <formula>"SI"</formula>
    </cfRule>
  </conditionalFormatting>
  <conditionalFormatting sqref="X475">
    <cfRule type="cellIs" dxfId="3069" priority="940" stopIfTrue="1" operator="equal">
      <formula>"NO"</formula>
    </cfRule>
    <cfRule type="cellIs" dxfId="3068" priority="941" stopIfTrue="1" operator="equal">
      <formula>"SI"</formula>
    </cfRule>
  </conditionalFormatting>
  <conditionalFormatting sqref="X476">
    <cfRule type="cellIs" dxfId="3067" priority="938" stopIfTrue="1" operator="equal">
      <formula>"NO"</formula>
    </cfRule>
    <cfRule type="cellIs" dxfId="3066" priority="939" stopIfTrue="1" operator="equal">
      <formula>"SI"</formula>
    </cfRule>
  </conditionalFormatting>
  <conditionalFormatting sqref="X477">
    <cfRule type="cellIs" dxfId="3065" priority="936" stopIfTrue="1" operator="equal">
      <formula>"NO"</formula>
    </cfRule>
    <cfRule type="cellIs" dxfId="3064" priority="937" stopIfTrue="1" operator="equal">
      <formula>"SI"</formula>
    </cfRule>
  </conditionalFormatting>
  <conditionalFormatting sqref="X478">
    <cfRule type="cellIs" dxfId="3063" priority="934" stopIfTrue="1" operator="equal">
      <formula>"NO"</formula>
    </cfRule>
    <cfRule type="cellIs" dxfId="3062" priority="935" stopIfTrue="1" operator="equal">
      <formula>"SI"</formula>
    </cfRule>
  </conditionalFormatting>
  <conditionalFormatting sqref="X479">
    <cfRule type="cellIs" dxfId="3061" priority="932" stopIfTrue="1" operator="equal">
      <formula>"NO"</formula>
    </cfRule>
    <cfRule type="cellIs" dxfId="3060" priority="933" stopIfTrue="1" operator="equal">
      <formula>"SI"</formula>
    </cfRule>
  </conditionalFormatting>
  <conditionalFormatting sqref="X480">
    <cfRule type="cellIs" dxfId="3059" priority="930" stopIfTrue="1" operator="equal">
      <formula>"NO"</formula>
    </cfRule>
    <cfRule type="cellIs" dxfId="3058" priority="931" stopIfTrue="1" operator="equal">
      <formula>"SI"</formula>
    </cfRule>
  </conditionalFormatting>
  <conditionalFormatting sqref="X481">
    <cfRule type="cellIs" dxfId="3057" priority="928" stopIfTrue="1" operator="equal">
      <formula>"NO"</formula>
    </cfRule>
    <cfRule type="cellIs" dxfId="3056" priority="929" stopIfTrue="1" operator="equal">
      <formula>"SI"</formula>
    </cfRule>
  </conditionalFormatting>
  <conditionalFormatting sqref="L489:L498">
    <cfRule type="cellIs" dxfId="3055" priority="925" stopIfTrue="1" operator="equal">
      <formula>0</formula>
    </cfRule>
    <cfRule type="cellIs" dxfId="3054" priority="926" stopIfTrue="1" operator="greaterThanOrEqual">
      <formula>$H$6</formula>
    </cfRule>
    <cfRule type="cellIs" dxfId="3053" priority="927" stopIfTrue="1" operator="between">
      <formula>0</formula>
      <formula>$H$6</formula>
    </cfRule>
  </conditionalFormatting>
  <conditionalFormatting sqref="Z489:Z498 AB489:AB498">
    <cfRule type="cellIs" dxfId="3052" priority="923" operator="equal">
      <formula>"NO"</formula>
    </cfRule>
    <cfRule type="cellIs" dxfId="3051" priority="924" operator="greaterThan">
      <formula>0</formula>
    </cfRule>
  </conditionalFormatting>
  <conditionalFormatting sqref="H489:H492 C489:G491 I489:K498 P489:Q498 U489:U498 H497:H498 M492:N498 C493:G498 C492">
    <cfRule type="cellIs" dxfId="3050" priority="922" stopIfTrue="1" operator="greaterThan">
      <formula>0</formula>
    </cfRule>
  </conditionalFormatting>
  <conditionalFormatting sqref="I489:I498 U489:U498">
    <cfRule type="cellIs" dxfId="3049" priority="921" operator="equal">
      <formula>"NO"</formula>
    </cfRule>
  </conditionalFormatting>
  <conditionalFormatting sqref="H489:H492 J489:J498 H497:H498">
    <cfRule type="cellIs" dxfId="3048" priority="920" stopIfTrue="1" operator="lessThan">
      <formula>0</formula>
    </cfRule>
  </conditionalFormatting>
  <conditionalFormatting sqref="H493">
    <cfRule type="cellIs" dxfId="3047" priority="919" stopIfTrue="1" operator="lessThan">
      <formula>0</formula>
    </cfRule>
  </conditionalFormatting>
  <conditionalFormatting sqref="H493">
    <cfRule type="cellIs" dxfId="3046" priority="918" stopIfTrue="1" operator="greaterThan">
      <formula>0</formula>
    </cfRule>
  </conditionalFormatting>
  <conditionalFormatting sqref="H494:H496">
    <cfRule type="cellIs" dxfId="3045" priority="917" stopIfTrue="1" operator="lessThan">
      <formula>0</formula>
    </cfRule>
  </conditionalFormatting>
  <conditionalFormatting sqref="H494:H496">
    <cfRule type="cellIs" dxfId="3044" priority="916" stopIfTrue="1" operator="greaterThan">
      <formula>0</formula>
    </cfRule>
  </conditionalFormatting>
  <conditionalFormatting sqref="M489">
    <cfRule type="cellIs" dxfId="3043" priority="915" stopIfTrue="1" operator="greaterThan">
      <formula>0</formula>
    </cfRule>
  </conditionalFormatting>
  <conditionalFormatting sqref="N489">
    <cfRule type="cellIs" dxfId="3042" priority="914" stopIfTrue="1" operator="greaterThan">
      <formula>0</formula>
    </cfRule>
  </conditionalFormatting>
  <conditionalFormatting sqref="M490:M491">
    <cfRule type="cellIs" dxfId="3041" priority="913" stopIfTrue="1" operator="greaterThan">
      <formula>0</formula>
    </cfRule>
  </conditionalFormatting>
  <conditionalFormatting sqref="N490:N491">
    <cfRule type="cellIs" dxfId="3040" priority="912" stopIfTrue="1" operator="greaterThan">
      <formula>0</formula>
    </cfRule>
  </conditionalFormatting>
  <conditionalFormatting sqref="X489">
    <cfRule type="cellIs" dxfId="3039" priority="910" stopIfTrue="1" operator="equal">
      <formula>"NO"</formula>
    </cfRule>
    <cfRule type="cellIs" dxfId="3038" priority="911" stopIfTrue="1" operator="equal">
      <formula>"SI"</formula>
    </cfRule>
  </conditionalFormatting>
  <conditionalFormatting sqref="X490:X491">
    <cfRule type="cellIs" dxfId="3037" priority="908" stopIfTrue="1" operator="equal">
      <formula>"NO"</formula>
    </cfRule>
    <cfRule type="cellIs" dxfId="3036" priority="909" stopIfTrue="1" operator="equal">
      <formula>"SI"</formula>
    </cfRule>
  </conditionalFormatting>
  <conditionalFormatting sqref="X492">
    <cfRule type="cellIs" dxfId="3035" priority="906" stopIfTrue="1" operator="equal">
      <formula>"NO"</formula>
    </cfRule>
    <cfRule type="cellIs" dxfId="3034" priority="907" stopIfTrue="1" operator="equal">
      <formula>"SI"</formula>
    </cfRule>
  </conditionalFormatting>
  <conditionalFormatting sqref="X493">
    <cfRule type="cellIs" dxfId="3033" priority="904" stopIfTrue="1" operator="equal">
      <formula>"NO"</formula>
    </cfRule>
    <cfRule type="cellIs" dxfId="3032" priority="905" stopIfTrue="1" operator="equal">
      <formula>"SI"</formula>
    </cfRule>
  </conditionalFormatting>
  <conditionalFormatting sqref="X494">
    <cfRule type="cellIs" dxfId="3031" priority="902" stopIfTrue="1" operator="equal">
      <formula>"NO"</formula>
    </cfRule>
    <cfRule type="cellIs" dxfId="3030" priority="903" stopIfTrue="1" operator="equal">
      <formula>"SI"</formula>
    </cfRule>
  </conditionalFormatting>
  <conditionalFormatting sqref="X495">
    <cfRule type="cellIs" dxfId="3029" priority="900" stopIfTrue="1" operator="equal">
      <formula>"NO"</formula>
    </cfRule>
    <cfRule type="cellIs" dxfId="3028" priority="901" stopIfTrue="1" operator="equal">
      <formula>"SI"</formula>
    </cfRule>
  </conditionalFormatting>
  <conditionalFormatting sqref="X496">
    <cfRule type="cellIs" dxfId="3027" priority="898" stopIfTrue="1" operator="equal">
      <formula>"NO"</formula>
    </cfRule>
    <cfRule type="cellIs" dxfId="3026" priority="899" stopIfTrue="1" operator="equal">
      <formula>"SI"</formula>
    </cfRule>
  </conditionalFormatting>
  <conditionalFormatting sqref="X497">
    <cfRule type="cellIs" dxfId="3025" priority="896" stopIfTrue="1" operator="equal">
      <formula>"NO"</formula>
    </cfRule>
    <cfRule type="cellIs" dxfId="3024" priority="897" stopIfTrue="1" operator="equal">
      <formula>"SI"</formula>
    </cfRule>
  </conditionalFormatting>
  <conditionalFormatting sqref="X498">
    <cfRule type="cellIs" dxfId="3023" priority="894" stopIfTrue="1" operator="equal">
      <formula>"NO"</formula>
    </cfRule>
    <cfRule type="cellIs" dxfId="3022" priority="895" stopIfTrue="1" operator="equal">
      <formula>"SI"</formula>
    </cfRule>
  </conditionalFormatting>
  <conditionalFormatting sqref="L506:L515">
    <cfRule type="cellIs" dxfId="3021" priority="891" stopIfTrue="1" operator="equal">
      <formula>0</formula>
    </cfRule>
    <cfRule type="cellIs" dxfId="3020" priority="892" stopIfTrue="1" operator="greaterThanOrEqual">
      <formula>$H$6</formula>
    </cfRule>
    <cfRule type="cellIs" dxfId="3019" priority="893" stopIfTrue="1" operator="between">
      <formula>0</formula>
      <formula>$H$6</formula>
    </cfRule>
  </conditionalFormatting>
  <conditionalFormatting sqref="Z506:Z515 AB506:AB515">
    <cfRule type="cellIs" dxfId="3018" priority="889" operator="equal">
      <formula>"NO"</formula>
    </cfRule>
    <cfRule type="cellIs" dxfId="3017" priority="890" operator="greaterThan">
      <formula>0</formula>
    </cfRule>
  </conditionalFormatting>
  <conditionalFormatting sqref="H506:H509 C506:G515 I506:K515 P506:Q515 U506:U515 H514:H515 M509:N515">
    <cfRule type="cellIs" dxfId="3016" priority="888" stopIfTrue="1" operator="greaterThan">
      <formula>0</formula>
    </cfRule>
  </conditionalFormatting>
  <conditionalFormatting sqref="I506:I515 U506:U515">
    <cfRule type="cellIs" dxfId="3015" priority="887" operator="equal">
      <formula>"NO"</formula>
    </cfRule>
  </conditionalFormatting>
  <conditionalFormatting sqref="H506:H509 J506:J515 H514:H515">
    <cfRule type="cellIs" dxfId="3014" priority="886" stopIfTrue="1" operator="lessThan">
      <formula>0</formula>
    </cfRule>
  </conditionalFormatting>
  <conditionalFormatting sqref="H510">
    <cfRule type="cellIs" dxfId="3013" priority="885" stopIfTrue="1" operator="lessThan">
      <formula>0</formula>
    </cfRule>
  </conditionalFormatting>
  <conditionalFormatting sqref="H510">
    <cfRule type="cellIs" dxfId="3012" priority="884" stopIfTrue="1" operator="greaterThan">
      <formula>0</formula>
    </cfRule>
  </conditionalFormatting>
  <conditionalFormatting sqref="H511:H513">
    <cfRule type="cellIs" dxfId="3011" priority="883" stopIfTrue="1" operator="lessThan">
      <formula>0</formula>
    </cfRule>
  </conditionalFormatting>
  <conditionalFormatting sqref="H511:H513">
    <cfRule type="cellIs" dxfId="3010" priority="882" stopIfTrue="1" operator="greaterThan">
      <formula>0</formula>
    </cfRule>
  </conditionalFormatting>
  <conditionalFormatting sqref="M506">
    <cfRule type="cellIs" dxfId="3009" priority="881" stopIfTrue="1" operator="greaterThan">
      <formula>0</formula>
    </cfRule>
  </conditionalFormatting>
  <conditionalFormatting sqref="N506">
    <cfRule type="cellIs" dxfId="3008" priority="880" stopIfTrue="1" operator="greaterThan">
      <formula>0</formula>
    </cfRule>
  </conditionalFormatting>
  <conditionalFormatting sqref="M507:M508">
    <cfRule type="cellIs" dxfId="3007" priority="879" stopIfTrue="1" operator="greaterThan">
      <formula>0</formula>
    </cfRule>
  </conditionalFormatting>
  <conditionalFormatting sqref="N507:N508">
    <cfRule type="cellIs" dxfId="3006" priority="878" stopIfTrue="1" operator="greaterThan">
      <formula>0</formula>
    </cfRule>
  </conditionalFormatting>
  <conditionalFormatting sqref="X506">
    <cfRule type="cellIs" dxfId="3005" priority="876" stopIfTrue="1" operator="equal">
      <formula>"NO"</formula>
    </cfRule>
    <cfRule type="cellIs" dxfId="3004" priority="877" stopIfTrue="1" operator="equal">
      <formula>"SI"</formula>
    </cfRule>
  </conditionalFormatting>
  <conditionalFormatting sqref="X507:X508">
    <cfRule type="cellIs" dxfId="3003" priority="874" stopIfTrue="1" operator="equal">
      <formula>"NO"</formula>
    </cfRule>
    <cfRule type="cellIs" dxfId="3002" priority="875" stopIfTrue="1" operator="equal">
      <formula>"SI"</formula>
    </cfRule>
  </conditionalFormatting>
  <conditionalFormatting sqref="X509">
    <cfRule type="cellIs" dxfId="3001" priority="872" stopIfTrue="1" operator="equal">
      <formula>"NO"</formula>
    </cfRule>
    <cfRule type="cellIs" dxfId="3000" priority="873" stopIfTrue="1" operator="equal">
      <formula>"SI"</formula>
    </cfRule>
  </conditionalFormatting>
  <conditionalFormatting sqref="X510">
    <cfRule type="cellIs" dxfId="2999" priority="870" stopIfTrue="1" operator="equal">
      <formula>"NO"</formula>
    </cfRule>
    <cfRule type="cellIs" dxfId="2998" priority="871" stopIfTrue="1" operator="equal">
      <formula>"SI"</formula>
    </cfRule>
  </conditionalFormatting>
  <conditionalFormatting sqref="X511">
    <cfRule type="cellIs" dxfId="2997" priority="868" stopIfTrue="1" operator="equal">
      <formula>"NO"</formula>
    </cfRule>
    <cfRule type="cellIs" dxfId="2996" priority="869" stopIfTrue="1" operator="equal">
      <formula>"SI"</formula>
    </cfRule>
  </conditionalFormatting>
  <conditionalFormatting sqref="X512">
    <cfRule type="cellIs" dxfId="2995" priority="866" stopIfTrue="1" operator="equal">
      <formula>"NO"</formula>
    </cfRule>
    <cfRule type="cellIs" dxfId="2994" priority="867" stopIfTrue="1" operator="equal">
      <formula>"SI"</formula>
    </cfRule>
  </conditionalFormatting>
  <conditionalFormatting sqref="X513">
    <cfRule type="cellIs" dxfId="2993" priority="864" stopIfTrue="1" operator="equal">
      <formula>"NO"</formula>
    </cfRule>
    <cfRule type="cellIs" dxfId="2992" priority="865" stopIfTrue="1" operator="equal">
      <formula>"SI"</formula>
    </cfRule>
  </conditionalFormatting>
  <conditionalFormatting sqref="X514">
    <cfRule type="cellIs" dxfId="2991" priority="862" stopIfTrue="1" operator="equal">
      <formula>"NO"</formula>
    </cfRule>
    <cfRule type="cellIs" dxfId="2990" priority="863" stopIfTrue="1" operator="equal">
      <formula>"SI"</formula>
    </cfRule>
  </conditionalFormatting>
  <conditionalFormatting sqref="X515">
    <cfRule type="cellIs" dxfId="2989" priority="860" stopIfTrue="1" operator="equal">
      <formula>"NO"</formula>
    </cfRule>
    <cfRule type="cellIs" dxfId="2988" priority="861" stopIfTrue="1" operator="equal">
      <formula>"SI"</formula>
    </cfRule>
  </conditionalFormatting>
  <conditionalFormatting sqref="L523:L532">
    <cfRule type="cellIs" dxfId="2987" priority="857" stopIfTrue="1" operator="equal">
      <formula>0</formula>
    </cfRule>
    <cfRule type="cellIs" dxfId="2986" priority="858" stopIfTrue="1" operator="greaterThanOrEqual">
      <formula>$H$6</formula>
    </cfRule>
    <cfRule type="cellIs" dxfId="2985" priority="859" stopIfTrue="1" operator="between">
      <formula>0</formula>
      <formula>$H$6</formula>
    </cfRule>
  </conditionalFormatting>
  <conditionalFormatting sqref="Z525:Z532 AB525:AB532">
    <cfRule type="cellIs" dxfId="2984" priority="855" operator="equal">
      <formula>"NO"</formula>
    </cfRule>
    <cfRule type="cellIs" dxfId="2983" priority="856" operator="greaterThan">
      <formula>0</formula>
    </cfRule>
  </conditionalFormatting>
  <conditionalFormatting sqref="H523:H526 C523:G532 I523:K532 P523:Q532 U523:U532 H531:H532 M526:N532">
    <cfRule type="cellIs" dxfId="2982" priority="854" stopIfTrue="1" operator="greaterThan">
      <formula>0</formula>
    </cfRule>
  </conditionalFormatting>
  <conditionalFormatting sqref="I523:I532 U523:U532">
    <cfRule type="cellIs" dxfId="2981" priority="853" operator="equal">
      <formula>"NO"</formula>
    </cfRule>
  </conditionalFormatting>
  <conditionalFormatting sqref="H523:H526 J523:J532 H531:H532">
    <cfRule type="cellIs" dxfId="2980" priority="852" stopIfTrue="1" operator="lessThan">
      <formula>0</formula>
    </cfRule>
  </conditionalFormatting>
  <conditionalFormatting sqref="H527">
    <cfRule type="cellIs" dxfId="2979" priority="851" stopIfTrue="1" operator="lessThan">
      <formula>0</formula>
    </cfRule>
  </conditionalFormatting>
  <conditionalFormatting sqref="H527">
    <cfRule type="cellIs" dxfId="2978" priority="850" stopIfTrue="1" operator="greaterThan">
      <formula>0</formula>
    </cfRule>
  </conditionalFormatting>
  <conditionalFormatting sqref="H528:H530">
    <cfRule type="cellIs" dxfId="2977" priority="849" stopIfTrue="1" operator="lessThan">
      <formula>0</formula>
    </cfRule>
  </conditionalFormatting>
  <conditionalFormatting sqref="H528:H530">
    <cfRule type="cellIs" dxfId="2976" priority="848" stopIfTrue="1" operator="greaterThan">
      <formula>0</formula>
    </cfRule>
  </conditionalFormatting>
  <conditionalFormatting sqref="M523">
    <cfRule type="cellIs" dxfId="2975" priority="847" stopIfTrue="1" operator="greaterThan">
      <formula>0</formula>
    </cfRule>
  </conditionalFormatting>
  <conditionalFormatting sqref="N523">
    <cfRule type="cellIs" dxfId="2974" priority="846" stopIfTrue="1" operator="greaterThan">
      <formula>0</formula>
    </cfRule>
  </conditionalFormatting>
  <conditionalFormatting sqref="M524:M525">
    <cfRule type="cellIs" dxfId="2973" priority="845" stopIfTrue="1" operator="greaterThan">
      <formula>0</formula>
    </cfRule>
  </conditionalFormatting>
  <conditionalFormatting sqref="N524:N525">
    <cfRule type="cellIs" dxfId="2972" priority="844" stopIfTrue="1" operator="greaterThan">
      <formula>0</formula>
    </cfRule>
  </conditionalFormatting>
  <conditionalFormatting sqref="X523">
    <cfRule type="cellIs" dxfId="2971" priority="842" stopIfTrue="1" operator="equal">
      <formula>"NO"</formula>
    </cfRule>
    <cfRule type="cellIs" dxfId="2970" priority="843" stopIfTrue="1" operator="equal">
      <formula>"SI"</formula>
    </cfRule>
  </conditionalFormatting>
  <conditionalFormatting sqref="X524:X525">
    <cfRule type="cellIs" dxfId="2969" priority="840" stopIfTrue="1" operator="equal">
      <formula>"NO"</formula>
    </cfRule>
    <cfRule type="cellIs" dxfId="2968" priority="841" stopIfTrue="1" operator="equal">
      <formula>"SI"</formula>
    </cfRule>
  </conditionalFormatting>
  <conditionalFormatting sqref="X526">
    <cfRule type="cellIs" dxfId="2967" priority="838" stopIfTrue="1" operator="equal">
      <formula>"NO"</formula>
    </cfRule>
    <cfRule type="cellIs" dxfId="2966" priority="839" stopIfTrue="1" operator="equal">
      <formula>"SI"</formula>
    </cfRule>
  </conditionalFormatting>
  <conditionalFormatting sqref="X527">
    <cfRule type="cellIs" dxfId="2965" priority="836" stopIfTrue="1" operator="equal">
      <formula>"NO"</formula>
    </cfRule>
    <cfRule type="cellIs" dxfId="2964" priority="837" stopIfTrue="1" operator="equal">
      <formula>"SI"</formula>
    </cfRule>
  </conditionalFormatting>
  <conditionalFormatting sqref="X528">
    <cfRule type="cellIs" dxfId="2963" priority="834" stopIfTrue="1" operator="equal">
      <formula>"NO"</formula>
    </cfRule>
    <cfRule type="cellIs" dxfId="2962" priority="835" stopIfTrue="1" operator="equal">
      <formula>"SI"</formula>
    </cfRule>
  </conditionalFormatting>
  <conditionalFormatting sqref="X529">
    <cfRule type="cellIs" dxfId="2961" priority="832" stopIfTrue="1" operator="equal">
      <formula>"NO"</formula>
    </cfRule>
    <cfRule type="cellIs" dxfId="2960" priority="833" stopIfTrue="1" operator="equal">
      <formula>"SI"</formula>
    </cfRule>
  </conditionalFormatting>
  <conditionalFormatting sqref="X530">
    <cfRule type="cellIs" dxfId="2959" priority="830" stopIfTrue="1" operator="equal">
      <formula>"NO"</formula>
    </cfRule>
    <cfRule type="cellIs" dxfId="2958" priority="831" stopIfTrue="1" operator="equal">
      <formula>"SI"</formula>
    </cfRule>
  </conditionalFormatting>
  <conditionalFormatting sqref="X531">
    <cfRule type="cellIs" dxfId="2957" priority="828" stopIfTrue="1" operator="equal">
      <formula>"NO"</formula>
    </cfRule>
    <cfRule type="cellIs" dxfId="2956" priority="829" stopIfTrue="1" operator="equal">
      <formula>"SI"</formula>
    </cfRule>
  </conditionalFormatting>
  <conditionalFormatting sqref="X532">
    <cfRule type="cellIs" dxfId="2955" priority="826" stopIfTrue="1" operator="equal">
      <formula>"NO"</formula>
    </cfRule>
    <cfRule type="cellIs" dxfId="2954" priority="827" stopIfTrue="1" operator="equal">
      <formula>"SI"</formula>
    </cfRule>
  </conditionalFormatting>
  <conditionalFormatting sqref="L540:L549">
    <cfRule type="cellIs" dxfId="2953" priority="823" stopIfTrue="1" operator="equal">
      <formula>0</formula>
    </cfRule>
    <cfRule type="cellIs" dxfId="2952" priority="824" stopIfTrue="1" operator="greaterThanOrEqual">
      <formula>$H$6</formula>
    </cfRule>
    <cfRule type="cellIs" dxfId="2951" priority="825" stopIfTrue="1" operator="between">
      <formula>0</formula>
      <formula>$H$6</formula>
    </cfRule>
  </conditionalFormatting>
  <conditionalFormatting sqref="Z540:Z549 AB540:AB549">
    <cfRule type="cellIs" dxfId="2950" priority="821" operator="equal">
      <formula>"NO"</formula>
    </cfRule>
    <cfRule type="cellIs" dxfId="2949" priority="822" operator="greaterThan">
      <formula>0</formula>
    </cfRule>
  </conditionalFormatting>
  <conditionalFormatting sqref="H540:H543 C540:G549 I540:K549 P540:Q549 U540:U549 H548:H549 M543:N549">
    <cfRule type="cellIs" dxfId="2948" priority="820" stopIfTrue="1" operator="greaterThan">
      <formula>0</formula>
    </cfRule>
  </conditionalFormatting>
  <conditionalFormatting sqref="I540:I549 U540:U549">
    <cfRule type="cellIs" dxfId="2947" priority="819" operator="equal">
      <formula>"NO"</formula>
    </cfRule>
  </conditionalFormatting>
  <conditionalFormatting sqref="H540:H543 J540:J549 H548:H549">
    <cfRule type="cellIs" dxfId="2946" priority="818" stopIfTrue="1" operator="lessThan">
      <formula>0</formula>
    </cfRule>
  </conditionalFormatting>
  <conditionalFormatting sqref="H544">
    <cfRule type="cellIs" dxfId="2945" priority="817" stopIfTrue="1" operator="lessThan">
      <formula>0</formula>
    </cfRule>
  </conditionalFormatting>
  <conditionalFormatting sqref="H544">
    <cfRule type="cellIs" dxfId="2944" priority="816" stopIfTrue="1" operator="greaterThan">
      <formula>0</formula>
    </cfRule>
  </conditionalFormatting>
  <conditionalFormatting sqref="H545:H547">
    <cfRule type="cellIs" dxfId="2943" priority="815" stopIfTrue="1" operator="lessThan">
      <formula>0</formula>
    </cfRule>
  </conditionalFormatting>
  <conditionalFormatting sqref="H545:H547">
    <cfRule type="cellIs" dxfId="2942" priority="814" stopIfTrue="1" operator="greaterThan">
      <formula>0</formula>
    </cfRule>
  </conditionalFormatting>
  <conditionalFormatting sqref="M540">
    <cfRule type="cellIs" dxfId="2941" priority="813" stopIfTrue="1" operator="greaterThan">
      <formula>0</formula>
    </cfRule>
  </conditionalFormatting>
  <conditionalFormatting sqref="N540">
    <cfRule type="cellIs" dxfId="2940" priority="812" stopIfTrue="1" operator="greaterThan">
      <formula>0</formula>
    </cfRule>
  </conditionalFormatting>
  <conditionalFormatting sqref="M541:M542">
    <cfRule type="cellIs" dxfId="2939" priority="811" stopIfTrue="1" operator="greaterThan">
      <formula>0</formula>
    </cfRule>
  </conditionalFormatting>
  <conditionalFormatting sqref="N541:N542">
    <cfRule type="cellIs" dxfId="2938" priority="810" stopIfTrue="1" operator="greaterThan">
      <formula>0</formula>
    </cfRule>
  </conditionalFormatting>
  <conditionalFormatting sqref="X540">
    <cfRule type="cellIs" dxfId="2937" priority="808" stopIfTrue="1" operator="equal">
      <formula>"NO"</formula>
    </cfRule>
    <cfRule type="cellIs" dxfId="2936" priority="809" stopIfTrue="1" operator="equal">
      <formula>"SI"</formula>
    </cfRule>
  </conditionalFormatting>
  <conditionalFormatting sqref="X541:X542">
    <cfRule type="cellIs" dxfId="2935" priority="806" stopIfTrue="1" operator="equal">
      <formula>"NO"</formula>
    </cfRule>
    <cfRule type="cellIs" dxfId="2934" priority="807" stopIfTrue="1" operator="equal">
      <formula>"SI"</formula>
    </cfRule>
  </conditionalFormatting>
  <conditionalFormatting sqref="X543">
    <cfRule type="cellIs" dxfId="2933" priority="804" stopIfTrue="1" operator="equal">
      <formula>"NO"</formula>
    </cfRule>
    <cfRule type="cellIs" dxfId="2932" priority="805" stopIfTrue="1" operator="equal">
      <formula>"SI"</formula>
    </cfRule>
  </conditionalFormatting>
  <conditionalFormatting sqref="X544">
    <cfRule type="cellIs" dxfId="2931" priority="802" stopIfTrue="1" operator="equal">
      <formula>"NO"</formula>
    </cfRule>
    <cfRule type="cellIs" dxfId="2930" priority="803" stopIfTrue="1" operator="equal">
      <formula>"SI"</formula>
    </cfRule>
  </conditionalFormatting>
  <conditionalFormatting sqref="X545">
    <cfRule type="cellIs" dxfId="2929" priority="800" stopIfTrue="1" operator="equal">
      <formula>"NO"</formula>
    </cfRule>
    <cfRule type="cellIs" dxfId="2928" priority="801" stopIfTrue="1" operator="equal">
      <formula>"SI"</formula>
    </cfRule>
  </conditionalFormatting>
  <conditionalFormatting sqref="X546">
    <cfRule type="cellIs" dxfId="2927" priority="798" stopIfTrue="1" operator="equal">
      <formula>"NO"</formula>
    </cfRule>
    <cfRule type="cellIs" dxfId="2926" priority="799" stopIfTrue="1" operator="equal">
      <formula>"SI"</formula>
    </cfRule>
  </conditionalFormatting>
  <conditionalFormatting sqref="X547">
    <cfRule type="cellIs" dxfId="2925" priority="796" stopIfTrue="1" operator="equal">
      <formula>"NO"</formula>
    </cfRule>
    <cfRule type="cellIs" dxfId="2924" priority="797" stopIfTrue="1" operator="equal">
      <formula>"SI"</formula>
    </cfRule>
  </conditionalFormatting>
  <conditionalFormatting sqref="X548">
    <cfRule type="cellIs" dxfId="2923" priority="794" stopIfTrue="1" operator="equal">
      <formula>"NO"</formula>
    </cfRule>
    <cfRule type="cellIs" dxfId="2922" priority="795" stopIfTrue="1" operator="equal">
      <formula>"SI"</formula>
    </cfRule>
  </conditionalFormatting>
  <conditionalFormatting sqref="X549">
    <cfRule type="cellIs" dxfId="2921" priority="792" stopIfTrue="1" operator="equal">
      <formula>"NO"</formula>
    </cfRule>
    <cfRule type="cellIs" dxfId="2920" priority="793" stopIfTrue="1" operator="equal">
      <formula>"SI"</formula>
    </cfRule>
  </conditionalFormatting>
  <conditionalFormatting sqref="L557:L566">
    <cfRule type="cellIs" dxfId="2919" priority="789" stopIfTrue="1" operator="equal">
      <formula>0</formula>
    </cfRule>
    <cfRule type="cellIs" dxfId="2918" priority="790" stopIfTrue="1" operator="greaterThanOrEqual">
      <formula>$H$6</formula>
    </cfRule>
    <cfRule type="cellIs" dxfId="2917" priority="791" stopIfTrue="1" operator="between">
      <formula>0</formula>
      <formula>$H$6</formula>
    </cfRule>
  </conditionalFormatting>
  <conditionalFormatting sqref="Z557:Z566 AB557:AB566">
    <cfRule type="cellIs" dxfId="2916" priority="787" operator="equal">
      <formula>"NO"</formula>
    </cfRule>
    <cfRule type="cellIs" dxfId="2915" priority="788" operator="greaterThan">
      <formula>0</formula>
    </cfRule>
  </conditionalFormatting>
  <conditionalFormatting sqref="H557:H560 C557:G566 I557:K566 P557:Q566 U557:U566 H565:H566 M560:N566">
    <cfRule type="cellIs" dxfId="2914" priority="786" stopIfTrue="1" operator="greaterThan">
      <formula>0</formula>
    </cfRule>
  </conditionalFormatting>
  <conditionalFormatting sqref="I557:I566 U557:U566">
    <cfRule type="cellIs" dxfId="2913" priority="785" operator="equal">
      <formula>"NO"</formula>
    </cfRule>
  </conditionalFormatting>
  <conditionalFormatting sqref="H557:H560 J557:J566 H565:H566">
    <cfRule type="cellIs" dxfId="2912" priority="784" stopIfTrue="1" operator="lessThan">
      <formula>0</formula>
    </cfRule>
  </conditionalFormatting>
  <conditionalFormatting sqref="H561">
    <cfRule type="cellIs" dxfId="2911" priority="783" stopIfTrue="1" operator="lessThan">
      <formula>0</formula>
    </cfRule>
  </conditionalFormatting>
  <conditionalFormatting sqref="H561">
    <cfRule type="cellIs" dxfId="2910" priority="782" stopIfTrue="1" operator="greaterThan">
      <formula>0</formula>
    </cfRule>
  </conditionalFormatting>
  <conditionalFormatting sqref="H562:H564">
    <cfRule type="cellIs" dxfId="2909" priority="781" stopIfTrue="1" operator="lessThan">
      <formula>0</formula>
    </cfRule>
  </conditionalFormatting>
  <conditionalFormatting sqref="H562:H564">
    <cfRule type="cellIs" dxfId="2908" priority="780" stopIfTrue="1" operator="greaterThan">
      <formula>0</formula>
    </cfRule>
  </conditionalFormatting>
  <conditionalFormatting sqref="M557">
    <cfRule type="cellIs" dxfId="2907" priority="779" stopIfTrue="1" operator="greaterThan">
      <formula>0</formula>
    </cfRule>
  </conditionalFormatting>
  <conditionalFormatting sqref="N557">
    <cfRule type="cellIs" dxfId="2906" priority="778" stopIfTrue="1" operator="greaterThan">
      <formula>0</formula>
    </cfRule>
  </conditionalFormatting>
  <conditionalFormatting sqref="M558:M559">
    <cfRule type="cellIs" dxfId="2905" priority="777" stopIfTrue="1" operator="greaterThan">
      <formula>0</formula>
    </cfRule>
  </conditionalFormatting>
  <conditionalFormatting sqref="N558:N559">
    <cfRule type="cellIs" dxfId="2904" priority="776" stopIfTrue="1" operator="greaterThan">
      <formula>0</formula>
    </cfRule>
  </conditionalFormatting>
  <conditionalFormatting sqref="X557">
    <cfRule type="cellIs" dxfId="2903" priority="774" stopIfTrue="1" operator="equal">
      <formula>"NO"</formula>
    </cfRule>
    <cfRule type="cellIs" dxfId="2902" priority="775" stopIfTrue="1" operator="equal">
      <formula>"SI"</formula>
    </cfRule>
  </conditionalFormatting>
  <conditionalFormatting sqref="X558:X559">
    <cfRule type="cellIs" dxfId="2901" priority="772" stopIfTrue="1" operator="equal">
      <formula>"NO"</formula>
    </cfRule>
    <cfRule type="cellIs" dxfId="2900" priority="773" stopIfTrue="1" operator="equal">
      <formula>"SI"</formula>
    </cfRule>
  </conditionalFormatting>
  <conditionalFormatting sqref="X560">
    <cfRule type="cellIs" dxfId="2899" priority="770" stopIfTrue="1" operator="equal">
      <formula>"NO"</formula>
    </cfRule>
    <cfRule type="cellIs" dxfId="2898" priority="771" stopIfTrue="1" operator="equal">
      <formula>"SI"</formula>
    </cfRule>
  </conditionalFormatting>
  <conditionalFormatting sqref="X561">
    <cfRule type="cellIs" dxfId="2897" priority="768" stopIfTrue="1" operator="equal">
      <formula>"NO"</formula>
    </cfRule>
    <cfRule type="cellIs" dxfId="2896" priority="769" stopIfTrue="1" operator="equal">
      <formula>"SI"</formula>
    </cfRule>
  </conditionalFormatting>
  <conditionalFormatting sqref="X562">
    <cfRule type="cellIs" dxfId="2895" priority="766" stopIfTrue="1" operator="equal">
      <formula>"NO"</formula>
    </cfRule>
    <cfRule type="cellIs" dxfId="2894" priority="767" stopIfTrue="1" operator="equal">
      <formula>"SI"</formula>
    </cfRule>
  </conditionalFormatting>
  <conditionalFormatting sqref="X563">
    <cfRule type="cellIs" dxfId="2893" priority="764" stopIfTrue="1" operator="equal">
      <formula>"NO"</formula>
    </cfRule>
    <cfRule type="cellIs" dxfId="2892" priority="765" stopIfTrue="1" operator="equal">
      <formula>"SI"</formula>
    </cfRule>
  </conditionalFormatting>
  <conditionalFormatting sqref="X564">
    <cfRule type="cellIs" dxfId="2891" priority="762" stopIfTrue="1" operator="equal">
      <formula>"NO"</formula>
    </cfRule>
    <cfRule type="cellIs" dxfId="2890" priority="763" stopIfTrue="1" operator="equal">
      <formula>"SI"</formula>
    </cfRule>
  </conditionalFormatting>
  <conditionalFormatting sqref="X565">
    <cfRule type="cellIs" dxfId="2889" priority="760" stopIfTrue="1" operator="equal">
      <formula>"NO"</formula>
    </cfRule>
    <cfRule type="cellIs" dxfId="2888" priority="761" stopIfTrue="1" operator="equal">
      <formula>"SI"</formula>
    </cfRule>
  </conditionalFormatting>
  <conditionalFormatting sqref="X566">
    <cfRule type="cellIs" dxfId="2887" priority="758" stopIfTrue="1" operator="equal">
      <formula>"NO"</formula>
    </cfRule>
    <cfRule type="cellIs" dxfId="2886" priority="759" stopIfTrue="1" operator="equal">
      <formula>"SI"</formula>
    </cfRule>
  </conditionalFormatting>
  <conditionalFormatting sqref="L574:L583">
    <cfRule type="cellIs" dxfId="2885" priority="755" stopIfTrue="1" operator="equal">
      <formula>0</formula>
    </cfRule>
    <cfRule type="cellIs" dxfId="2884" priority="756" stopIfTrue="1" operator="greaterThanOrEqual">
      <formula>$H$6</formula>
    </cfRule>
    <cfRule type="cellIs" dxfId="2883" priority="757" stopIfTrue="1" operator="between">
      <formula>0</formula>
      <formula>$H$6</formula>
    </cfRule>
  </conditionalFormatting>
  <conditionalFormatting sqref="Z574:Z583 AB574:AB583">
    <cfRule type="cellIs" dxfId="2882" priority="753" operator="equal">
      <formula>"NO"</formula>
    </cfRule>
    <cfRule type="cellIs" dxfId="2881" priority="754" operator="greaterThan">
      <formula>0</formula>
    </cfRule>
  </conditionalFormatting>
  <conditionalFormatting sqref="H574:H577 C574:G583 I574:K583 P574:Q583 U574:U583 H582:H583 M577:N583">
    <cfRule type="cellIs" dxfId="2880" priority="752" stopIfTrue="1" operator="greaterThan">
      <formula>0</formula>
    </cfRule>
  </conditionalFormatting>
  <conditionalFormatting sqref="I574:I583 U574:U583">
    <cfRule type="cellIs" dxfId="2879" priority="751" operator="equal">
      <formula>"NO"</formula>
    </cfRule>
  </conditionalFormatting>
  <conditionalFormatting sqref="H574:H577 J574:J583 H582:H583">
    <cfRule type="cellIs" dxfId="2878" priority="750" stopIfTrue="1" operator="lessThan">
      <formula>0</formula>
    </cfRule>
  </conditionalFormatting>
  <conditionalFormatting sqref="H578">
    <cfRule type="cellIs" dxfId="2877" priority="749" stopIfTrue="1" operator="lessThan">
      <formula>0</formula>
    </cfRule>
  </conditionalFormatting>
  <conditionalFormatting sqref="H578">
    <cfRule type="cellIs" dxfId="2876" priority="748" stopIfTrue="1" operator="greaterThan">
      <formula>0</formula>
    </cfRule>
  </conditionalFormatting>
  <conditionalFormatting sqref="H579:H581">
    <cfRule type="cellIs" dxfId="2875" priority="747" stopIfTrue="1" operator="lessThan">
      <formula>0</formula>
    </cfRule>
  </conditionalFormatting>
  <conditionalFormatting sqref="H579:H581">
    <cfRule type="cellIs" dxfId="2874" priority="746" stopIfTrue="1" operator="greaterThan">
      <formula>0</formula>
    </cfRule>
  </conditionalFormatting>
  <conditionalFormatting sqref="M574">
    <cfRule type="cellIs" dxfId="2873" priority="745" stopIfTrue="1" operator="greaterThan">
      <formula>0</formula>
    </cfRule>
  </conditionalFormatting>
  <conditionalFormatting sqref="N574">
    <cfRule type="cellIs" dxfId="2872" priority="744" stopIfTrue="1" operator="greaterThan">
      <formula>0</formula>
    </cfRule>
  </conditionalFormatting>
  <conditionalFormatting sqref="M575:M576">
    <cfRule type="cellIs" dxfId="2871" priority="743" stopIfTrue="1" operator="greaterThan">
      <formula>0</formula>
    </cfRule>
  </conditionalFormatting>
  <conditionalFormatting sqref="N575:N576">
    <cfRule type="cellIs" dxfId="2870" priority="742" stopIfTrue="1" operator="greaterThan">
      <formula>0</formula>
    </cfRule>
  </conditionalFormatting>
  <conditionalFormatting sqref="X574">
    <cfRule type="cellIs" dxfId="2869" priority="740" stopIfTrue="1" operator="equal">
      <formula>"NO"</formula>
    </cfRule>
    <cfRule type="cellIs" dxfId="2868" priority="741" stopIfTrue="1" operator="equal">
      <formula>"SI"</formula>
    </cfRule>
  </conditionalFormatting>
  <conditionalFormatting sqref="X575:X576">
    <cfRule type="cellIs" dxfId="2867" priority="738" stopIfTrue="1" operator="equal">
      <formula>"NO"</formula>
    </cfRule>
    <cfRule type="cellIs" dxfId="2866" priority="739" stopIfTrue="1" operator="equal">
      <formula>"SI"</formula>
    </cfRule>
  </conditionalFormatting>
  <conditionalFormatting sqref="X577">
    <cfRule type="cellIs" dxfId="2865" priority="736" stopIfTrue="1" operator="equal">
      <formula>"NO"</formula>
    </cfRule>
    <cfRule type="cellIs" dxfId="2864" priority="737" stopIfTrue="1" operator="equal">
      <formula>"SI"</formula>
    </cfRule>
  </conditionalFormatting>
  <conditionalFormatting sqref="X578">
    <cfRule type="cellIs" dxfId="2863" priority="734" stopIfTrue="1" operator="equal">
      <formula>"NO"</formula>
    </cfRule>
    <cfRule type="cellIs" dxfId="2862" priority="735" stopIfTrue="1" operator="equal">
      <formula>"SI"</formula>
    </cfRule>
  </conditionalFormatting>
  <conditionalFormatting sqref="X579">
    <cfRule type="cellIs" dxfId="2861" priority="732" stopIfTrue="1" operator="equal">
      <formula>"NO"</formula>
    </cfRule>
    <cfRule type="cellIs" dxfId="2860" priority="733" stopIfTrue="1" operator="equal">
      <formula>"SI"</formula>
    </cfRule>
  </conditionalFormatting>
  <conditionalFormatting sqref="X580">
    <cfRule type="cellIs" dxfId="2859" priority="730" stopIfTrue="1" operator="equal">
      <formula>"NO"</formula>
    </cfRule>
    <cfRule type="cellIs" dxfId="2858" priority="731" stopIfTrue="1" operator="equal">
      <formula>"SI"</formula>
    </cfRule>
  </conditionalFormatting>
  <conditionalFormatting sqref="X581">
    <cfRule type="cellIs" dxfId="2857" priority="728" stopIfTrue="1" operator="equal">
      <formula>"NO"</formula>
    </cfRule>
    <cfRule type="cellIs" dxfId="2856" priority="729" stopIfTrue="1" operator="equal">
      <formula>"SI"</formula>
    </cfRule>
  </conditionalFormatting>
  <conditionalFormatting sqref="X582">
    <cfRule type="cellIs" dxfId="2855" priority="726" stopIfTrue="1" operator="equal">
      <formula>"NO"</formula>
    </cfRule>
    <cfRule type="cellIs" dxfId="2854" priority="727" stopIfTrue="1" operator="equal">
      <formula>"SI"</formula>
    </cfRule>
  </conditionalFormatting>
  <conditionalFormatting sqref="X583">
    <cfRule type="cellIs" dxfId="2853" priority="724" stopIfTrue="1" operator="equal">
      <formula>"NO"</formula>
    </cfRule>
    <cfRule type="cellIs" dxfId="2852" priority="725" stopIfTrue="1" operator="equal">
      <formula>"SI"</formula>
    </cfRule>
  </conditionalFormatting>
  <conditionalFormatting sqref="L591:L600">
    <cfRule type="cellIs" dxfId="2851" priority="721" stopIfTrue="1" operator="equal">
      <formula>0</formula>
    </cfRule>
    <cfRule type="cellIs" dxfId="2850" priority="722" stopIfTrue="1" operator="greaterThanOrEqual">
      <formula>$H$6</formula>
    </cfRule>
    <cfRule type="cellIs" dxfId="2849" priority="723" stopIfTrue="1" operator="between">
      <formula>0</formula>
      <formula>$H$6</formula>
    </cfRule>
  </conditionalFormatting>
  <conditionalFormatting sqref="Z591:Z600 AB591:AB600">
    <cfRule type="cellIs" dxfId="2848" priority="719" operator="equal">
      <formula>"NO"</formula>
    </cfRule>
    <cfRule type="cellIs" dxfId="2847" priority="720" operator="greaterThan">
      <formula>0</formula>
    </cfRule>
  </conditionalFormatting>
  <conditionalFormatting sqref="H591:H594 C591:G600 I591:K600 P591:Q600 U591:U600 H599:H600 M594:N600">
    <cfRule type="cellIs" dxfId="2846" priority="718" stopIfTrue="1" operator="greaterThan">
      <formula>0</formula>
    </cfRule>
  </conditionalFormatting>
  <conditionalFormatting sqref="I591:I600 U591:U600">
    <cfRule type="cellIs" dxfId="2845" priority="717" operator="equal">
      <formula>"NO"</formula>
    </cfRule>
  </conditionalFormatting>
  <conditionalFormatting sqref="H591:H594 J591:J600 H599:H600">
    <cfRule type="cellIs" dxfId="2844" priority="716" stopIfTrue="1" operator="lessThan">
      <formula>0</formula>
    </cfRule>
  </conditionalFormatting>
  <conditionalFormatting sqref="H595">
    <cfRule type="cellIs" dxfId="2843" priority="715" stopIfTrue="1" operator="lessThan">
      <formula>0</formula>
    </cfRule>
  </conditionalFormatting>
  <conditionalFormatting sqref="H595">
    <cfRule type="cellIs" dxfId="2842" priority="714" stopIfTrue="1" operator="greaterThan">
      <formula>0</formula>
    </cfRule>
  </conditionalFormatting>
  <conditionalFormatting sqref="H596:H598">
    <cfRule type="cellIs" dxfId="2841" priority="713" stopIfTrue="1" operator="lessThan">
      <formula>0</formula>
    </cfRule>
  </conditionalFormatting>
  <conditionalFormatting sqref="H596:H598">
    <cfRule type="cellIs" dxfId="2840" priority="712" stopIfTrue="1" operator="greaterThan">
      <formula>0</formula>
    </cfRule>
  </conditionalFormatting>
  <conditionalFormatting sqref="M591">
    <cfRule type="cellIs" dxfId="2839" priority="711" stopIfTrue="1" operator="greaterThan">
      <formula>0</formula>
    </cfRule>
  </conditionalFormatting>
  <conditionalFormatting sqref="N591">
    <cfRule type="cellIs" dxfId="2838" priority="710" stopIfTrue="1" operator="greaterThan">
      <formula>0</formula>
    </cfRule>
  </conditionalFormatting>
  <conditionalFormatting sqref="M592:M593">
    <cfRule type="cellIs" dxfId="2837" priority="709" stopIfTrue="1" operator="greaterThan">
      <formula>0</formula>
    </cfRule>
  </conditionalFormatting>
  <conditionalFormatting sqref="N592:N593">
    <cfRule type="cellIs" dxfId="2836" priority="708" stopIfTrue="1" operator="greaterThan">
      <formula>0</formula>
    </cfRule>
  </conditionalFormatting>
  <conditionalFormatting sqref="X591">
    <cfRule type="cellIs" dxfId="2835" priority="706" stopIfTrue="1" operator="equal">
      <formula>"NO"</formula>
    </cfRule>
    <cfRule type="cellIs" dxfId="2834" priority="707" stopIfTrue="1" operator="equal">
      <formula>"SI"</formula>
    </cfRule>
  </conditionalFormatting>
  <conditionalFormatting sqref="X592:X593">
    <cfRule type="cellIs" dxfId="2833" priority="704" stopIfTrue="1" operator="equal">
      <formula>"NO"</formula>
    </cfRule>
    <cfRule type="cellIs" dxfId="2832" priority="705" stopIfTrue="1" operator="equal">
      <formula>"SI"</formula>
    </cfRule>
  </conditionalFormatting>
  <conditionalFormatting sqref="X594">
    <cfRule type="cellIs" dxfId="2831" priority="702" stopIfTrue="1" operator="equal">
      <formula>"NO"</formula>
    </cfRule>
    <cfRule type="cellIs" dxfId="2830" priority="703" stopIfTrue="1" operator="equal">
      <formula>"SI"</formula>
    </cfRule>
  </conditionalFormatting>
  <conditionalFormatting sqref="X595">
    <cfRule type="cellIs" dxfId="2829" priority="700" stopIfTrue="1" operator="equal">
      <formula>"NO"</formula>
    </cfRule>
    <cfRule type="cellIs" dxfId="2828" priority="701" stopIfTrue="1" operator="equal">
      <formula>"SI"</formula>
    </cfRule>
  </conditionalFormatting>
  <conditionalFormatting sqref="X596">
    <cfRule type="cellIs" dxfId="2827" priority="698" stopIfTrue="1" operator="equal">
      <formula>"NO"</formula>
    </cfRule>
    <cfRule type="cellIs" dxfId="2826" priority="699" stopIfTrue="1" operator="equal">
      <formula>"SI"</formula>
    </cfRule>
  </conditionalFormatting>
  <conditionalFormatting sqref="X597">
    <cfRule type="cellIs" dxfId="2825" priority="696" stopIfTrue="1" operator="equal">
      <formula>"NO"</formula>
    </cfRule>
    <cfRule type="cellIs" dxfId="2824" priority="697" stopIfTrue="1" operator="equal">
      <formula>"SI"</formula>
    </cfRule>
  </conditionalFormatting>
  <conditionalFormatting sqref="X598">
    <cfRule type="cellIs" dxfId="2823" priority="694" stopIfTrue="1" operator="equal">
      <formula>"NO"</formula>
    </cfRule>
    <cfRule type="cellIs" dxfId="2822" priority="695" stopIfTrue="1" operator="equal">
      <formula>"SI"</formula>
    </cfRule>
  </conditionalFormatting>
  <conditionalFormatting sqref="X599">
    <cfRule type="cellIs" dxfId="2821" priority="692" stopIfTrue="1" operator="equal">
      <formula>"NO"</formula>
    </cfRule>
    <cfRule type="cellIs" dxfId="2820" priority="693" stopIfTrue="1" operator="equal">
      <formula>"SI"</formula>
    </cfRule>
  </conditionalFormatting>
  <conditionalFormatting sqref="X600">
    <cfRule type="cellIs" dxfId="2819" priority="690" stopIfTrue="1" operator="equal">
      <formula>"NO"</formula>
    </cfRule>
    <cfRule type="cellIs" dxfId="2818" priority="691" stopIfTrue="1" operator="equal">
      <formula>"SI"</formula>
    </cfRule>
  </conditionalFormatting>
  <conditionalFormatting sqref="L608:L617">
    <cfRule type="cellIs" dxfId="2817" priority="687" stopIfTrue="1" operator="equal">
      <formula>0</formula>
    </cfRule>
    <cfRule type="cellIs" dxfId="2816" priority="688" stopIfTrue="1" operator="greaterThanOrEqual">
      <formula>$H$6</formula>
    </cfRule>
    <cfRule type="cellIs" dxfId="2815" priority="689" stopIfTrue="1" operator="between">
      <formula>0</formula>
      <formula>$H$6</formula>
    </cfRule>
  </conditionalFormatting>
  <conditionalFormatting sqref="Z608:Z617 AB608:AB617">
    <cfRule type="cellIs" dxfId="2814" priority="685" operator="equal">
      <formula>"NO"</formula>
    </cfRule>
    <cfRule type="cellIs" dxfId="2813" priority="686" operator="greaterThan">
      <formula>0</formula>
    </cfRule>
  </conditionalFormatting>
  <conditionalFormatting sqref="H608:H611 C608:G617 I608:K617 P608:Q617 U608:U617 H616:H617 M611:N617">
    <cfRule type="cellIs" dxfId="2812" priority="684" stopIfTrue="1" operator="greaterThan">
      <formula>0</formula>
    </cfRule>
  </conditionalFormatting>
  <conditionalFormatting sqref="I608:I617 U608:U617">
    <cfRule type="cellIs" dxfId="2811" priority="683" operator="equal">
      <formula>"NO"</formula>
    </cfRule>
  </conditionalFormatting>
  <conditionalFormatting sqref="H608:H611 J608:J617 H616:H617">
    <cfRule type="cellIs" dxfId="2810" priority="682" stopIfTrue="1" operator="lessThan">
      <formula>0</formula>
    </cfRule>
  </conditionalFormatting>
  <conditionalFormatting sqref="H612">
    <cfRule type="cellIs" dxfId="2809" priority="681" stopIfTrue="1" operator="lessThan">
      <formula>0</formula>
    </cfRule>
  </conditionalFormatting>
  <conditionalFormatting sqref="H612">
    <cfRule type="cellIs" dxfId="2808" priority="680" stopIfTrue="1" operator="greaterThan">
      <formula>0</formula>
    </cfRule>
  </conditionalFormatting>
  <conditionalFormatting sqref="H613:H615">
    <cfRule type="cellIs" dxfId="2807" priority="679" stopIfTrue="1" operator="lessThan">
      <formula>0</formula>
    </cfRule>
  </conditionalFormatting>
  <conditionalFormatting sqref="H613:H615">
    <cfRule type="cellIs" dxfId="2806" priority="678" stopIfTrue="1" operator="greaterThan">
      <formula>0</formula>
    </cfRule>
  </conditionalFormatting>
  <conditionalFormatting sqref="M608">
    <cfRule type="cellIs" dxfId="2805" priority="677" stopIfTrue="1" operator="greaterThan">
      <formula>0</formula>
    </cfRule>
  </conditionalFormatting>
  <conditionalFormatting sqref="N608">
    <cfRule type="cellIs" dxfId="2804" priority="676" stopIfTrue="1" operator="greaterThan">
      <formula>0</formula>
    </cfRule>
  </conditionalFormatting>
  <conditionalFormatting sqref="M609:M610">
    <cfRule type="cellIs" dxfId="2803" priority="675" stopIfTrue="1" operator="greaterThan">
      <formula>0</formula>
    </cfRule>
  </conditionalFormatting>
  <conditionalFormatting sqref="N609:N610">
    <cfRule type="cellIs" dxfId="2802" priority="674" stopIfTrue="1" operator="greaterThan">
      <formula>0</formula>
    </cfRule>
  </conditionalFormatting>
  <conditionalFormatting sqref="X608">
    <cfRule type="cellIs" dxfId="2801" priority="672" stopIfTrue="1" operator="equal">
      <formula>"NO"</formula>
    </cfRule>
    <cfRule type="cellIs" dxfId="2800" priority="673" stopIfTrue="1" operator="equal">
      <formula>"SI"</formula>
    </cfRule>
  </conditionalFormatting>
  <conditionalFormatting sqref="X609:X610">
    <cfRule type="cellIs" dxfId="2799" priority="670" stopIfTrue="1" operator="equal">
      <formula>"NO"</formula>
    </cfRule>
    <cfRule type="cellIs" dxfId="2798" priority="671" stopIfTrue="1" operator="equal">
      <formula>"SI"</formula>
    </cfRule>
  </conditionalFormatting>
  <conditionalFormatting sqref="X611">
    <cfRule type="cellIs" dxfId="2797" priority="668" stopIfTrue="1" operator="equal">
      <formula>"NO"</formula>
    </cfRule>
    <cfRule type="cellIs" dxfId="2796" priority="669" stopIfTrue="1" operator="equal">
      <formula>"SI"</formula>
    </cfRule>
  </conditionalFormatting>
  <conditionalFormatting sqref="X612">
    <cfRule type="cellIs" dxfId="2795" priority="666" stopIfTrue="1" operator="equal">
      <formula>"NO"</formula>
    </cfRule>
    <cfRule type="cellIs" dxfId="2794" priority="667" stopIfTrue="1" operator="equal">
      <formula>"SI"</formula>
    </cfRule>
  </conditionalFormatting>
  <conditionalFormatting sqref="X613">
    <cfRule type="cellIs" dxfId="2793" priority="664" stopIfTrue="1" operator="equal">
      <formula>"NO"</formula>
    </cfRule>
    <cfRule type="cellIs" dxfId="2792" priority="665" stopIfTrue="1" operator="equal">
      <formula>"SI"</formula>
    </cfRule>
  </conditionalFormatting>
  <conditionalFormatting sqref="X614">
    <cfRule type="cellIs" dxfId="2791" priority="662" stopIfTrue="1" operator="equal">
      <formula>"NO"</formula>
    </cfRule>
    <cfRule type="cellIs" dxfId="2790" priority="663" stopIfTrue="1" operator="equal">
      <formula>"SI"</formula>
    </cfRule>
  </conditionalFormatting>
  <conditionalFormatting sqref="X615">
    <cfRule type="cellIs" dxfId="2789" priority="660" stopIfTrue="1" operator="equal">
      <formula>"NO"</formula>
    </cfRule>
    <cfRule type="cellIs" dxfId="2788" priority="661" stopIfTrue="1" operator="equal">
      <formula>"SI"</formula>
    </cfRule>
  </conditionalFormatting>
  <conditionalFormatting sqref="X616">
    <cfRule type="cellIs" dxfId="2787" priority="658" stopIfTrue="1" operator="equal">
      <formula>"NO"</formula>
    </cfRule>
    <cfRule type="cellIs" dxfId="2786" priority="659" stopIfTrue="1" operator="equal">
      <formula>"SI"</formula>
    </cfRule>
  </conditionalFormatting>
  <conditionalFormatting sqref="X617">
    <cfRule type="cellIs" dxfId="2785" priority="656" stopIfTrue="1" operator="equal">
      <formula>"NO"</formula>
    </cfRule>
    <cfRule type="cellIs" dxfId="2784" priority="657" stopIfTrue="1" operator="equal">
      <formula>"SI"</formula>
    </cfRule>
  </conditionalFormatting>
  <conditionalFormatting sqref="L625:L634">
    <cfRule type="cellIs" dxfId="2783" priority="653" stopIfTrue="1" operator="equal">
      <formula>0</formula>
    </cfRule>
    <cfRule type="cellIs" dxfId="2782" priority="654" stopIfTrue="1" operator="greaterThanOrEqual">
      <formula>$H$6</formula>
    </cfRule>
    <cfRule type="cellIs" dxfId="2781" priority="655" stopIfTrue="1" operator="between">
      <formula>0</formula>
      <formula>$H$6</formula>
    </cfRule>
  </conditionalFormatting>
  <conditionalFormatting sqref="Z625:Z634 AB625:AB634">
    <cfRule type="cellIs" dxfId="2780" priority="651" operator="equal">
      <formula>"NO"</formula>
    </cfRule>
    <cfRule type="cellIs" dxfId="2779" priority="652" operator="greaterThan">
      <formula>0</formula>
    </cfRule>
  </conditionalFormatting>
  <conditionalFormatting sqref="H625:H628 C625:G634 I625:K634 P625:Q634 U625:U634 H633:H634 M628:N634">
    <cfRule type="cellIs" dxfId="2778" priority="650" stopIfTrue="1" operator="greaterThan">
      <formula>0</formula>
    </cfRule>
  </conditionalFormatting>
  <conditionalFormatting sqref="I625:I634 U625:U634">
    <cfRule type="cellIs" dxfId="2777" priority="649" operator="equal">
      <formula>"NO"</formula>
    </cfRule>
  </conditionalFormatting>
  <conditionalFormatting sqref="H625:H628 J625:J634 H633:H634">
    <cfRule type="cellIs" dxfId="2776" priority="648" stopIfTrue="1" operator="lessThan">
      <formula>0</formula>
    </cfRule>
  </conditionalFormatting>
  <conditionalFormatting sqref="H629">
    <cfRule type="cellIs" dxfId="2775" priority="647" stopIfTrue="1" operator="lessThan">
      <formula>0</formula>
    </cfRule>
  </conditionalFormatting>
  <conditionalFormatting sqref="H629">
    <cfRule type="cellIs" dxfId="2774" priority="646" stopIfTrue="1" operator="greaterThan">
      <formula>0</formula>
    </cfRule>
  </conditionalFormatting>
  <conditionalFormatting sqref="H630:H632">
    <cfRule type="cellIs" dxfId="2773" priority="645" stopIfTrue="1" operator="lessThan">
      <formula>0</formula>
    </cfRule>
  </conditionalFormatting>
  <conditionalFormatting sqref="H630:H632">
    <cfRule type="cellIs" dxfId="2772" priority="644" stopIfTrue="1" operator="greaterThan">
      <formula>0</formula>
    </cfRule>
  </conditionalFormatting>
  <conditionalFormatting sqref="M625">
    <cfRule type="cellIs" dxfId="2771" priority="643" stopIfTrue="1" operator="greaterThan">
      <formula>0</formula>
    </cfRule>
  </conditionalFormatting>
  <conditionalFormatting sqref="N625">
    <cfRule type="cellIs" dxfId="2770" priority="642" stopIfTrue="1" operator="greaterThan">
      <formula>0</formula>
    </cfRule>
  </conditionalFormatting>
  <conditionalFormatting sqref="M626:M627">
    <cfRule type="cellIs" dxfId="2769" priority="641" stopIfTrue="1" operator="greaterThan">
      <formula>0</formula>
    </cfRule>
  </conditionalFormatting>
  <conditionalFormatting sqref="N626:N627">
    <cfRule type="cellIs" dxfId="2768" priority="640" stopIfTrue="1" operator="greaterThan">
      <formula>0</formula>
    </cfRule>
  </conditionalFormatting>
  <conditionalFormatting sqref="X625">
    <cfRule type="cellIs" dxfId="2767" priority="638" stopIfTrue="1" operator="equal">
      <formula>"NO"</formula>
    </cfRule>
    <cfRule type="cellIs" dxfId="2766" priority="639" stopIfTrue="1" operator="equal">
      <formula>"SI"</formula>
    </cfRule>
  </conditionalFormatting>
  <conditionalFormatting sqref="X626:X627">
    <cfRule type="cellIs" dxfId="2765" priority="636" stopIfTrue="1" operator="equal">
      <formula>"NO"</formula>
    </cfRule>
    <cfRule type="cellIs" dxfId="2764" priority="637" stopIfTrue="1" operator="equal">
      <formula>"SI"</formula>
    </cfRule>
  </conditionalFormatting>
  <conditionalFormatting sqref="X628">
    <cfRule type="cellIs" dxfId="2763" priority="634" stopIfTrue="1" operator="equal">
      <formula>"NO"</formula>
    </cfRule>
    <cfRule type="cellIs" dxfId="2762" priority="635" stopIfTrue="1" operator="equal">
      <formula>"SI"</formula>
    </cfRule>
  </conditionalFormatting>
  <conditionalFormatting sqref="X629">
    <cfRule type="cellIs" dxfId="2761" priority="632" stopIfTrue="1" operator="equal">
      <formula>"NO"</formula>
    </cfRule>
    <cfRule type="cellIs" dxfId="2760" priority="633" stopIfTrue="1" operator="equal">
      <formula>"SI"</formula>
    </cfRule>
  </conditionalFormatting>
  <conditionalFormatting sqref="X630">
    <cfRule type="cellIs" dxfId="2759" priority="630" stopIfTrue="1" operator="equal">
      <formula>"NO"</formula>
    </cfRule>
    <cfRule type="cellIs" dxfId="2758" priority="631" stopIfTrue="1" operator="equal">
      <formula>"SI"</formula>
    </cfRule>
  </conditionalFormatting>
  <conditionalFormatting sqref="X631">
    <cfRule type="cellIs" dxfId="2757" priority="628" stopIfTrue="1" operator="equal">
      <formula>"NO"</formula>
    </cfRule>
    <cfRule type="cellIs" dxfId="2756" priority="629" stopIfTrue="1" operator="equal">
      <formula>"SI"</formula>
    </cfRule>
  </conditionalFormatting>
  <conditionalFormatting sqref="X632">
    <cfRule type="cellIs" dxfId="2755" priority="626" stopIfTrue="1" operator="equal">
      <formula>"NO"</formula>
    </cfRule>
    <cfRule type="cellIs" dxfId="2754" priority="627" stopIfTrue="1" operator="equal">
      <formula>"SI"</formula>
    </cfRule>
  </conditionalFormatting>
  <conditionalFormatting sqref="X633">
    <cfRule type="cellIs" dxfId="2753" priority="624" stopIfTrue="1" operator="equal">
      <formula>"NO"</formula>
    </cfRule>
    <cfRule type="cellIs" dxfId="2752" priority="625" stopIfTrue="1" operator="equal">
      <formula>"SI"</formula>
    </cfRule>
  </conditionalFormatting>
  <conditionalFormatting sqref="X634">
    <cfRule type="cellIs" dxfId="2751" priority="622" stopIfTrue="1" operator="equal">
      <formula>"NO"</formula>
    </cfRule>
    <cfRule type="cellIs" dxfId="2750" priority="623" stopIfTrue="1" operator="equal">
      <formula>"SI"</formula>
    </cfRule>
  </conditionalFormatting>
  <conditionalFormatting sqref="L642:L651">
    <cfRule type="cellIs" dxfId="2749" priority="619" stopIfTrue="1" operator="equal">
      <formula>0</formula>
    </cfRule>
    <cfRule type="cellIs" dxfId="2748" priority="620" stopIfTrue="1" operator="greaterThanOrEqual">
      <formula>$H$6</formula>
    </cfRule>
    <cfRule type="cellIs" dxfId="2747" priority="621" stopIfTrue="1" operator="between">
      <formula>0</formula>
      <formula>$H$6</formula>
    </cfRule>
  </conditionalFormatting>
  <conditionalFormatting sqref="Z642:Z651 AB642:AB651">
    <cfRule type="cellIs" dxfId="2746" priority="617" operator="equal">
      <formula>"NO"</formula>
    </cfRule>
    <cfRule type="cellIs" dxfId="2745" priority="618" operator="greaterThan">
      <formula>0</formula>
    </cfRule>
  </conditionalFormatting>
  <conditionalFormatting sqref="H642:H645 C642:G651 I642:K651 P642:Q651 U642:U651 H650:H651 M645:N651">
    <cfRule type="cellIs" dxfId="2744" priority="616" stopIfTrue="1" operator="greaterThan">
      <formula>0</formula>
    </cfRule>
  </conditionalFormatting>
  <conditionalFormatting sqref="I642:I651 U642:U651">
    <cfRule type="cellIs" dxfId="2743" priority="615" operator="equal">
      <formula>"NO"</formula>
    </cfRule>
  </conditionalFormatting>
  <conditionalFormatting sqref="H642:H645 J642:J651 H650:H651">
    <cfRule type="cellIs" dxfId="2742" priority="614" stopIfTrue="1" operator="lessThan">
      <formula>0</formula>
    </cfRule>
  </conditionalFormatting>
  <conditionalFormatting sqref="H646">
    <cfRule type="cellIs" dxfId="2741" priority="613" stopIfTrue="1" operator="lessThan">
      <formula>0</formula>
    </cfRule>
  </conditionalFormatting>
  <conditionalFormatting sqref="H646">
    <cfRule type="cellIs" dxfId="2740" priority="612" stopIfTrue="1" operator="greaterThan">
      <formula>0</formula>
    </cfRule>
  </conditionalFormatting>
  <conditionalFormatting sqref="H647:H649">
    <cfRule type="cellIs" dxfId="2739" priority="611" stopIfTrue="1" operator="lessThan">
      <formula>0</formula>
    </cfRule>
  </conditionalFormatting>
  <conditionalFormatting sqref="H647:H649">
    <cfRule type="cellIs" dxfId="2738" priority="610" stopIfTrue="1" operator="greaterThan">
      <formula>0</formula>
    </cfRule>
  </conditionalFormatting>
  <conditionalFormatting sqref="M642">
    <cfRule type="cellIs" dxfId="2737" priority="609" stopIfTrue="1" operator="greaterThan">
      <formula>0</formula>
    </cfRule>
  </conditionalFormatting>
  <conditionalFormatting sqref="N642">
    <cfRule type="cellIs" dxfId="2736" priority="608" stopIfTrue="1" operator="greaterThan">
      <formula>0</formula>
    </cfRule>
  </conditionalFormatting>
  <conditionalFormatting sqref="M643:M644">
    <cfRule type="cellIs" dxfId="2735" priority="607" stopIfTrue="1" operator="greaterThan">
      <formula>0</formula>
    </cfRule>
  </conditionalFormatting>
  <conditionalFormatting sqref="N643:N644">
    <cfRule type="cellIs" dxfId="2734" priority="606" stopIfTrue="1" operator="greaterThan">
      <formula>0</formula>
    </cfRule>
  </conditionalFormatting>
  <conditionalFormatting sqref="X642">
    <cfRule type="cellIs" dxfId="2733" priority="604" stopIfTrue="1" operator="equal">
      <formula>"NO"</formula>
    </cfRule>
    <cfRule type="cellIs" dxfId="2732" priority="605" stopIfTrue="1" operator="equal">
      <formula>"SI"</formula>
    </cfRule>
  </conditionalFormatting>
  <conditionalFormatting sqref="X643:X644">
    <cfRule type="cellIs" dxfId="2731" priority="602" stopIfTrue="1" operator="equal">
      <formula>"NO"</formula>
    </cfRule>
    <cfRule type="cellIs" dxfId="2730" priority="603" stopIfTrue="1" operator="equal">
      <formula>"SI"</formula>
    </cfRule>
  </conditionalFormatting>
  <conditionalFormatting sqref="X645">
    <cfRule type="cellIs" dxfId="2729" priority="600" stopIfTrue="1" operator="equal">
      <formula>"NO"</formula>
    </cfRule>
    <cfRule type="cellIs" dxfId="2728" priority="601" stopIfTrue="1" operator="equal">
      <formula>"SI"</formula>
    </cfRule>
  </conditionalFormatting>
  <conditionalFormatting sqref="X646">
    <cfRule type="cellIs" dxfId="2727" priority="598" stopIfTrue="1" operator="equal">
      <formula>"NO"</formula>
    </cfRule>
    <cfRule type="cellIs" dxfId="2726" priority="599" stopIfTrue="1" operator="equal">
      <formula>"SI"</formula>
    </cfRule>
  </conditionalFormatting>
  <conditionalFormatting sqref="X647">
    <cfRule type="cellIs" dxfId="2725" priority="596" stopIfTrue="1" operator="equal">
      <formula>"NO"</formula>
    </cfRule>
    <cfRule type="cellIs" dxfId="2724" priority="597" stopIfTrue="1" operator="equal">
      <formula>"SI"</formula>
    </cfRule>
  </conditionalFormatting>
  <conditionalFormatting sqref="X648">
    <cfRule type="cellIs" dxfId="2723" priority="594" stopIfTrue="1" operator="equal">
      <formula>"NO"</formula>
    </cfRule>
    <cfRule type="cellIs" dxfId="2722" priority="595" stopIfTrue="1" operator="equal">
      <formula>"SI"</formula>
    </cfRule>
  </conditionalFormatting>
  <conditionalFormatting sqref="X649">
    <cfRule type="cellIs" dxfId="2721" priority="592" stopIfTrue="1" operator="equal">
      <formula>"NO"</formula>
    </cfRule>
    <cfRule type="cellIs" dxfId="2720" priority="593" stopIfTrue="1" operator="equal">
      <formula>"SI"</formula>
    </cfRule>
  </conditionalFormatting>
  <conditionalFormatting sqref="X650">
    <cfRule type="cellIs" dxfId="2719" priority="590" stopIfTrue="1" operator="equal">
      <formula>"NO"</formula>
    </cfRule>
    <cfRule type="cellIs" dxfId="2718" priority="591" stopIfTrue="1" operator="equal">
      <formula>"SI"</formula>
    </cfRule>
  </conditionalFormatting>
  <conditionalFormatting sqref="X651">
    <cfRule type="cellIs" dxfId="2717" priority="588" stopIfTrue="1" operator="equal">
      <formula>"NO"</formula>
    </cfRule>
    <cfRule type="cellIs" dxfId="2716" priority="589" stopIfTrue="1" operator="equal">
      <formula>"SI"</formula>
    </cfRule>
  </conditionalFormatting>
  <conditionalFormatting sqref="L659:L668">
    <cfRule type="cellIs" dxfId="2715" priority="585" stopIfTrue="1" operator="equal">
      <formula>0</formula>
    </cfRule>
    <cfRule type="cellIs" dxfId="2714" priority="586" stopIfTrue="1" operator="greaterThanOrEqual">
      <formula>$H$6</formula>
    </cfRule>
    <cfRule type="cellIs" dxfId="2713" priority="587" stopIfTrue="1" operator="between">
      <formula>0</formula>
      <formula>$H$6</formula>
    </cfRule>
  </conditionalFormatting>
  <conditionalFormatting sqref="Z659:Z668 AB659:AB668">
    <cfRule type="cellIs" dxfId="2712" priority="583" operator="equal">
      <formula>"NO"</formula>
    </cfRule>
    <cfRule type="cellIs" dxfId="2711" priority="584" operator="greaterThan">
      <formula>0</formula>
    </cfRule>
  </conditionalFormatting>
  <conditionalFormatting sqref="H659:H662 C659:G668 I659:K668 P659:Q668 U659:U668 H667:H668 M662:N668">
    <cfRule type="cellIs" dxfId="2710" priority="582" stopIfTrue="1" operator="greaterThan">
      <formula>0</formula>
    </cfRule>
  </conditionalFormatting>
  <conditionalFormatting sqref="I659:I668 U659:U668">
    <cfRule type="cellIs" dxfId="2709" priority="581" operator="equal">
      <formula>"NO"</formula>
    </cfRule>
  </conditionalFormatting>
  <conditionalFormatting sqref="H659:H662 J659:J668 H667:H668">
    <cfRule type="cellIs" dxfId="2708" priority="580" stopIfTrue="1" operator="lessThan">
      <formula>0</formula>
    </cfRule>
  </conditionalFormatting>
  <conditionalFormatting sqref="H663">
    <cfRule type="cellIs" dxfId="2707" priority="579" stopIfTrue="1" operator="lessThan">
      <formula>0</formula>
    </cfRule>
  </conditionalFormatting>
  <conditionalFormatting sqref="H663">
    <cfRule type="cellIs" dxfId="2706" priority="578" stopIfTrue="1" operator="greaterThan">
      <formula>0</formula>
    </cfRule>
  </conditionalFormatting>
  <conditionalFormatting sqref="H664:H666">
    <cfRule type="cellIs" dxfId="2705" priority="577" stopIfTrue="1" operator="lessThan">
      <formula>0</formula>
    </cfRule>
  </conditionalFormatting>
  <conditionalFormatting sqref="H664:H666">
    <cfRule type="cellIs" dxfId="2704" priority="576" stopIfTrue="1" operator="greaterThan">
      <formula>0</formula>
    </cfRule>
  </conditionalFormatting>
  <conditionalFormatting sqref="M659">
    <cfRule type="cellIs" dxfId="2703" priority="575" stopIfTrue="1" operator="greaterThan">
      <formula>0</formula>
    </cfRule>
  </conditionalFormatting>
  <conditionalFormatting sqref="N659">
    <cfRule type="cellIs" dxfId="2702" priority="574" stopIfTrue="1" operator="greaterThan">
      <formula>0</formula>
    </cfRule>
  </conditionalFormatting>
  <conditionalFormatting sqref="M660:M661">
    <cfRule type="cellIs" dxfId="2701" priority="573" stopIfTrue="1" operator="greaterThan">
      <formula>0</formula>
    </cfRule>
  </conditionalFormatting>
  <conditionalFormatting sqref="N660:N661">
    <cfRule type="cellIs" dxfId="2700" priority="572" stopIfTrue="1" operator="greaterThan">
      <formula>0</formula>
    </cfRule>
  </conditionalFormatting>
  <conditionalFormatting sqref="X659">
    <cfRule type="cellIs" dxfId="2699" priority="570" stopIfTrue="1" operator="equal">
      <formula>"NO"</formula>
    </cfRule>
    <cfRule type="cellIs" dxfId="2698" priority="571" stopIfTrue="1" operator="equal">
      <formula>"SI"</formula>
    </cfRule>
  </conditionalFormatting>
  <conditionalFormatting sqref="X660:X661">
    <cfRule type="cellIs" dxfId="2697" priority="568" stopIfTrue="1" operator="equal">
      <formula>"NO"</formula>
    </cfRule>
    <cfRule type="cellIs" dxfId="2696" priority="569" stopIfTrue="1" operator="equal">
      <formula>"SI"</formula>
    </cfRule>
  </conditionalFormatting>
  <conditionalFormatting sqref="X662">
    <cfRule type="cellIs" dxfId="2695" priority="566" stopIfTrue="1" operator="equal">
      <formula>"NO"</formula>
    </cfRule>
    <cfRule type="cellIs" dxfId="2694" priority="567" stopIfTrue="1" operator="equal">
      <formula>"SI"</formula>
    </cfRule>
  </conditionalFormatting>
  <conditionalFormatting sqref="X663">
    <cfRule type="cellIs" dxfId="2693" priority="564" stopIfTrue="1" operator="equal">
      <formula>"NO"</formula>
    </cfRule>
    <cfRule type="cellIs" dxfId="2692" priority="565" stopIfTrue="1" operator="equal">
      <formula>"SI"</formula>
    </cfRule>
  </conditionalFormatting>
  <conditionalFormatting sqref="X664">
    <cfRule type="cellIs" dxfId="2691" priority="562" stopIfTrue="1" operator="equal">
      <formula>"NO"</formula>
    </cfRule>
    <cfRule type="cellIs" dxfId="2690" priority="563" stopIfTrue="1" operator="equal">
      <formula>"SI"</formula>
    </cfRule>
  </conditionalFormatting>
  <conditionalFormatting sqref="X665">
    <cfRule type="cellIs" dxfId="2689" priority="560" stopIfTrue="1" operator="equal">
      <formula>"NO"</formula>
    </cfRule>
    <cfRule type="cellIs" dxfId="2688" priority="561" stopIfTrue="1" operator="equal">
      <formula>"SI"</formula>
    </cfRule>
  </conditionalFormatting>
  <conditionalFormatting sqref="X666">
    <cfRule type="cellIs" dxfId="2687" priority="558" stopIfTrue="1" operator="equal">
      <formula>"NO"</formula>
    </cfRule>
    <cfRule type="cellIs" dxfId="2686" priority="559" stopIfTrue="1" operator="equal">
      <formula>"SI"</formula>
    </cfRule>
  </conditionalFormatting>
  <conditionalFormatting sqref="X667">
    <cfRule type="cellIs" dxfId="2685" priority="556" stopIfTrue="1" operator="equal">
      <formula>"NO"</formula>
    </cfRule>
    <cfRule type="cellIs" dxfId="2684" priority="557" stopIfTrue="1" operator="equal">
      <formula>"SI"</formula>
    </cfRule>
  </conditionalFormatting>
  <conditionalFormatting sqref="X668">
    <cfRule type="cellIs" dxfId="2683" priority="554" stopIfTrue="1" operator="equal">
      <formula>"NO"</formula>
    </cfRule>
    <cfRule type="cellIs" dxfId="2682" priority="555" stopIfTrue="1" operator="equal">
      <formula>"SI"</formula>
    </cfRule>
  </conditionalFormatting>
  <conditionalFormatting sqref="L676:L685">
    <cfRule type="cellIs" dxfId="2681" priority="551" stopIfTrue="1" operator="equal">
      <formula>0</formula>
    </cfRule>
    <cfRule type="cellIs" dxfId="2680" priority="552" stopIfTrue="1" operator="greaterThanOrEqual">
      <formula>$H$6</formula>
    </cfRule>
    <cfRule type="cellIs" dxfId="2679" priority="553" stopIfTrue="1" operator="between">
      <formula>0</formula>
      <formula>$H$6</formula>
    </cfRule>
  </conditionalFormatting>
  <conditionalFormatting sqref="Z676:Z685 AB676:AB685">
    <cfRule type="cellIs" dxfId="2678" priority="549" operator="equal">
      <formula>"NO"</formula>
    </cfRule>
    <cfRule type="cellIs" dxfId="2677" priority="550" operator="greaterThan">
      <formula>0</formula>
    </cfRule>
  </conditionalFormatting>
  <conditionalFormatting sqref="H676:H679 C676:G685 I676:K685 P676:Q685 U676:U685 H684:H685 M679:N685">
    <cfRule type="cellIs" dxfId="2676" priority="548" stopIfTrue="1" operator="greaterThan">
      <formula>0</formula>
    </cfRule>
  </conditionalFormatting>
  <conditionalFormatting sqref="I676:I685 U676:U685">
    <cfRule type="cellIs" dxfId="2675" priority="547" operator="equal">
      <formula>"NO"</formula>
    </cfRule>
  </conditionalFormatting>
  <conditionalFormatting sqref="H676:H679 J676:J685 H684:H685">
    <cfRule type="cellIs" dxfId="2674" priority="546" stopIfTrue="1" operator="lessThan">
      <formula>0</formula>
    </cfRule>
  </conditionalFormatting>
  <conditionalFormatting sqref="H680">
    <cfRule type="cellIs" dxfId="2673" priority="545" stopIfTrue="1" operator="lessThan">
      <formula>0</formula>
    </cfRule>
  </conditionalFormatting>
  <conditionalFormatting sqref="H680">
    <cfRule type="cellIs" dxfId="2672" priority="544" stopIfTrue="1" operator="greaterThan">
      <formula>0</formula>
    </cfRule>
  </conditionalFormatting>
  <conditionalFormatting sqref="H681:H683">
    <cfRule type="cellIs" dxfId="2671" priority="543" stopIfTrue="1" operator="lessThan">
      <formula>0</formula>
    </cfRule>
  </conditionalFormatting>
  <conditionalFormatting sqref="H681:H683">
    <cfRule type="cellIs" dxfId="2670" priority="542" stopIfTrue="1" operator="greaterThan">
      <formula>0</formula>
    </cfRule>
  </conditionalFormatting>
  <conditionalFormatting sqref="M676">
    <cfRule type="cellIs" dxfId="2669" priority="541" stopIfTrue="1" operator="greaterThan">
      <formula>0</formula>
    </cfRule>
  </conditionalFormatting>
  <conditionalFormatting sqref="N676">
    <cfRule type="cellIs" dxfId="2668" priority="540" stopIfTrue="1" operator="greaterThan">
      <formula>0</formula>
    </cfRule>
  </conditionalFormatting>
  <conditionalFormatting sqref="M677:M678">
    <cfRule type="cellIs" dxfId="2667" priority="539" stopIfTrue="1" operator="greaterThan">
      <formula>0</formula>
    </cfRule>
  </conditionalFormatting>
  <conditionalFormatting sqref="X676">
    <cfRule type="cellIs" dxfId="2666" priority="536" stopIfTrue="1" operator="equal">
      <formula>"NO"</formula>
    </cfRule>
    <cfRule type="cellIs" dxfId="2665" priority="537" stopIfTrue="1" operator="equal">
      <formula>"SI"</formula>
    </cfRule>
  </conditionalFormatting>
  <conditionalFormatting sqref="X677:X678">
    <cfRule type="cellIs" dxfId="2664" priority="534" stopIfTrue="1" operator="equal">
      <formula>"NO"</formula>
    </cfRule>
    <cfRule type="cellIs" dxfId="2663" priority="535" stopIfTrue="1" operator="equal">
      <formula>"SI"</formula>
    </cfRule>
  </conditionalFormatting>
  <conditionalFormatting sqref="X679">
    <cfRule type="cellIs" dxfId="2662" priority="532" stopIfTrue="1" operator="equal">
      <formula>"NO"</formula>
    </cfRule>
    <cfRule type="cellIs" dxfId="2661" priority="533" stopIfTrue="1" operator="equal">
      <formula>"SI"</formula>
    </cfRule>
  </conditionalFormatting>
  <conditionalFormatting sqref="X680">
    <cfRule type="cellIs" dxfId="2660" priority="530" stopIfTrue="1" operator="equal">
      <formula>"NO"</formula>
    </cfRule>
    <cfRule type="cellIs" dxfId="2659" priority="531" stopIfTrue="1" operator="equal">
      <formula>"SI"</formula>
    </cfRule>
  </conditionalFormatting>
  <conditionalFormatting sqref="X681">
    <cfRule type="cellIs" dxfId="2658" priority="528" stopIfTrue="1" operator="equal">
      <formula>"NO"</formula>
    </cfRule>
    <cfRule type="cellIs" dxfId="2657" priority="529" stopIfTrue="1" operator="equal">
      <formula>"SI"</formula>
    </cfRule>
  </conditionalFormatting>
  <conditionalFormatting sqref="X682">
    <cfRule type="cellIs" dxfId="2656" priority="526" stopIfTrue="1" operator="equal">
      <formula>"NO"</formula>
    </cfRule>
    <cfRule type="cellIs" dxfId="2655" priority="527" stopIfTrue="1" operator="equal">
      <formula>"SI"</formula>
    </cfRule>
  </conditionalFormatting>
  <conditionalFormatting sqref="X683">
    <cfRule type="cellIs" dxfId="2654" priority="524" stopIfTrue="1" operator="equal">
      <formula>"NO"</formula>
    </cfRule>
    <cfRule type="cellIs" dxfId="2653" priority="525" stopIfTrue="1" operator="equal">
      <formula>"SI"</formula>
    </cfRule>
  </conditionalFormatting>
  <conditionalFormatting sqref="X684">
    <cfRule type="cellIs" dxfId="2652" priority="522" stopIfTrue="1" operator="equal">
      <formula>"NO"</formula>
    </cfRule>
    <cfRule type="cellIs" dxfId="2651" priority="523" stopIfTrue="1" operator="equal">
      <formula>"SI"</formula>
    </cfRule>
  </conditionalFormatting>
  <conditionalFormatting sqref="X685">
    <cfRule type="cellIs" dxfId="2650" priority="520" stopIfTrue="1" operator="equal">
      <formula>"NO"</formula>
    </cfRule>
    <cfRule type="cellIs" dxfId="2649" priority="521" stopIfTrue="1" operator="equal">
      <formula>"SI"</formula>
    </cfRule>
  </conditionalFormatting>
  <conditionalFormatting sqref="L693:L702">
    <cfRule type="cellIs" dxfId="2648" priority="517" stopIfTrue="1" operator="equal">
      <formula>0</formula>
    </cfRule>
    <cfRule type="cellIs" dxfId="2647" priority="518" stopIfTrue="1" operator="greaterThanOrEqual">
      <formula>$H$6</formula>
    </cfRule>
    <cfRule type="cellIs" dxfId="2646" priority="519" stopIfTrue="1" operator="between">
      <formula>0</formula>
      <formula>$H$6</formula>
    </cfRule>
  </conditionalFormatting>
  <conditionalFormatting sqref="Z693:Z702 AB693:AB702">
    <cfRule type="cellIs" dxfId="2645" priority="515" operator="equal">
      <formula>"NO"</formula>
    </cfRule>
    <cfRule type="cellIs" dxfId="2644" priority="516" operator="greaterThan">
      <formula>0</formula>
    </cfRule>
  </conditionalFormatting>
  <conditionalFormatting sqref="H693:H696 C693:G702 I693:K702 P693:Q702 U693:U702 H701:H702 M696:N702">
    <cfRule type="cellIs" dxfId="2643" priority="514" stopIfTrue="1" operator="greaterThan">
      <formula>0</formula>
    </cfRule>
  </conditionalFormatting>
  <conditionalFormatting sqref="I693:I702 U693:U702">
    <cfRule type="cellIs" dxfId="2642" priority="513" operator="equal">
      <formula>"NO"</formula>
    </cfRule>
  </conditionalFormatting>
  <conditionalFormatting sqref="H693:H696 J693:J702 H701:H702">
    <cfRule type="cellIs" dxfId="2641" priority="512" stopIfTrue="1" operator="lessThan">
      <formula>0</formula>
    </cfRule>
  </conditionalFormatting>
  <conditionalFormatting sqref="H697">
    <cfRule type="cellIs" dxfId="2640" priority="511" stopIfTrue="1" operator="lessThan">
      <formula>0</formula>
    </cfRule>
  </conditionalFormatting>
  <conditionalFormatting sqref="H697">
    <cfRule type="cellIs" dxfId="2639" priority="510" stopIfTrue="1" operator="greaterThan">
      <formula>0</formula>
    </cfRule>
  </conditionalFormatting>
  <conditionalFormatting sqref="N693">
    <cfRule type="cellIs" dxfId="2638" priority="506" stopIfTrue="1" operator="greaterThan">
      <formula>0</formula>
    </cfRule>
  </conditionalFormatting>
  <conditionalFormatting sqref="X693">
    <cfRule type="cellIs" dxfId="2637" priority="502" stopIfTrue="1" operator="equal">
      <formula>"NO"</formula>
    </cfRule>
    <cfRule type="cellIs" dxfId="2636" priority="503" stopIfTrue="1" operator="equal">
      <formula>"SI"</formula>
    </cfRule>
  </conditionalFormatting>
  <conditionalFormatting sqref="X694:X695">
    <cfRule type="cellIs" dxfId="2635" priority="500" stopIfTrue="1" operator="equal">
      <formula>"NO"</formula>
    </cfRule>
    <cfRule type="cellIs" dxfId="2634" priority="501" stopIfTrue="1" operator="equal">
      <formula>"SI"</formula>
    </cfRule>
  </conditionalFormatting>
  <conditionalFormatting sqref="X696">
    <cfRule type="cellIs" dxfId="2633" priority="498" stopIfTrue="1" operator="equal">
      <formula>"NO"</formula>
    </cfRule>
    <cfRule type="cellIs" dxfId="2632" priority="499" stopIfTrue="1" operator="equal">
      <formula>"SI"</formula>
    </cfRule>
  </conditionalFormatting>
  <conditionalFormatting sqref="X697">
    <cfRule type="cellIs" dxfId="2631" priority="496" stopIfTrue="1" operator="equal">
      <formula>"NO"</formula>
    </cfRule>
    <cfRule type="cellIs" dxfId="2630" priority="497" stopIfTrue="1" operator="equal">
      <formula>"SI"</formula>
    </cfRule>
  </conditionalFormatting>
  <conditionalFormatting sqref="X698">
    <cfRule type="cellIs" dxfId="2629" priority="494" stopIfTrue="1" operator="equal">
      <formula>"NO"</formula>
    </cfRule>
    <cfRule type="cellIs" dxfId="2628" priority="495" stopIfTrue="1" operator="equal">
      <formula>"SI"</formula>
    </cfRule>
  </conditionalFormatting>
  <conditionalFormatting sqref="X699">
    <cfRule type="cellIs" dxfId="2627" priority="492" stopIfTrue="1" operator="equal">
      <formula>"NO"</formula>
    </cfRule>
    <cfRule type="cellIs" dxfId="2626" priority="493" stopIfTrue="1" operator="equal">
      <formula>"SI"</formula>
    </cfRule>
  </conditionalFormatting>
  <conditionalFormatting sqref="X700">
    <cfRule type="cellIs" dxfId="2625" priority="490" stopIfTrue="1" operator="equal">
      <formula>"NO"</formula>
    </cfRule>
    <cfRule type="cellIs" dxfId="2624" priority="491" stopIfTrue="1" operator="equal">
      <formula>"SI"</formula>
    </cfRule>
  </conditionalFormatting>
  <conditionalFormatting sqref="X701">
    <cfRule type="cellIs" dxfId="2623" priority="488" stopIfTrue="1" operator="equal">
      <formula>"NO"</formula>
    </cfRule>
    <cfRule type="cellIs" dxfId="2622" priority="489" stopIfTrue="1" operator="equal">
      <formula>"SI"</formula>
    </cfRule>
  </conditionalFormatting>
  <conditionalFormatting sqref="X702">
    <cfRule type="cellIs" dxfId="2621" priority="486" stopIfTrue="1" operator="equal">
      <formula>"NO"</formula>
    </cfRule>
    <cfRule type="cellIs" dxfId="2620" priority="487" stopIfTrue="1" operator="equal">
      <formula>"SI"</formula>
    </cfRule>
  </conditionalFormatting>
  <conditionalFormatting sqref="L710:L719">
    <cfRule type="cellIs" dxfId="2619" priority="483" stopIfTrue="1" operator="equal">
      <formula>0</formula>
    </cfRule>
    <cfRule type="cellIs" dxfId="2618" priority="484" stopIfTrue="1" operator="greaterThanOrEqual">
      <formula>$H$6</formula>
    </cfRule>
    <cfRule type="cellIs" dxfId="2617" priority="485" stopIfTrue="1" operator="between">
      <formula>0</formula>
      <formula>$H$6</formula>
    </cfRule>
  </conditionalFormatting>
  <conditionalFormatting sqref="Z710:Z719 AB710:AB719">
    <cfRule type="cellIs" dxfId="2616" priority="481" operator="equal">
      <formula>"NO"</formula>
    </cfRule>
    <cfRule type="cellIs" dxfId="2615" priority="482" operator="greaterThan">
      <formula>0</formula>
    </cfRule>
  </conditionalFormatting>
  <conditionalFormatting sqref="H710:H713 C710:G719 I710:K719 P710:Q719 U710:U719 H718:H719 M713:N719">
    <cfRule type="cellIs" dxfId="2614" priority="480" stopIfTrue="1" operator="greaterThan">
      <formula>0</formula>
    </cfRule>
  </conditionalFormatting>
  <conditionalFormatting sqref="I710:I719 U710:U719">
    <cfRule type="cellIs" dxfId="2613" priority="479" operator="equal">
      <formula>"NO"</formula>
    </cfRule>
  </conditionalFormatting>
  <conditionalFormatting sqref="H710:H713 J710:J719 H718:H719">
    <cfRule type="cellIs" dxfId="2612" priority="478" stopIfTrue="1" operator="lessThan">
      <formula>0</formula>
    </cfRule>
  </conditionalFormatting>
  <conditionalFormatting sqref="H714">
    <cfRule type="cellIs" dxfId="2611" priority="477" stopIfTrue="1" operator="lessThan">
      <formula>0</formula>
    </cfRule>
  </conditionalFormatting>
  <conditionalFormatting sqref="H714">
    <cfRule type="cellIs" dxfId="2610" priority="476" stopIfTrue="1" operator="greaterThan">
      <formula>0</formula>
    </cfRule>
  </conditionalFormatting>
  <conditionalFormatting sqref="H715:H717">
    <cfRule type="cellIs" dxfId="2609" priority="475" stopIfTrue="1" operator="lessThan">
      <formula>0</formula>
    </cfRule>
  </conditionalFormatting>
  <conditionalFormatting sqref="H715:H717">
    <cfRule type="cellIs" dxfId="2608" priority="474" stopIfTrue="1" operator="greaterThan">
      <formula>0</formula>
    </cfRule>
  </conditionalFormatting>
  <conditionalFormatting sqref="M710">
    <cfRule type="cellIs" dxfId="2607" priority="473" stopIfTrue="1" operator="greaterThan">
      <formula>0</formula>
    </cfRule>
  </conditionalFormatting>
  <conditionalFormatting sqref="N710">
    <cfRule type="cellIs" dxfId="2606" priority="472" stopIfTrue="1" operator="greaterThan">
      <formula>0</formula>
    </cfRule>
  </conditionalFormatting>
  <conditionalFormatting sqref="M711:M712">
    <cfRule type="cellIs" dxfId="2605" priority="471" stopIfTrue="1" operator="greaterThan">
      <formula>0</formula>
    </cfRule>
  </conditionalFormatting>
  <conditionalFormatting sqref="N711:N712">
    <cfRule type="cellIs" dxfId="2604" priority="470" stopIfTrue="1" operator="greaterThan">
      <formula>0</formula>
    </cfRule>
  </conditionalFormatting>
  <conditionalFormatting sqref="X710">
    <cfRule type="cellIs" dxfId="2603" priority="468" stopIfTrue="1" operator="equal">
      <formula>"NO"</formula>
    </cfRule>
    <cfRule type="cellIs" dxfId="2602" priority="469" stopIfTrue="1" operator="equal">
      <formula>"SI"</formula>
    </cfRule>
  </conditionalFormatting>
  <conditionalFormatting sqref="X711:X712">
    <cfRule type="cellIs" dxfId="2601" priority="466" stopIfTrue="1" operator="equal">
      <formula>"NO"</formula>
    </cfRule>
    <cfRule type="cellIs" dxfId="2600" priority="467" stopIfTrue="1" operator="equal">
      <formula>"SI"</formula>
    </cfRule>
  </conditionalFormatting>
  <conditionalFormatting sqref="X713">
    <cfRule type="cellIs" dxfId="2599" priority="464" stopIfTrue="1" operator="equal">
      <formula>"NO"</formula>
    </cfRule>
    <cfRule type="cellIs" dxfId="2598" priority="465" stopIfTrue="1" operator="equal">
      <formula>"SI"</formula>
    </cfRule>
  </conditionalFormatting>
  <conditionalFormatting sqref="X714">
    <cfRule type="cellIs" dxfId="2597" priority="462" stopIfTrue="1" operator="equal">
      <formula>"NO"</formula>
    </cfRule>
    <cfRule type="cellIs" dxfId="2596" priority="463" stopIfTrue="1" operator="equal">
      <formula>"SI"</formula>
    </cfRule>
  </conditionalFormatting>
  <conditionalFormatting sqref="X715">
    <cfRule type="cellIs" dxfId="2595" priority="460" stopIfTrue="1" operator="equal">
      <formula>"NO"</formula>
    </cfRule>
    <cfRule type="cellIs" dxfId="2594" priority="461" stopIfTrue="1" operator="equal">
      <formula>"SI"</formula>
    </cfRule>
  </conditionalFormatting>
  <conditionalFormatting sqref="X716">
    <cfRule type="cellIs" dxfId="2593" priority="458" stopIfTrue="1" operator="equal">
      <formula>"NO"</formula>
    </cfRule>
    <cfRule type="cellIs" dxfId="2592" priority="459" stopIfTrue="1" operator="equal">
      <formula>"SI"</formula>
    </cfRule>
  </conditionalFormatting>
  <conditionalFormatting sqref="X717">
    <cfRule type="cellIs" dxfId="2591" priority="456" stopIfTrue="1" operator="equal">
      <formula>"NO"</formula>
    </cfRule>
    <cfRule type="cellIs" dxfId="2590" priority="457" stopIfTrue="1" operator="equal">
      <formula>"SI"</formula>
    </cfRule>
  </conditionalFormatting>
  <conditionalFormatting sqref="X718">
    <cfRule type="cellIs" dxfId="2589" priority="454" stopIfTrue="1" operator="equal">
      <formula>"NO"</formula>
    </cfRule>
    <cfRule type="cellIs" dxfId="2588" priority="455" stopIfTrue="1" operator="equal">
      <formula>"SI"</formula>
    </cfRule>
  </conditionalFormatting>
  <conditionalFormatting sqref="X719">
    <cfRule type="cellIs" dxfId="2587" priority="452" stopIfTrue="1" operator="equal">
      <formula>"NO"</formula>
    </cfRule>
    <cfRule type="cellIs" dxfId="2586" priority="453" stopIfTrue="1" operator="equal">
      <formula>"SI"</formula>
    </cfRule>
  </conditionalFormatting>
  <conditionalFormatting sqref="L727:L736">
    <cfRule type="cellIs" dxfId="2585" priority="449" stopIfTrue="1" operator="equal">
      <formula>0</formula>
    </cfRule>
    <cfRule type="cellIs" dxfId="2584" priority="450" stopIfTrue="1" operator="greaterThanOrEqual">
      <formula>$H$6</formula>
    </cfRule>
    <cfRule type="cellIs" dxfId="2583" priority="451" stopIfTrue="1" operator="between">
      <formula>0</formula>
      <formula>$H$6</formula>
    </cfRule>
  </conditionalFormatting>
  <conditionalFormatting sqref="Z727:Z736 AB727:AB736">
    <cfRule type="cellIs" dxfId="2582" priority="447" operator="equal">
      <formula>"NO"</formula>
    </cfRule>
    <cfRule type="cellIs" dxfId="2581" priority="448" operator="greaterThan">
      <formula>0</formula>
    </cfRule>
  </conditionalFormatting>
  <conditionalFormatting sqref="H727:H730 C727:G736 I727:K736 P727:Q736 U727:U736 H735:H736 M730:N736">
    <cfRule type="cellIs" dxfId="2580" priority="446" stopIfTrue="1" operator="greaterThan">
      <formula>0</formula>
    </cfRule>
  </conditionalFormatting>
  <conditionalFormatting sqref="I727:I736 U727:U736">
    <cfRule type="cellIs" dxfId="2579" priority="445" operator="equal">
      <formula>"NO"</formula>
    </cfRule>
  </conditionalFormatting>
  <conditionalFormatting sqref="H727:H730 J727:J736 H735:H736">
    <cfRule type="cellIs" dxfId="2578" priority="444" stopIfTrue="1" operator="lessThan">
      <formula>0</formula>
    </cfRule>
  </conditionalFormatting>
  <conditionalFormatting sqref="H731">
    <cfRule type="cellIs" dxfId="2577" priority="443" stopIfTrue="1" operator="lessThan">
      <formula>0</formula>
    </cfRule>
  </conditionalFormatting>
  <conditionalFormatting sqref="H731">
    <cfRule type="cellIs" dxfId="2576" priority="442" stopIfTrue="1" operator="greaterThan">
      <formula>0</formula>
    </cfRule>
  </conditionalFormatting>
  <conditionalFormatting sqref="H732:H734">
    <cfRule type="cellIs" dxfId="2575" priority="441" stopIfTrue="1" operator="lessThan">
      <formula>0</formula>
    </cfRule>
  </conditionalFormatting>
  <conditionalFormatting sqref="H732:H734">
    <cfRule type="cellIs" dxfId="2574" priority="440" stopIfTrue="1" operator="greaterThan">
      <formula>0</formula>
    </cfRule>
  </conditionalFormatting>
  <conditionalFormatting sqref="M727">
    <cfRule type="cellIs" dxfId="2573" priority="439" stopIfTrue="1" operator="greaterThan">
      <formula>0</formula>
    </cfRule>
  </conditionalFormatting>
  <conditionalFormatting sqref="N727">
    <cfRule type="cellIs" dxfId="2572" priority="438" stopIfTrue="1" operator="greaterThan">
      <formula>0</formula>
    </cfRule>
  </conditionalFormatting>
  <conditionalFormatting sqref="M728:M729">
    <cfRule type="cellIs" dxfId="2571" priority="437" stopIfTrue="1" operator="greaterThan">
      <formula>0</formula>
    </cfRule>
  </conditionalFormatting>
  <conditionalFormatting sqref="N728:N729">
    <cfRule type="cellIs" dxfId="2570" priority="436" stopIfTrue="1" operator="greaterThan">
      <formula>0</formula>
    </cfRule>
  </conditionalFormatting>
  <conditionalFormatting sqref="X727">
    <cfRule type="cellIs" dxfId="2569" priority="434" stopIfTrue="1" operator="equal">
      <formula>"NO"</formula>
    </cfRule>
    <cfRule type="cellIs" dxfId="2568" priority="435" stopIfTrue="1" operator="equal">
      <formula>"SI"</formula>
    </cfRule>
  </conditionalFormatting>
  <conditionalFormatting sqref="X728:X729">
    <cfRule type="cellIs" dxfId="2567" priority="432" stopIfTrue="1" operator="equal">
      <formula>"NO"</formula>
    </cfRule>
    <cfRule type="cellIs" dxfId="2566" priority="433" stopIfTrue="1" operator="equal">
      <formula>"SI"</formula>
    </cfRule>
  </conditionalFormatting>
  <conditionalFormatting sqref="X730">
    <cfRule type="cellIs" dxfId="2565" priority="430" stopIfTrue="1" operator="equal">
      <formula>"NO"</formula>
    </cfRule>
    <cfRule type="cellIs" dxfId="2564" priority="431" stopIfTrue="1" operator="equal">
      <formula>"SI"</formula>
    </cfRule>
  </conditionalFormatting>
  <conditionalFormatting sqref="X731">
    <cfRule type="cellIs" dxfId="2563" priority="428" stopIfTrue="1" operator="equal">
      <formula>"NO"</formula>
    </cfRule>
    <cfRule type="cellIs" dxfId="2562" priority="429" stopIfTrue="1" operator="equal">
      <formula>"SI"</formula>
    </cfRule>
  </conditionalFormatting>
  <conditionalFormatting sqref="X732">
    <cfRule type="cellIs" dxfId="2561" priority="426" stopIfTrue="1" operator="equal">
      <formula>"NO"</formula>
    </cfRule>
    <cfRule type="cellIs" dxfId="2560" priority="427" stopIfTrue="1" operator="equal">
      <formula>"SI"</formula>
    </cfRule>
  </conditionalFormatting>
  <conditionalFormatting sqref="X733">
    <cfRule type="cellIs" dxfId="2559" priority="424" stopIfTrue="1" operator="equal">
      <formula>"NO"</formula>
    </cfRule>
    <cfRule type="cellIs" dxfId="2558" priority="425" stopIfTrue="1" operator="equal">
      <formula>"SI"</formula>
    </cfRule>
  </conditionalFormatting>
  <conditionalFormatting sqref="X734">
    <cfRule type="cellIs" dxfId="2557" priority="422" stopIfTrue="1" operator="equal">
      <formula>"NO"</formula>
    </cfRule>
    <cfRule type="cellIs" dxfId="2556" priority="423" stopIfTrue="1" operator="equal">
      <formula>"SI"</formula>
    </cfRule>
  </conditionalFormatting>
  <conditionalFormatting sqref="X735">
    <cfRule type="cellIs" dxfId="2555" priority="420" stopIfTrue="1" operator="equal">
      <formula>"NO"</formula>
    </cfRule>
    <cfRule type="cellIs" dxfId="2554" priority="421" stopIfTrue="1" operator="equal">
      <formula>"SI"</formula>
    </cfRule>
  </conditionalFormatting>
  <conditionalFormatting sqref="X736">
    <cfRule type="cellIs" dxfId="2553" priority="418" stopIfTrue="1" operator="equal">
      <formula>"NO"</formula>
    </cfRule>
    <cfRule type="cellIs" dxfId="2552" priority="419" stopIfTrue="1" operator="equal">
      <formula>"SI"</formula>
    </cfRule>
  </conditionalFormatting>
  <conditionalFormatting sqref="L744:L753">
    <cfRule type="cellIs" dxfId="2551" priority="415" stopIfTrue="1" operator="equal">
      <formula>0</formula>
    </cfRule>
    <cfRule type="cellIs" dxfId="2550" priority="416" stopIfTrue="1" operator="greaterThanOrEqual">
      <formula>$H$6</formula>
    </cfRule>
    <cfRule type="cellIs" dxfId="2549" priority="417" stopIfTrue="1" operator="between">
      <formula>0</formula>
      <formula>$H$6</formula>
    </cfRule>
  </conditionalFormatting>
  <conditionalFormatting sqref="Z744:Z753 AB744:AB753">
    <cfRule type="cellIs" dxfId="2548" priority="413" operator="equal">
      <formula>"NO"</formula>
    </cfRule>
    <cfRule type="cellIs" dxfId="2547" priority="414" operator="greaterThan">
      <formula>0</formula>
    </cfRule>
  </conditionalFormatting>
  <conditionalFormatting sqref="H744:H747 C744:G753 I744:K753 P744:Q753 U744:U753 H752:H753 M747:N753">
    <cfRule type="cellIs" dxfId="2546" priority="412" stopIfTrue="1" operator="greaterThan">
      <formula>0</formula>
    </cfRule>
  </conditionalFormatting>
  <conditionalFormatting sqref="I744:I753 U744:U753">
    <cfRule type="cellIs" dxfId="2545" priority="411" operator="equal">
      <formula>"NO"</formula>
    </cfRule>
  </conditionalFormatting>
  <conditionalFormatting sqref="H744:H747 J744:J753 H752:H753">
    <cfRule type="cellIs" dxfId="2544" priority="410" stopIfTrue="1" operator="lessThan">
      <formula>0</formula>
    </cfRule>
  </conditionalFormatting>
  <conditionalFormatting sqref="H748">
    <cfRule type="cellIs" dxfId="2543" priority="409" stopIfTrue="1" operator="lessThan">
      <formula>0</formula>
    </cfRule>
  </conditionalFormatting>
  <conditionalFormatting sqref="H748">
    <cfRule type="cellIs" dxfId="2542" priority="408" stopIfTrue="1" operator="greaterThan">
      <formula>0</formula>
    </cfRule>
  </conditionalFormatting>
  <conditionalFormatting sqref="H749:H751">
    <cfRule type="cellIs" dxfId="2541" priority="407" stopIfTrue="1" operator="lessThan">
      <formula>0</formula>
    </cfRule>
  </conditionalFormatting>
  <conditionalFormatting sqref="H749:H751">
    <cfRule type="cellIs" dxfId="2540" priority="406" stopIfTrue="1" operator="greaterThan">
      <formula>0</formula>
    </cfRule>
  </conditionalFormatting>
  <conditionalFormatting sqref="M744">
    <cfRule type="cellIs" dxfId="2539" priority="405" stopIfTrue="1" operator="greaterThan">
      <formula>0</formula>
    </cfRule>
  </conditionalFormatting>
  <conditionalFormatting sqref="N744">
    <cfRule type="cellIs" dxfId="2538" priority="404" stopIfTrue="1" operator="greaterThan">
      <formula>0</formula>
    </cfRule>
  </conditionalFormatting>
  <conditionalFormatting sqref="M745:M746">
    <cfRule type="cellIs" dxfId="2537" priority="403" stopIfTrue="1" operator="greaterThan">
      <formula>0</formula>
    </cfRule>
  </conditionalFormatting>
  <conditionalFormatting sqref="N745:N746">
    <cfRule type="cellIs" dxfId="2536" priority="402" stopIfTrue="1" operator="greaterThan">
      <formula>0</formula>
    </cfRule>
  </conditionalFormatting>
  <conditionalFormatting sqref="X744">
    <cfRule type="cellIs" dxfId="2535" priority="400" stopIfTrue="1" operator="equal">
      <formula>"NO"</formula>
    </cfRule>
    <cfRule type="cellIs" dxfId="2534" priority="401" stopIfTrue="1" operator="equal">
      <formula>"SI"</formula>
    </cfRule>
  </conditionalFormatting>
  <conditionalFormatting sqref="X745:X746">
    <cfRule type="cellIs" dxfId="2533" priority="398" stopIfTrue="1" operator="equal">
      <formula>"NO"</formula>
    </cfRule>
    <cfRule type="cellIs" dxfId="2532" priority="399" stopIfTrue="1" operator="equal">
      <formula>"SI"</formula>
    </cfRule>
  </conditionalFormatting>
  <conditionalFormatting sqref="X747">
    <cfRule type="cellIs" dxfId="2531" priority="396" stopIfTrue="1" operator="equal">
      <formula>"NO"</formula>
    </cfRule>
    <cfRule type="cellIs" dxfId="2530" priority="397" stopIfTrue="1" operator="equal">
      <formula>"SI"</formula>
    </cfRule>
  </conditionalFormatting>
  <conditionalFormatting sqref="X748">
    <cfRule type="cellIs" dxfId="2529" priority="394" stopIfTrue="1" operator="equal">
      <formula>"NO"</formula>
    </cfRule>
    <cfRule type="cellIs" dxfId="2528" priority="395" stopIfTrue="1" operator="equal">
      <formula>"SI"</formula>
    </cfRule>
  </conditionalFormatting>
  <conditionalFormatting sqref="X749">
    <cfRule type="cellIs" dxfId="2527" priority="392" stopIfTrue="1" operator="equal">
      <formula>"NO"</formula>
    </cfRule>
    <cfRule type="cellIs" dxfId="2526" priority="393" stopIfTrue="1" operator="equal">
      <formula>"SI"</formula>
    </cfRule>
  </conditionalFormatting>
  <conditionalFormatting sqref="X750">
    <cfRule type="cellIs" dxfId="2525" priority="390" stopIfTrue="1" operator="equal">
      <formula>"NO"</formula>
    </cfRule>
    <cfRule type="cellIs" dxfId="2524" priority="391" stopIfTrue="1" operator="equal">
      <formula>"SI"</formula>
    </cfRule>
  </conditionalFormatting>
  <conditionalFormatting sqref="X751">
    <cfRule type="cellIs" dxfId="2523" priority="388" stopIfTrue="1" operator="equal">
      <formula>"NO"</formula>
    </cfRule>
    <cfRule type="cellIs" dxfId="2522" priority="389" stopIfTrue="1" operator="equal">
      <formula>"SI"</formula>
    </cfRule>
  </conditionalFormatting>
  <conditionalFormatting sqref="X752">
    <cfRule type="cellIs" dxfId="2521" priority="386" stopIfTrue="1" operator="equal">
      <formula>"NO"</formula>
    </cfRule>
    <cfRule type="cellIs" dxfId="2520" priority="387" stopIfTrue="1" operator="equal">
      <formula>"SI"</formula>
    </cfRule>
  </conditionalFormatting>
  <conditionalFormatting sqref="X753">
    <cfRule type="cellIs" dxfId="2519" priority="384" stopIfTrue="1" operator="equal">
      <formula>"NO"</formula>
    </cfRule>
    <cfRule type="cellIs" dxfId="2518" priority="385" stopIfTrue="1" operator="equal">
      <formula>"SI"</formula>
    </cfRule>
  </conditionalFormatting>
  <conditionalFormatting sqref="L761:L770">
    <cfRule type="cellIs" dxfId="2517" priority="381" stopIfTrue="1" operator="equal">
      <formula>0</formula>
    </cfRule>
    <cfRule type="cellIs" dxfId="2516" priority="382" stopIfTrue="1" operator="greaterThanOrEqual">
      <formula>$H$6</formula>
    </cfRule>
    <cfRule type="cellIs" dxfId="2515" priority="383" stopIfTrue="1" operator="between">
      <formula>0</formula>
      <formula>$H$6</formula>
    </cfRule>
  </conditionalFormatting>
  <conditionalFormatting sqref="Z761:Z770 AB761:AB770">
    <cfRule type="cellIs" dxfId="2514" priority="379" operator="equal">
      <formula>"NO"</formula>
    </cfRule>
    <cfRule type="cellIs" dxfId="2513" priority="380" operator="greaterThan">
      <formula>0</formula>
    </cfRule>
  </conditionalFormatting>
  <conditionalFormatting sqref="H761:H764 C761:G770 I761:K770 P761:Q770 U761:U770 H769:H770 M764:N770">
    <cfRule type="cellIs" dxfId="2512" priority="378" stopIfTrue="1" operator="greaterThan">
      <formula>0</formula>
    </cfRule>
  </conditionalFormatting>
  <conditionalFormatting sqref="I761:I770 U761:U770">
    <cfRule type="cellIs" dxfId="2511" priority="377" operator="equal">
      <formula>"NO"</formula>
    </cfRule>
  </conditionalFormatting>
  <conditionalFormatting sqref="H761:H764 J761:J770 H769:H770">
    <cfRule type="cellIs" dxfId="2510" priority="376" stopIfTrue="1" operator="lessThan">
      <formula>0</formula>
    </cfRule>
  </conditionalFormatting>
  <conditionalFormatting sqref="H765">
    <cfRule type="cellIs" dxfId="2509" priority="375" stopIfTrue="1" operator="lessThan">
      <formula>0</formula>
    </cfRule>
  </conditionalFormatting>
  <conditionalFormatting sqref="H765">
    <cfRule type="cellIs" dxfId="2508" priority="374" stopIfTrue="1" operator="greaterThan">
      <formula>0</formula>
    </cfRule>
  </conditionalFormatting>
  <conditionalFormatting sqref="H766:H768">
    <cfRule type="cellIs" dxfId="2507" priority="373" stopIfTrue="1" operator="lessThan">
      <formula>0</formula>
    </cfRule>
  </conditionalFormatting>
  <conditionalFormatting sqref="H766:H768">
    <cfRule type="cellIs" dxfId="2506" priority="372" stopIfTrue="1" operator="greaterThan">
      <formula>0</formula>
    </cfRule>
  </conditionalFormatting>
  <conditionalFormatting sqref="M761">
    <cfRule type="cellIs" dxfId="2505" priority="371" stopIfTrue="1" operator="greaterThan">
      <formula>0</formula>
    </cfRule>
  </conditionalFormatting>
  <conditionalFormatting sqref="N761">
    <cfRule type="cellIs" dxfId="2504" priority="370" stopIfTrue="1" operator="greaterThan">
      <formula>0</formula>
    </cfRule>
  </conditionalFormatting>
  <conditionalFormatting sqref="M762:M763">
    <cfRule type="cellIs" dxfId="2503" priority="369" stopIfTrue="1" operator="greaterThan">
      <formula>0</formula>
    </cfRule>
  </conditionalFormatting>
  <conditionalFormatting sqref="N762:N763">
    <cfRule type="cellIs" dxfId="2502" priority="368" stopIfTrue="1" operator="greaterThan">
      <formula>0</formula>
    </cfRule>
  </conditionalFormatting>
  <conditionalFormatting sqref="X761">
    <cfRule type="cellIs" dxfId="2501" priority="366" stopIfTrue="1" operator="equal">
      <formula>"NO"</formula>
    </cfRule>
    <cfRule type="cellIs" dxfId="2500" priority="367" stopIfTrue="1" operator="equal">
      <formula>"SI"</formula>
    </cfRule>
  </conditionalFormatting>
  <conditionalFormatting sqref="X762:X763">
    <cfRule type="cellIs" dxfId="2499" priority="364" stopIfTrue="1" operator="equal">
      <formula>"NO"</formula>
    </cfRule>
    <cfRule type="cellIs" dxfId="2498" priority="365" stopIfTrue="1" operator="equal">
      <formula>"SI"</formula>
    </cfRule>
  </conditionalFormatting>
  <conditionalFormatting sqref="X764">
    <cfRule type="cellIs" dxfId="2497" priority="362" stopIfTrue="1" operator="equal">
      <formula>"NO"</formula>
    </cfRule>
    <cfRule type="cellIs" dxfId="2496" priority="363" stopIfTrue="1" operator="equal">
      <formula>"SI"</formula>
    </cfRule>
  </conditionalFormatting>
  <conditionalFormatting sqref="X765">
    <cfRule type="cellIs" dxfId="2495" priority="360" stopIfTrue="1" operator="equal">
      <formula>"NO"</formula>
    </cfRule>
    <cfRule type="cellIs" dxfId="2494" priority="361" stopIfTrue="1" operator="equal">
      <formula>"SI"</formula>
    </cfRule>
  </conditionalFormatting>
  <conditionalFormatting sqref="X766">
    <cfRule type="cellIs" dxfId="2493" priority="358" stopIfTrue="1" operator="equal">
      <formula>"NO"</formula>
    </cfRule>
    <cfRule type="cellIs" dxfId="2492" priority="359" stopIfTrue="1" operator="equal">
      <formula>"SI"</formula>
    </cfRule>
  </conditionalFormatting>
  <conditionalFormatting sqref="X767">
    <cfRule type="cellIs" dxfId="2491" priority="356" stopIfTrue="1" operator="equal">
      <formula>"NO"</formula>
    </cfRule>
    <cfRule type="cellIs" dxfId="2490" priority="357" stopIfTrue="1" operator="equal">
      <formula>"SI"</formula>
    </cfRule>
  </conditionalFormatting>
  <conditionalFormatting sqref="X768">
    <cfRule type="cellIs" dxfId="2489" priority="354" stopIfTrue="1" operator="equal">
      <formula>"NO"</formula>
    </cfRule>
    <cfRule type="cellIs" dxfId="2488" priority="355" stopIfTrue="1" operator="equal">
      <formula>"SI"</formula>
    </cfRule>
  </conditionalFormatting>
  <conditionalFormatting sqref="X769">
    <cfRule type="cellIs" dxfId="2487" priority="352" stopIfTrue="1" operator="equal">
      <formula>"NO"</formula>
    </cfRule>
    <cfRule type="cellIs" dxfId="2486" priority="353" stopIfTrue="1" operator="equal">
      <formula>"SI"</formula>
    </cfRule>
  </conditionalFormatting>
  <conditionalFormatting sqref="X770">
    <cfRule type="cellIs" dxfId="2485" priority="350" stopIfTrue="1" operator="equal">
      <formula>"NO"</formula>
    </cfRule>
    <cfRule type="cellIs" dxfId="2484" priority="351" stopIfTrue="1" operator="equal">
      <formula>"SI"</formula>
    </cfRule>
  </conditionalFormatting>
  <conditionalFormatting sqref="L778:L787">
    <cfRule type="cellIs" dxfId="2483" priority="347" stopIfTrue="1" operator="equal">
      <formula>0</formula>
    </cfRule>
    <cfRule type="cellIs" dxfId="2482" priority="348" stopIfTrue="1" operator="greaterThanOrEqual">
      <formula>$H$6</formula>
    </cfRule>
    <cfRule type="cellIs" dxfId="2481" priority="349" stopIfTrue="1" operator="between">
      <formula>0</formula>
      <formula>$H$6</formula>
    </cfRule>
  </conditionalFormatting>
  <conditionalFormatting sqref="Z778:Z787 AB778:AB787">
    <cfRule type="cellIs" dxfId="2480" priority="345" operator="equal">
      <formula>"NO"</formula>
    </cfRule>
    <cfRule type="cellIs" dxfId="2479" priority="346" operator="greaterThan">
      <formula>0</formula>
    </cfRule>
  </conditionalFormatting>
  <conditionalFormatting sqref="H778:H781 C778:G787 I778:K787 P778:Q787 U778:U787 H786:H787 M781:N787">
    <cfRule type="cellIs" dxfId="2478" priority="344" stopIfTrue="1" operator="greaterThan">
      <formula>0</formula>
    </cfRule>
  </conditionalFormatting>
  <conditionalFormatting sqref="I778:I787 U778:U787">
    <cfRule type="cellIs" dxfId="2477" priority="343" operator="equal">
      <formula>"NO"</formula>
    </cfRule>
  </conditionalFormatting>
  <conditionalFormatting sqref="H778:H781 J778:J787 H786:H787">
    <cfRule type="cellIs" dxfId="2476" priority="342" stopIfTrue="1" operator="lessThan">
      <formula>0</formula>
    </cfRule>
  </conditionalFormatting>
  <conditionalFormatting sqref="H782">
    <cfRule type="cellIs" dxfId="2475" priority="341" stopIfTrue="1" operator="lessThan">
      <formula>0</formula>
    </cfRule>
  </conditionalFormatting>
  <conditionalFormatting sqref="H782">
    <cfRule type="cellIs" dxfId="2474" priority="340" stopIfTrue="1" operator="greaterThan">
      <formula>0</formula>
    </cfRule>
  </conditionalFormatting>
  <conditionalFormatting sqref="H783:H785">
    <cfRule type="cellIs" dxfId="2473" priority="339" stopIfTrue="1" operator="lessThan">
      <formula>0</formula>
    </cfRule>
  </conditionalFormatting>
  <conditionalFormatting sqref="H783:H785">
    <cfRule type="cellIs" dxfId="2472" priority="338" stopIfTrue="1" operator="greaterThan">
      <formula>0</formula>
    </cfRule>
  </conditionalFormatting>
  <conditionalFormatting sqref="M778">
    <cfRule type="cellIs" dxfId="2471" priority="337" stopIfTrue="1" operator="greaterThan">
      <formula>0</formula>
    </cfRule>
  </conditionalFormatting>
  <conditionalFormatting sqref="N778">
    <cfRule type="cellIs" dxfId="2470" priority="336" stopIfTrue="1" operator="greaterThan">
      <formula>0</formula>
    </cfRule>
  </conditionalFormatting>
  <conditionalFormatting sqref="M779:M780">
    <cfRule type="cellIs" dxfId="2469" priority="335" stopIfTrue="1" operator="greaterThan">
      <formula>0</formula>
    </cfRule>
  </conditionalFormatting>
  <conditionalFormatting sqref="N779:N780">
    <cfRule type="cellIs" dxfId="2468" priority="334" stopIfTrue="1" operator="greaterThan">
      <formula>0</formula>
    </cfRule>
  </conditionalFormatting>
  <conditionalFormatting sqref="X778">
    <cfRule type="cellIs" dxfId="2467" priority="332" stopIfTrue="1" operator="equal">
      <formula>"NO"</formula>
    </cfRule>
    <cfRule type="cellIs" dxfId="2466" priority="333" stopIfTrue="1" operator="equal">
      <formula>"SI"</formula>
    </cfRule>
  </conditionalFormatting>
  <conditionalFormatting sqref="X779:X780">
    <cfRule type="cellIs" dxfId="2465" priority="330" stopIfTrue="1" operator="equal">
      <formula>"NO"</formula>
    </cfRule>
    <cfRule type="cellIs" dxfId="2464" priority="331" stopIfTrue="1" operator="equal">
      <formula>"SI"</formula>
    </cfRule>
  </conditionalFormatting>
  <conditionalFormatting sqref="X781">
    <cfRule type="cellIs" dxfId="2463" priority="328" stopIfTrue="1" operator="equal">
      <formula>"NO"</formula>
    </cfRule>
    <cfRule type="cellIs" dxfId="2462" priority="329" stopIfTrue="1" operator="equal">
      <formula>"SI"</formula>
    </cfRule>
  </conditionalFormatting>
  <conditionalFormatting sqref="X782">
    <cfRule type="cellIs" dxfId="2461" priority="326" stopIfTrue="1" operator="equal">
      <formula>"NO"</formula>
    </cfRule>
    <cfRule type="cellIs" dxfId="2460" priority="327" stopIfTrue="1" operator="equal">
      <formula>"SI"</formula>
    </cfRule>
  </conditionalFormatting>
  <conditionalFormatting sqref="X783">
    <cfRule type="cellIs" dxfId="2459" priority="324" stopIfTrue="1" operator="equal">
      <formula>"NO"</formula>
    </cfRule>
    <cfRule type="cellIs" dxfId="2458" priority="325" stopIfTrue="1" operator="equal">
      <formula>"SI"</formula>
    </cfRule>
  </conditionalFormatting>
  <conditionalFormatting sqref="X784">
    <cfRule type="cellIs" dxfId="2457" priority="322" stopIfTrue="1" operator="equal">
      <formula>"NO"</formula>
    </cfRule>
    <cfRule type="cellIs" dxfId="2456" priority="323" stopIfTrue="1" operator="equal">
      <formula>"SI"</formula>
    </cfRule>
  </conditionalFormatting>
  <conditionalFormatting sqref="X785">
    <cfRule type="cellIs" dxfId="2455" priority="320" stopIfTrue="1" operator="equal">
      <formula>"NO"</formula>
    </cfRule>
    <cfRule type="cellIs" dxfId="2454" priority="321" stopIfTrue="1" operator="equal">
      <formula>"SI"</formula>
    </cfRule>
  </conditionalFormatting>
  <conditionalFormatting sqref="X786">
    <cfRule type="cellIs" dxfId="2453" priority="318" stopIfTrue="1" operator="equal">
      <formula>"NO"</formula>
    </cfRule>
    <cfRule type="cellIs" dxfId="2452" priority="319" stopIfTrue="1" operator="equal">
      <formula>"SI"</formula>
    </cfRule>
  </conditionalFormatting>
  <conditionalFormatting sqref="X787">
    <cfRule type="cellIs" dxfId="2451" priority="316" stopIfTrue="1" operator="equal">
      <formula>"NO"</formula>
    </cfRule>
    <cfRule type="cellIs" dxfId="2450" priority="317" stopIfTrue="1" operator="equal">
      <formula>"SI"</formula>
    </cfRule>
  </conditionalFormatting>
  <conditionalFormatting sqref="L795:L804">
    <cfRule type="cellIs" dxfId="2449" priority="313" stopIfTrue="1" operator="equal">
      <formula>0</formula>
    </cfRule>
    <cfRule type="cellIs" dxfId="2448" priority="314" stopIfTrue="1" operator="greaterThanOrEqual">
      <formula>$H$6</formula>
    </cfRule>
    <cfRule type="cellIs" dxfId="2447" priority="315" stopIfTrue="1" operator="between">
      <formula>0</formula>
      <formula>$H$6</formula>
    </cfRule>
  </conditionalFormatting>
  <conditionalFormatting sqref="Z795:Z804 AB795:AB804">
    <cfRule type="cellIs" dxfId="2446" priority="311" operator="equal">
      <formula>"NO"</formula>
    </cfRule>
    <cfRule type="cellIs" dxfId="2445" priority="312" operator="greaterThan">
      <formula>0</formula>
    </cfRule>
  </conditionalFormatting>
  <conditionalFormatting sqref="H795:H798 C795:G804 I795:K804 P795:Q804 U795:U804 H803:H804 M798:N804">
    <cfRule type="cellIs" dxfId="2444" priority="310" stopIfTrue="1" operator="greaterThan">
      <formula>0</formula>
    </cfRule>
  </conditionalFormatting>
  <conditionalFormatting sqref="I795:I804 U795:U804">
    <cfRule type="cellIs" dxfId="2443" priority="309" operator="equal">
      <formula>"NO"</formula>
    </cfRule>
  </conditionalFormatting>
  <conditionalFormatting sqref="H795:H798 J795:J804 H803:H804">
    <cfRule type="cellIs" dxfId="2442" priority="308" stopIfTrue="1" operator="lessThan">
      <formula>0</formula>
    </cfRule>
  </conditionalFormatting>
  <conditionalFormatting sqref="H799">
    <cfRule type="cellIs" dxfId="2441" priority="307" stopIfTrue="1" operator="lessThan">
      <formula>0</formula>
    </cfRule>
  </conditionalFormatting>
  <conditionalFormatting sqref="H799">
    <cfRule type="cellIs" dxfId="2440" priority="306" stopIfTrue="1" operator="greaterThan">
      <formula>0</formula>
    </cfRule>
  </conditionalFormatting>
  <conditionalFormatting sqref="H800:H802">
    <cfRule type="cellIs" dxfId="2439" priority="305" stopIfTrue="1" operator="lessThan">
      <formula>0</formula>
    </cfRule>
  </conditionalFormatting>
  <conditionalFormatting sqref="H800:H802">
    <cfRule type="cellIs" dxfId="2438" priority="304" stopIfTrue="1" operator="greaterThan">
      <formula>0</formula>
    </cfRule>
  </conditionalFormatting>
  <conditionalFormatting sqref="M795">
    <cfRule type="cellIs" dxfId="2437" priority="303" stopIfTrue="1" operator="greaterThan">
      <formula>0</formula>
    </cfRule>
  </conditionalFormatting>
  <conditionalFormatting sqref="N795">
    <cfRule type="cellIs" dxfId="2436" priority="302" stopIfTrue="1" operator="greaterThan">
      <formula>0</formula>
    </cfRule>
  </conditionalFormatting>
  <conditionalFormatting sqref="M796:M797">
    <cfRule type="cellIs" dxfId="2435" priority="301" stopIfTrue="1" operator="greaterThan">
      <formula>0</formula>
    </cfRule>
  </conditionalFormatting>
  <conditionalFormatting sqref="N796:N797">
    <cfRule type="cellIs" dxfId="2434" priority="300" stopIfTrue="1" operator="greaterThan">
      <formula>0</formula>
    </cfRule>
  </conditionalFormatting>
  <conditionalFormatting sqref="X795">
    <cfRule type="cellIs" dxfId="2433" priority="298" stopIfTrue="1" operator="equal">
      <formula>"NO"</formula>
    </cfRule>
    <cfRule type="cellIs" dxfId="2432" priority="299" stopIfTrue="1" operator="equal">
      <formula>"SI"</formula>
    </cfRule>
  </conditionalFormatting>
  <conditionalFormatting sqref="X796:X797">
    <cfRule type="cellIs" dxfId="2431" priority="296" stopIfTrue="1" operator="equal">
      <formula>"NO"</formula>
    </cfRule>
    <cfRule type="cellIs" dxfId="2430" priority="297" stopIfTrue="1" operator="equal">
      <formula>"SI"</formula>
    </cfRule>
  </conditionalFormatting>
  <conditionalFormatting sqref="X798">
    <cfRule type="cellIs" dxfId="2429" priority="294" stopIfTrue="1" operator="equal">
      <formula>"NO"</formula>
    </cfRule>
    <cfRule type="cellIs" dxfId="2428" priority="295" stopIfTrue="1" operator="equal">
      <formula>"SI"</formula>
    </cfRule>
  </conditionalFormatting>
  <conditionalFormatting sqref="X799">
    <cfRule type="cellIs" dxfId="2427" priority="292" stopIfTrue="1" operator="equal">
      <formula>"NO"</formula>
    </cfRule>
    <cfRule type="cellIs" dxfId="2426" priority="293" stopIfTrue="1" operator="equal">
      <formula>"SI"</formula>
    </cfRule>
  </conditionalFormatting>
  <conditionalFormatting sqref="X800">
    <cfRule type="cellIs" dxfId="2425" priority="290" stopIfTrue="1" operator="equal">
      <formula>"NO"</formula>
    </cfRule>
    <cfRule type="cellIs" dxfId="2424" priority="291" stopIfTrue="1" operator="equal">
      <formula>"SI"</formula>
    </cfRule>
  </conditionalFormatting>
  <conditionalFormatting sqref="X801">
    <cfRule type="cellIs" dxfId="2423" priority="288" stopIfTrue="1" operator="equal">
      <formula>"NO"</formula>
    </cfRule>
    <cfRule type="cellIs" dxfId="2422" priority="289" stopIfTrue="1" operator="equal">
      <formula>"SI"</formula>
    </cfRule>
  </conditionalFormatting>
  <conditionalFormatting sqref="X802">
    <cfRule type="cellIs" dxfId="2421" priority="286" stopIfTrue="1" operator="equal">
      <formula>"NO"</formula>
    </cfRule>
    <cfRule type="cellIs" dxfId="2420" priority="287" stopIfTrue="1" operator="equal">
      <formula>"SI"</formula>
    </cfRule>
  </conditionalFormatting>
  <conditionalFormatting sqref="X803">
    <cfRule type="cellIs" dxfId="2419" priority="284" stopIfTrue="1" operator="equal">
      <formula>"NO"</formula>
    </cfRule>
    <cfRule type="cellIs" dxfId="2418" priority="285" stopIfTrue="1" operator="equal">
      <formula>"SI"</formula>
    </cfRule>
  </conditionalFormatting>
  <conditionalFormatting sqref="X804">
    <cfRule type="cellIs" dxfId="2417" priority="282" stopIfTrue="1" operator="equal">
      <formula>"NO"</formula>
    </cfRule>
    <cfRule type="cellIs" dxfId="2416" priority="283" stopIfTrue="1" operator="equal">
      <formula>"SI"</formula>
    </cfRule>
  </conditionalFormatting>
  <conditionalFormatting sqref="L812:L821">
    <cfRule type="cellIs" dxfId="2415" priority="279" stopIfTrue="1" operator="equal">
      <formula>0</formula>
    </cfRule>
    <cfRule type="cellIs" dxfId="2414" priority="280" stopIfTrue="1" operator="greaterThanOrEqual">
      <formula>$H$6</formula>
    </cfRule>
    <cfRule type="cellIs" dxfId="2413" priority="281" stopIfTrue="1" operator="between">
      <formula>0</formula>
      <formula>$H$6</formula>
    </cfRule>
  </conditionalFormatting>
  <conditionalFormatting sqref="Z812:Z821 AB812:AB821">
    <cfRule type="cellIs" dxfId="2412" priority="277" operator="equal">
      <formula>"NO"</formula>
    </cfRule>
    <cfRule type="cellIs" dxfId="2411" priority="278" operator="greaterThan">
      <formula>0</formula>
    </cfRule>
  </conditionalFormatting>
  <conditionalFormatting sqref="H812:H815 C812:G821 I812:K821 P812:Q821 U812:U821 H820:H821 M815:N821">
    <cfRule type="cellIs" dxfId="2410" priority="276" stopIfTrue="1" operator="greaterThan">
      <formula>0</formula>
    </cfRule>
  </conditionalFormatting>
  <conditionalFormatting sqref="I812:I821 U812:U821">
    <cfRule type="cellIs" dxfId="2409" priority="275" operator="equal">
      <formula>"NO"</formula>
    </cfRule>
  </conditionalFormatting>
  <conditionalFormatting sqref="H812:H815 J812:J821 H820:H821">
    <cfRule type="cellIs" dxfId="2408" priority="274" stopIfTrue="1" operator="lessThan">
      <formula>0</formula>
    </cfRule>
  </conditionalFormatting>
  <conditionalFormatting sqref="H816">
    <cfRule type="cellIs" dxfId="2407" priority="273" stopIfTrue="1" operator="lessThan">
      <formula>0</formula>
    </cfRule>
  </conditionalFormatting>
  <conditionalFormatting sqref="H816">
    <cfRule type="cellIs" dxfId="2406" priority="272" stopIfTrue="1" operator="greaterThan">
      <formula>0</formula>
    </cfRule>
  </conditionalFormatting>
  <conditionalFormatting sqref="H817:H819">
    <cfRule type="cellIs" dxfId="2405" priority="271" stopIfTrue="1" operator="lessThan">
      <formula>0</formula>
    </cfRule>
  </conditionalFormatting>
  <conditionalFormatting sqref="H817:H819">
    <cfRule type="cellIs" dxfId="2404" priority="270" stopIfTrue="1" operator="greaterThan">
      <formula>0</formula>
    </cfRule>
  </conditionalFormatting>
  <conditionalFormatting sqref="M812">
    <cfRule type="cellIs" dxfId="2403" priority="269" stopIfTrue="1" operator="greaterThan">
      <formula>0</formula>
    </cfRule>
  </conditionalFormatting>
  <conditionalFormatting sqref="N812">
    <cfRule type="cellIs" dxfId="2402" priority="268" stopIfTrue="1" operator="greaterThan">
      <formula>0</formula>
    </cfRule>
  </conditionalFormatting>
  <conditionalFormatting sqref="M813:M814">
    <cfRule type="cellIs" dxfId="2401" priority="267" stopIfTrue="1" operator="greaterThan">
      <formula>0</formula>
    </cfRule>
  </conditionalFormatting>
  <conditionalFormatting sqref="N813:N814">
    <cfRule type="cellIs" dxfId="2400" priority="266" stopIfTrue="1" operator="greaterThan">
      <formula>0</formula>
    </cfRule>
  </conditionalFormatting>
  <conditionalFormatting sqref="X812">
    <cfRule type="cellIs" dxfId="2399" priority="264" stopIfTrue="1" operator="equal">
      <formula>"NO"</formula>
    </cfRule>
    <cfRule type="cellIs" dxfId="2398" priority="265" stopIfTrue="1" operator="equal">
      <formula>"SI"</formula>
    </cfRule>
  </conditionalFormatting>
  <conditionalFormatting sqref="X813:X814">
    <cfRule type="cellIs" dxfId="2397" priority="262" stopIfTrue="1" operator="equal">
      <formula>"NO"</formula>
    </cfRule>
    <cfRule type="cellIs" dxfId="2396" priority="263" stopIfTrue="1" operator="equal">
      <formula>"SI"</formula>
    </cfRule>
  </conditionalFormatting>
  <conditionalFormatting sqref="X815">
    <cfRule type="cellIs" dxfId="2395" priority="260" stopIfTrue="1" operator="equal">
      <formula>"NO"</formula>
    </cfRule>
    <cfRule type="cellIs" dxfId="2394" priority="261" stopIfTrue="1" operator="equal">
      <formula>"SI"</formula>
    </cfRule>
  </conditionalFormatting>
  <conditionalFormatting sqref="X816">
    <cfRule type="cellIs" dxfId="2393" priority="258" stopIfTrue="1" operator="equal">
      <formula>"NO"</formula>
    </cfRule>
    <cfRule type="cellIs" dxfId="2392" priority="259" stopIfTrue="1" operator="equal">
      <formula>"SI"</formula>
    </cfRule>
  </conditionalFormatting>
  <conditionalFormatting sqref="X817">
    <cfRule type="cellIs" dxfId="2391" priority="256" stopIfTrue="1" operator="equal">
      <formula>"NO"</formula>
    </cfRule>
    <cfRule type="cellIs" dxfId="2390" priority="257" stopIfTrue="1" operator="equal">
      <formula>"SI"</formula>
    </cfRule>
  </conditionalFormatting>
  <conditionalFormatting sqref="X818">
    <cfRule type="cellIs" dxfId="2389" priority="254" stopIfTrue="1" operator="equal">
      <formula>"NO"</formula>
    </cfRule>
    <cfRule type="cellIs" dxfId="2388" priority="255" stopIfTrue="1" operator="equal">
      <formula>"SI"</formula>
    </cfRule>
  </conditionalFormatting>
  <conditionalFormatting sqref="X819">
    <cfRule type="cellIs" dxfId="2387" priority="252" stopIfTrue="1" operator="equal">
      <formula>"NO"</formula>
    </cfRule>
    <cfRule type="cellIs" dxfId="2386" priority="253" stopIfTrue="1" operator="equal">
      <formula>"SI"</formula>
    </cfRule>
  </conditionalFormatting>
  <conditionalFormatting sqref="X820">
    <cfRule type="cellIs" dxfId="2385" priority="250" stopIfTrue="1" operator="equal">
      <formula>"NO"</formula>
    </cfRule>
    <cfRule type="cellIs" dxfId="2384" priority="251" stopIfTrue="1" operator="equal">
      <formula>"SI"</formula>
    </cfRule>
  </conditionalFormatting>
  <conditionalFormatting sqref="X821">
    <cfRule type="cellIs" dxfId="2383" priority="248" stopIfTrue="1" operator="equal">
      <formula>"NO"</formula>
    </cfRule>
    <cfRule type="cellIs" dxfId="2382" priority="249" stopIfTrue="1" operator="equal">
      <formula>"SI"</formula>
    </cfRule>
  </conditionalFormatting>
  <conditionalFormatting sqref="L829:L838">
    <cfRule type="cellIs" dxfId="2381" priority="245" stopIfTrue="1" operator="equal">
      <formula>0</formula>
    </cfRule>
    <cfRule type="cellIs" dxfId="2380" priority="246" stopIfTrue="1" operator="greaterThanOrEqual">
      <formula>$H$6</formula>
    </cfRule>
    <cfRule type="cellIs" dxfId="2379" priority="247" stopIfTrue="1" operator="between">
      <formula>0</formula>
      <formula>$H$6</formula>
    </cfRule>
  </conditionalFormatting>
  <conditionalFormatting sqref="Z829:Z838 AB829:AB838">
    <cfRule type="cellIs" dxfId="2378" priority="243" operator="equal">
      <formula>"NO"</formula>
    </cfRule>
    <cfRule type="cellIs" dxfId="2377" priority="244" operator="greaterThan">
      <formula>0</formula>
    </cfRule>
  </conditionalFormatting>
  <conditionalFormatting sqref="H829:H832 C829:G838 I829:K838 P829:Q838 U829:U838 H837:H838 M832:N838">
    <cfRule type="cellIs" dxfId="2376" priority="242" stopIfTrue="1" operator="greaterThan">
      <formula>0</formula>
    </cfRule>
  </conditionalFormatting>
  <conditionalFormatting sqref="I829:I838 U829:U838">
    <cfRule type="cellIs" dxfId="2375" priority="241" operator="equal">
      <formula>"NO"</formula>
    </cfRule>
  </conditionalFormatting>
  <conditionalFormatting sqref="H829:H832 J829:J838 H837:H838">
    <cfRule type="cellIs" dxfId="2374" priority="240" stopIfTrue="1" operator="lessThan">
      <formula>0</formula>
    </cfRule>
  </conditionalFormatting>
  <conditionalFormatting sqref="H833">
    <cfRule type="cellIs" dxfId="2373" priority="239" stopIfTrue="1" operator="lessThan">
      <formula>0</formula>
    </cfRule>
  </conditionalFormatting>
  <conditionalFormatting sqref="H833">
    <cfRule type="cellIs" dxfId="2372" priority="238" stopIfTrue="1" operator="greaterThan">
      <formula>0</formula>
    </cfRule>
  </conditionalFormatting>
  <conditionalFormatting sqref="H834:H836">
    <cfRule type="cellIs" dxfId="2371" priority="237" stopIfTrue="1" operator="lessThan">
      <formula>0</formula>
    </cfRule>
  </conditionalFormatting>
  <conditionalFormatting sqref="H834:H836">
    <cfRule type="cellIs" dxfId="2370" priority="236" stopIfTrue="1" operator="greaterThan">
      <formula>0</formula>
    </cfRule>
  </conditionalFormatting>
  <conditionalFormatting sqref="M829">
    <cfRule type="cellIs" dxfId="2369" priority="235" stopIfTrue="1" operator="greaterThan">
      <formula>0</formula>
    </cfRule>
  </conditionalFormatting>
  <conditionalFormatting sqref="N829">
    <cfRule type="cellIs" dxfId="2368" priority="234" stopIfTrue="1" operator="greaterThan">
      <formula>0</formula>
    </cfRule>
  </conditionalFormatting>
  <conditionalFormatting sqref="M830:M831">
    <cfRule type="cellIs" dxfId="2367" priority="233" stopIfTrue="1" operator="greaterThan">
      <formula>0</formula>
    </cfRule>
  </conditionalFormatting>
  <conditionalFormatting sqref="N830:N831">
    <cfRule type="cellIs" dxfId="2366" priority="232" stopIfTrue="1" operator="greaterThan">
      <formula>0</formula>
    </cfRule>
  </conditionalFormatting>
  <conditionalFormatting sqref="X829">
    <cfRule type="cellIs" dxfId="2365" priority="230" stopIfTrue="1" operator="equal">
      <formula>"NO"</formula>
    </cfRule>
    <cfRule type="cellIs" dxfId="2364" priority="231" stopIfTrue="1" operator="equal">
      <formula>"SI"</formula>
    </cfRule>
  </conditionalFormatting>
  <conditionalFormatting sqref="X830:X831">
    <cfRule type="cellIs" dxfId="2363" priority="228" stopIfTrue="1" operator="equal">
      <formula>"NO"</formula>
    </cfRule>
    <cfRule type="cellIs" dxfId="2362" priority="229" stopIfTrue="1" operator="equal">
      <formula>"SI"</formula>
    </cfRule>
  </conditionalFormatting>
  <conditionalFormatting sqref="X832">
    <cfRule type="cellIs" dxfId="2361" priority="226" stopIfTrue="1" operator="equal">
      <formula>"NO"</formula>
    </cfRule>
    <cfRule type="cellIs" dxfId="2360" priority="227" stopIfTrue="1" operator="equal">
      <formula>"SI"</formula>
    </cfRule>
  </conditionalFormatting>
  <conditionalFormatting sqref="X833">
    <cfRule type="cellIs" dxfId="2359" priority="224" stopIfTrue="1" operator="equal">
      <formula>"NO"</formula>
    </cfRule>
    <cfRule type="cellIs" dxfId="2358" priority="225" stopIfTrue="1" operator="equal">
      <formula>"SI"</formula>
    </cfRule>
  </conditionalFormatting>
  <conditionalFormatting sqref="X834">
    <cfRule type="cellIs" dxfId="2357" priority="222" stopIfTrue="1" operator="equal">
      <formula>"NO"</formula>
    </cfRule>
    <cfRule type="cellIs" dxfId="2356" priority="223" stopIfTrue="1" operator="equal">
      <formula>"SI"</formula>
    </cfRule>
  </conditionalFormatting>
  <conditionalFormatting sqref="X835">
    <cfRule type="cellIs" dxfId="2355" priority="220" stopIfTrue="1" operator="equal">
      <formula>"NO"</formula>
    </cfRule>
    <cfRule type="cellIs" dxfId="2354" priority="221" stopIfTrue="1" operator="equal">
      <formula>"SI"</formula>
    </cfRule>
  </conditionalFormatting>
  <conditionalFormatting sqref="X836">
    <cfRule type="cellIs" dxfId="2353" priority="218" stopIfTrue="1" operator="equal">
      <formula>"NO"</formula>
    </cfRule>
    <cfRule type="cellIs" dxfId="2352" priority="219" stopIfTrue="1" operator="equal">
      <formula>"SI"</formula>
    </cfRule>
  </conditionalFormatting>
  <conditionalFormatting sqref="X837">
    <cfRule type="cellIs" dxfId="2351" priority="216" stopIfTrue="1" operator="equal">
      <formula>"NO"</formula>
    </cfRule>
    <cfRule type="cellIs" dxfId="2350" priority="217" stopIfTrue="1" operator="equal">
      <formula>"SI"</formula>
    </cfRule>
  </conditionalFormatting>
  <conditionalFormatting sqref="X838">
    <cfRule type="cellIs" dxfId="2349" priority="214" stopIfTrue="1" operator="equal">
      <formula>"NO"</formula>
    </cfRule>
    <cfRule type="cellIs" dxfId="2348" priority="215" stopIfTrue="1" operator="equal">
      <formula>"SI"</formula>
    </cfRule>
  </conditionalFormatting>
  <conditionalFormatting sqref="L846:L855">
    <cfRule type="cellIs" dxfId="2347" priority="211" stopIfTrue="1" operator="equal">
      <formula>0</formula>
    </cfRule>
    <cfRule type="cellIs" dxfId="2346" priority="212" stopIfTrue="1" operator="greaterThanOrEqual">
      <formula>$H$6</formula>
    </cfRule>
    <cfRule type="cellIs" dxfId="2345" priority="213" stopIfTrue="1" operator="between">
      <formula>0</formula>
      <formula>$H$6</formula>
    </cfRule>
  </conditionalFormatting>
  <conditionalFormatting sqref="Z846:Z855 AB846:AB855">
    <cfRule type="cellIs" dxfId="2344" priority="209" operator="equal">
      <formula>"NO"</formula>
    </cfRule>
    <cfRule type="cellIs" dxfId="2343" priority="210" operator="greaterThan">
      <formula>0</formula>
    </cfRule>
  </conditionalFormatting>
  <conditionalFormatting sqref="H846:H849 C846:G855 I846:K855 P846:Q855 U846:U855 H854:H855 M849:N855">
    <cfRule type="cellIs" dxfId="2342" priority="208" stopIfTrue="1" operator="greaterThan">
      <formula>0</formula>
    </cfRule>
  </conditionalFormatting>
  <conditionalFormatting sqref="I846:I855 U846:U855">
    <cfRule type="cellIs" dxfId="2341" priority="207" operator="equal">
      <formula>"NO"</formula>
    </cfRule>
  </conditionalFormatting>
  <conditionalFormatting sqref="H846:H849 J846:J855 H854:H855">
    <cfRule type="cellIs" dxfId="2340" priority="206" stopIfTrue="1" operator="lessThan">
      <formula>0</formula>
    </cfRule>
  </conditionalFormatting>
  <conditionalFormatting sqref="H850">
    <cfRule type="cellIs" dxfId="2339" priority="205" stopIfTrue="1" operator="lessThan">
      <formula>0</formula>
    </cfRule>
  </conditionalFormatting>
  <conditionalFormatting sqref="H850">
    <cfRule type="cellIs" dxfId="2338" priority="204" stopIfTrue="1" operator="greaterThan">
      <formula>0</formula>
    </cfRule>
  </conditionalFormatting>
  <conditionalFormatting sqref="H851:H853">
    <cfRule type="cellIs" dxfId="2337" priority="203" stopIfTrue="1" operator="lessThan">
      <formula>0</formula>
    </cfRule>
  </conditionalFormatting>
  <conditionalFormatting sqref="H851:H853">
    <cfRule type="cellIs" dxfId="2336" priority="202" stopIfTrue="1" operator="greaterThan">
      <formula>0</formula>
    </cfRule>
  </conditionalFormatting>
  <conditionalFormatting sqref="N847:N848">
    <cfRule type="cellIs" dxfId="2335" priority="198" stopIfTrue="1" operator="greaterThan">
      <formula>0</formula>
    </cfRule>
  </conditionalFormatting>
  <conditionalFormatting sqref="X846">
    <cfRule type="cellIs" dxfId="2334" priority="196" stopIfTrue="1" operator="equal">
      <formula>"NO"</formula>
    </cfRule>
    <cfRule type="cellIs" dxfId="2333" priority="197" stopIfTrue="1" operator="equal">
      <formula>"SI"</formula>
    </cfRule>
  </conditionalFormatting>
  <conditionalFormatting sqref="X847:X848">
    <cfRule type="cellIs" dxfId="2332" priority="194" stopIfTrue="1" operator="equal">
      <formula>"NO"</formula>
    </cfRule>
    <cfRule type="cellIs" dxfId="2331" priority="195" stopIfTrue="1" operator="equal">
      <formula>"SI"</formula>
    </cfRule>
  </conditionalFormatting>
  <conditionalFormatting sqref="X849">
    <cfRule type="cellIs" dxfId="2330" priority="192" stopIfTrue="1" operator="equal">
      <formula>"NO"</formula>
    </cfRule>
    <cfRule type="cellIs" dxfId="2329" priority="193" stopIfTrue="1" operator="equal">
      <formula>"SI"</formula>
    </cfRule>
  </conditionalFormatting>
  <conditionalFormatting sqref="X850">
    <cfRule type="cellIs" dxfId="2328" priority="190" stopIfTrue="1" operator="equal">
      <formula>"NO"</formula>
    </cfRule>
    <cfRule type="cellIs" dxfId="2327" priority="191" stopIfTrue="1" operator="equal">
      <formula>"SI"</formula>
    </cfRule>
  </conditionalFormatting>
  <conditionalFormatting sqref="X851">
    <cfRule type="cellIs" dxfId="2326" priority="188" stopIfTrue="1" operator="equal">
      <formula>"NO"</formula>
    </cfRule>
    <cfRule type="cellIs" dxfId="2325" priority="189" stopIfTrue="1" operator="equal">
      <formula>"SI"</formula>
    </cfRule>
  </conditionalFormatting>
  <conditionalFormatting sqref="X852">
    <cfRule type="cellIs" dxfId="2324" priority="186" stopIfTrue="1" operator="equal">
      <formula>"NO"</formula>
    </cfRule>
    <cfRule type="cellIs" dxfId="2323" priority="187" stopIfTrue="1" operator="equal">
      <formula>"SI"</formula>
    </cfRule>
  </conditionalFormatting>
  <conditionalFormatting sqref="X853">
    <cfRule type="cellIs" dxfId="2322" priority="184" stopIfTrue="1" operator="equal">
      <formula>"NO"</formula>
    </cfRule>
    <cfRule type="cellIs" dxfId="2321" priority="185" stopIfTrue="1" operator="equal">
      <formula>"SI"</formula>
    </cfRule>
  </conditionalFormatting>
  <conditionalFormatting sqref="X854">
    <cfRule type="cellIs" dxfId="2320" priority="182" stopIfTrue="1" operator="equal">
      <formula>"NO"</formula>
    </cfRule>
    <cfRule type="cellIs" dxfId="2319" priority="183" stopIfTrue="1" operator="equal">
      <formula>"SI"</formula>
    </cfRule>
  </conditionalFormatting>
  <conditionalFormatting sqref="X855">
    <cfRule type="cellIs" dxfId="2318" priority="180" stopIfTrue="1" operator="equal">
      <formula>"NO"</formula>
    </cfRule>
    <cfRule type="cellIs" dxfId="2317" priority="181" stopIfTrue="1" operator="equal">
      <formula>"SI"</formula>
    </cfRule>
  </conditionalFormatting>
  <conditionalFormatting sqref="L863:L872">
    <cfRule type="cellIs" dxfId="2316" priority="177" stopIfTrue="1" operator="equal">
      <formula>0</formula>
    </cfRule>
    <cfRule type="cellIs" dxfId="2315" priority="178" stopIfTrue="1" operator="greaterThanOrEqual">
      <formula>$H$6</formula>
    </cfRule>
    <cfRule type="cellIs" dxfId="2314" priority="179" stopIfTrue="1" operator="between">
      <formula>0</formula>
      <formula>$H$6</formula>
    </cfRule>
  </conditionalFormatting>
  <conditionalFormatting sqref="Z863:Z872 AB863:AB872">
    <cfRule type="cellIs" dxfId="2313" priority="175" operator="equal">
      <formula>"NO"</formula>
    </cfRule>
    <cfRule type="cellIs" dxfId="2312" priority="176" operator="greaterThan">
      <formula>0</formula>
    </cfRule>
  </conditionalFormatting>
  <conditionalFormatting sqref="H863:H866 C863:G872 I863:K872 P863:Q872 U863:U872 H871:H872 M866:N872">
    <cfRule type="cellIs" dxfId="2311" priority="174" stopIfTrue="1" operator="greaterThan">
      <formula>0</formula>
    </cfRule>
  </conditionalFormatting>
  <conditionalFormatting sqref="I863:I872 U863:U872">
    <cfRule type="cellIs" dxfId="2310" priority="173" operator="equal">
      <formula>"NO"</formula>
    </cfRule>
  </conditionalFormatting>
  <conditionalFormatting sqref="H863:H866 J863:J872 H871:H872">
    <cfRule type="cellIs" dxfId="2309" priority="172" stopIfTrue="1" operator="lessThan">
      <formula>0</formula>
    </cfRule>
  </conditionalFormatting>
  <conditionalFormatting sqref="H867">
    <cfRule type="cellIs" dxfId="2308" priority="171" stopIfTrue="1" operator="lessThan">
      <formula>0</formula>
    </cfRule>
  </conditionalFormatting>
  <conditionalFormatting sqref="H867">
    <cfRule type="cellIs" dxfId="2307" priority="170" stopIfTrue="1" operator="greaterThan">
      <formula>0</formula>
    </cfRule>
  </conditionalFormatting>
  <conditionalFormatting sqref="H868:H870">
    <cfRule type="cellIs" dxfId="2306" priority="169" stopIfTrue="1" operator="lessThan">
      <formula>0</formula>
    </cfRule>
  </conditionalFormatting>
  <conditionalFormatting sqref="H868:H870">
    <cfRule type="cellIs" dxfId="2305" priority="168" stopIfTrue="1" operator="greaterThan">
      <formula>0</formula>
    </cfRule>
  </conditionalFormatting>
  <conditionalFormatting sqref="M863">
    <cfRule type="cellIs" dxfId="2304" priority="167" stopIfTrue="1" operator="greaterThan">
      <formula>0</formula>
    </cfRule>
  </conditionalFormatting>
  <conditionalFormatting sqref="N863">
    <cfRule type="cellIs" dxfId="2303" priority="166" stopIfTrue="1" operator="greaterThan">
      <formula>0</formula>
    </cfRule>
  </conditionalFormatting>
  <conditionalFormatting sqref="M864:M865">
    <cfRule type="cellIs" dxfId="2302" priority="165" stopIfTrue="1" operator="greaterThan">
      <formula>0</formula>
    </cfRule>
  </conditionalFormatting>
  <conditionalFormatting sqref="N864:N865">
    <cfRule type="cellIs" dxfId="2301" priority="164" stopIfTrue="1" operator="greaterThan">
      <formula>0</formula>
    </cfRule>
  </conditionalFormatting>
  <conditionalFormatting sqref="X863">
    <cfRule type="cellIs" dxfId="2300" priority="162" stopIfTrue="1" operator="equal">
      <formula>"NO"</formula>
    </cfRule>
    <cfRule type="cellIs" dxfId="2299" priority="163" stopIfTrue="1" operator="equal">
      <formula>"SI"</formula>
    </cfRule>
  </conditionalFormatting>
  <conditionalFormatting sqref="X864:X865">
    <cfRule type="cellIs" dxfId="2298" priority="160" stopIfTrue="1" operator="equal">
      <formula>"NO"</formula>
    </cfRule>
    <cfRule type="cellIs" dxfId="2297" priority="161" stopIfTrue="1" operator="equal">
      <formula>"SI"</formula>
    </cfRule>
  </conditionalFormatting>
  <conditionalFormatting sqref="X866">
    <cfRule type="cellIs" dxfId="2296" priority="158" stopIfTrue="1" operator="equal">
      <formula>"NO"</formula>
    </cfRule>
    <cfRule type="cellIs" dxfId="2295" priority="159" stopIfTrue="1" operator="equal">
      <formula>"SI"</formula>
    </cfRule>
  </conditionalFormatting>
  <conditionalFormatting sqref="X867">
    <cfRule type="cellIs" dxfId="2294" priority="156" stopIfTrue="1" operator="equal">
      <formula>"NO"</formula>
    </cfRule>
    <cfRule type="cellIs" dxfId="2293" priority="157" stopIfTrue="1" operator="equal">
      <formula>"SI"</formula>
    </cfRule>
  </conditionalFormatting>
  <conditionalFormatting sqref="X868">
    <cfRule type="cellIs" dxfId="2292" priority="154" stopIfTrue="1" operator="equal">
      <formula>"NO"</formula>
    </cfRule>
    <cfRule type="cellIs" dxfId="2291" priority="155" stopIfTrue="1" operator="equal">
      <formula>"SI"</formula>
    </cfRule>
  </conditionalFormatting>
  <conditionalFormatting sqref="X869">
    <cfRule type="cellIs" dxfId="2290" priority="152" stopIfTrue="1" operator="equal">
      <formula>"NO"</formula>
    </cfRule>
    <cfRule type="cellIs" dxfId="2289" priority="153" stopIfTrue="1" operator="equal">
      <formula>"SI"</formula>
    </cfRule>
  </conditionalFormatting>
  <conditionalFormatting sqref="X870">
    <cfRule type="cellIs" dxfId="2288" priority="150" stopIfTrue="1" operator="equal">
      <formula>"NO"</formula>
    </cfRule>
    <cfRule type="cellIs" dxfId="2287" priority="151" stopIfTrue="1" operator="equal">
      <formula>"SI"</formula>
    </cfRule>
  </conditionalFormatting>
  <conditionalFormatting sqref="X871">
    <cfRule type="cellIs" dxfId="2286" priority="148" stopIfTrue="1" operator="equal">
      <formula>"NO"</formula>
    </cfRule>
    <cfRule type="cellIs" dxfId="2285" priority="149" stopIfTrue="1" operator="equal">
      <formula>"SI"</formula>
    </cfRule>
  </conditionalFormatting>
  <conditionalFormatting sqref="X872">
    <cfRule type="cellIs" dxfId="2284" priority="146" stopIfTrue="1" operator="equal">
      <formula>"NO"</formula>
    </cfRule>
    <cfRule type="cellIs" dxfId="2283" priority="147" stopIfTrue="1" operator="equal">
      <formula>"SI"</formula>
    </cfRule>
  </conditionalFormatting>
  <conditionalFormatting sqref="H885:H887">
    <cfRule type="cellIs" dxfId="2282" priority="135" stopIfTrue="1" operator="lessThan">
      <formula>0</formula>
    </cfRule>
  </conditionalFormatting>
  <conditionalFormatting sqref="H885:H887">
    <cfRule type="cellIs" dxfId="2281" priority="134" stopIfTrue="1" operator="greaterThan">
      <formula>0</formula>
    </cfRule>
  </conditionalFormatting>
  <conditionalFormatting sqref="M880">
    <cfRule type="cellIs" dxfId="2280" priority="133" stopIfTrue="1" operator="greaterThan">
      <formula>0</formula>
    </cfRule>
  </conditionalFormatting>
  <conditionalFormatting sqref="N880">
    <cfRule type="cellIs" dxfId="2279" priority="132" stopIfTrue="1" operator="greaterThan">
      <formula>0</formula>
    </cfRule>
  </conditionalFormatting>
  <conditionalFormatting sqref="M881:M882">
    <cfRule type="cellIs" dxfId="2278" priority="131" stopIfTrue="1" operator="greaterThan">
      <formula>0</formula>
    </cfRule>
  </conditionalFormatting>
  <conditionalFormatting sqref="N881:N882">
    <cfRule type="cellIs" dxfId="2277" priority="130" stopIfTrue="1" operator="greaterThan">
      <formula>0</formula>
    </cfRule>
  </conditionalFormatting>
  <conditionalFormatting sqref="X880">
    <cfRule type="cellIs" dxfId="2276" priority="128" stopIfTrue="1" operator="equal">
      <formula>"NO"</formula>
    </cfRule>
    <cfRule type="cellIs" dxfId="2275" priority="129" stopIfTrue="1" operator="equal">
      <formula>"SI"</formula>
    </cfRule>
  </conditionalFormatting>
  <conditionalFormatting sqref="X881:X882">
    <cfRule type="cellIs" dxfId="2274" priority="126" stopIfTrue="1" operator="equal">
      <formula>"NO"</formula>
    </cfRule>
    <cfRule type="cellIs" dxfId="2273" priority="127" stopIfTrue="1" operator="equal">
      <formula>"SI"</formula>
    </cfRule>
  </conditionalFormatting>
  <conditionalFormatting sqref="X883">
    <cfRule type="cellIs" dxfId="2272" priority="124" stopIfTrue="1" operator="equal">
      <formula>"NO"</formula>
    </cfRule>
    <cfRule type="cellIs" dxfId="2271" priority="125" stopIfTrue="1" operator="equal">
      <formula>"SI"</formula>
    </cfRule>
  </conditionalFormatting>
  <conditionalFormatting sqref="X884">
    <cfRule type="cellIs" dxfId="2270" priority="122" stopIfTrue="1" operator="equal">
      <formula>"NO"</formula>
    </cfRule>
    <cfRule type="cellIs" dxfId="2269" priority="123" stopIfTrue="1" operator="equal">
      <formula>"SI"</formula>
    </cfRule>
  </conditionalFormatting>
  <conditionalFormatting sqref="X885">
    <cfRule type="cellIs" dxfId="2268" priority="120" stopIfTrue="1" operator="equal">
      <formula>"NO"</formula>
    </cfRule>
    <cfRule type="cellIs" dxfId="2267" priority="121" stopIfTrue="1" operator="equal">
      <formula>"SI"</formula>
    </cfRule>
  </conditionalFormatting>
  <conditionalFormatting sqref="X886">
    <cfRule type="cellIs" dxfId="2266" priority="118" stopIfTrue="1" operator="equal">
      <formula>"NO"</formula>
    </cfRule>
    <cfRule type="cellIs" dxfId="2265" priority="119" stopIfTrue="1" operator="equal">
      <formula>"SI"</formula>
    </cfRule>
  </conditionalFormatting>
  <conditionalFormatting sqref="X887">
    <cfRule type="cellIs" dxfId="2264" priority="116" stopIfTrue="1" operator="equal">
      <formula>"NO"</formula>
    </cfRule>
    <cfRule type="cellIs" dxfId="2263" priority="117" stopIfTrue="1" operator="equal">
      <formula>"SI"</formula>
    </cfRule>
  </conditionalFormatting>
  <conditionalFormatting sqref="X888">
    <cfRule type="cellIs" dxfId="2262" priority="114" stopIfTrue="1" operator="equal">
      <formula>"NO"</formula>
    </cfRule>
    <cfRule type="cellIs" dxfId="2261" priority="115" stopIfTrue="1" operator="equal">
      <formula>"SI"</formula>
    </cfRule>
  </conditionalFormatting>
  <conditionalFormatting sqref="X889">
    <cfRule type="cellIs" dxfId="2260" priority="112" stopIfTrue="1" operator="equal">
      <formula>"NO"</formula>
    </cfRule>
    <cfRule type="cellIs" dxfId="2259" priority="113" stopIfTrue="1" operator="equal">
      <formula>"SI"</formula>
    </cfRule>
  </conditionalFormatting>
  <conditionalFormatting sqref="L897:L906">
    <cfRule type="cellIs" dxfId="2258" priority="109" stopIfTrue="1" operator="equal">
      <formula>0</formula>
    </cfRule>
    <cfRule type="cellIs" dxfId="2257" priority="110" stopIfTrue="1" operator="greaterThanOrEqual">
      <formula>$H$6</formula>
    </cfRule>
    <cfRule type="cellIs" dxfId="2256" priority="111" stopIfTrue="1" operator="between">
      <formula>0</formula>
      <formula>$H$6</formula>
    </cfRule>
  </conditionalFormatting>
  <conditionalFormatting sqref="Z897:Z906 AB897:AB906">
    <cfRule type="cellIs" dxfId="2255" priority="107" operator="equal">
      <formula>"NO"</formula>
    </cfRule>
    <cfRule type="cellIs" dxfId="2254" priority="108" operator="greaterThan">
      <formula>0</formula>
    </cfRule>
  </conditionalFormatting>
  <conditionalFormatting sqref="H897:H900 C897:G906 I897:K906 P897:Q906 U897:U906 H905:H906 M900:N906">
    <cfRule type="cellIs" dxfId="2253" priority="106" stopIfTrue="1" operator="greaterThan">
      <formula>0</formula>
    </cfRule>
  </conditionalFormatting>
  <conditionalFormatting sqref="I897:I906 U897:U906">
    <cfRule type="cellIs" dxfId="2252" priority="105" operator="equal">
      <formula>"NO"</formula>
    </cfRule>
  </conditionalFormatting>
  <conditionalFormatting sqref="H897:H900 J897:J906 H905:H906">
    <cfRule type="cellIs" dxfId="2251" priority="104" stopIfTrue="1" operator="lessThan">
      <formula>0</formula>
    </cfRule>
  </conditionalFormatting>
  <conditionalFormatting sqref="H901">
    <cfRule type="cellIs" dxfId="2250" priority="103" stopIfTrue="1" operator="lessThan">
      <formula>0</formula>
    </cfRule>
  </conditionalFormatting>
  <conditionalFormatting sqref="H901">
    <cfRule type="cellIs" dxfId="2249" priority="102" stopIfTrue="1" operator="greaterThan">
      <formula>0</formula>
    </cfRule>
  </conditionalFormatting>
  <conditionalFormatting sqref="H902:H904">
    <cfRule type="cellIs" dxfId="2248" priority="101" stopIfTrue="1" operator="lessThan">
      <formula>0</formula>
    </cfRule>
  </conditionalFormatting>
  <conditionalFormatting sqref="H902:H904">
    <cfRule type="cellIs" dxfId="2247" priority="100" stopIfTrue="1" operator="greaterThan">
      <formula>0</formula>
    </cfRule>
  </conditionalFormatting>
  <conditionalFormatting sqref="M897">
    <cfRule type="cellIs" dxfId="2246" priority="99" stopIfTrue="1" operator="greaterThan">
      <formula>0</formula>
    </cfRule>
  </conditionalFormatting>
  <conditionalFormatting sqref="N897">
    <cfRule type="cellIs" dxfId="2245" priority="98" stopIfTrue="1" operator="greaterThan">
      <formula>0</formula>
    </cfRule>
  </conditionalFormatting>
  <conditionalFormatting sqref="M898:M899">
    <cfRule type="cellIs" dxfId="2244" priority="97" stopIfTrue="1" operator="greaterThan">
      <formula>0</formula>
    </cfRule>
  </conditionalFormatting>
  <conditionalFormatting sqref="N898:N899">
    <cfRule type="cellIs" dxfId="2243" priority="96" stopIfTrue="1" operator="greaterThan">
      <formula>0</formula>
    </cfRule>
  </conditionalFormatting>
  <conditionalFormatting sqref="X897">
    <cfRule type="cellIs" dxfId="2242" priority="94" stopIfTrue="1" operator="equal">
      <formula>"NO"</formula>
    </cfRule>
    <cfRule type="cellIs" dxfId="2241" priority="95" stopIfTrue="1" operator="equal">
      <formula>"SI"</formula>
    </cfRule>
  </conditionalFormatting>
  <conditionalFormatting sqref="X898:X899">
    <cfRule type="cellIs" dxfId="2240" priority="92" stopIfTrue="1" operator="equal">
      <formula>"NO"</formula>
    </cfRule>
    <cfRule type="cellIs" dxfId="2239" priority="93" stopIfTrue="1" operator="equal">
      <formula>"SI"</formula>
    </cfRule>
  </conditionalFormatting>
  <conditionalFormatting sqref="X900">
    <cfRule type="cellIs" dxfId="2238" priority="90" stopIfTrue="1" operator="equal">
      <formula>"NO"</formula>
    </cfRule>
    <cfRule type="cellIs" dxfId="2237" priority="91" stopIfTrue="1" operator="equal">
      <formula>"SI"</formula>
    </cfRule>
  </conditionalFormatting>
  <conditionalFormatting sqref="X901">
    <cfRule type="cellIs" dxfId="2236" priority="88" stopIfTrue="1" operator="equal">
      <formula>"NO"</formula>
    </cfRule>
    <cfRule type="cellIs" dxfId="2235" priority="89" stopIfTrue="1" operator="equal">
      <formula>"SI"</formula>
    </cfRule>
  </conditionalFormatting>
  <conditionalFormatting sqref="X902">
    <cfRule type="cellIs" dxfId="2234" priority="86" stopIfTrue="1" operator="equal">
      <formula>"NO"</formula>
    </cfRule>
    <cfRule type="cellIs" dxfId="2233" priority="87" stopIfTrue="1" operator="equal">
      <formula>"SI"</formula>
    </cfRule>
  </conditionalFormatting>
  <conditionalFormatting sqref="X903">
    <cfRule type="cellIs" dxfId="2232" priority="84" stopIfTrue="1" operator="equal">
      <formula>"NO"</formula>
    </cfRule>
    <cfRule type="cellIs" dxfId="2231" priority="85" stopIfTrue="1" operator="equal">
      <formula>"SI"</formula>
    </cfRule>
  </conditionalFormatting>
  <conditionalFormatting sqref="X904">
    <cfRule type="cellIs" dxfId="2230" priority="82" stopIfTrue="1" operator="equal">
      <formula>"NO"</formula>
    </cfRule>
    <cfRule type="cellIs" dxfId="2229" priority="83" stopIfTrue="1" operator="equal">
      <formula>"SI"</formula>
    </cfRule>
  </conditionalFormatting>
  <conditionalFormatting sqref="X905">
    <cfRule type="cellIs" dxfId="2228" priority="80" stopIfTrue="1" operator="equal">
      <formula>"NO"</formula>
    </cfRule>
    <cfRule type="cellIs" dxfId="2227" priority="81" stopIfTrue="1" operator="equal">
      <formula>"SI"</formula>
    </cfRule>
  </conditionalFormatting>
  <conditionalFormatting sqref="X906">
    <cfRule type="cellIs" dxfId="2226" priority="78" stopIfTrue="1" operator="equal">
      <formula>"NO"</formula>
    </cfRule>
    <cfRule type="cellIs" dxfId="2225" priority="79" stopIfTrue="1" operator="equal">
      <formula>"SI"</formula>
    </cfRule>
  </conditionalFormatting>
  <conditionalFormatting sqref="L914:L923">
    <cfRule type="cellIs" dxfId="2224" priority="75" stopIfTrue="1" operator="equal">
      <formula>0</formula>
    </cfRule>
    <cfRule type="cellIs" dxfId="2223" priority="76" stopIfTrue="1" operator="greaterThanOrEqual">
      <formula>$H$6</formula>
    </cfRule>
    <cfRule type="cellIs" dxfId="2222" priority="77" stopIfTrue="1" operator="between">
      <formula>0</formula>
      <formula>$H$6</formula>
    </cfRule>
  </conditionalFormatting>
  <conditionalFormatting sqref="Z914:Z923 AB914:AB923">
    <cfRule type="cellIs" dxfId="2221" priority="73" operator="equal">
      <formula>"NO"</formula>
    </cfRule>
    <cfRule type="cellIs" dxfId="2220" priority="74" operator="greaterThan">
      <formula>0</formula>
    </cfRule>
  </conditionalFormatting>
  <conditionalFormatting sqref="H914:H917 C914:G923 I914:K923 P914:Q923 U914:U923 H922:H923 M917:N923">
    <cfRule type="cellIs" dxfId="2219" priority="72" stopIfTrue="1" operator="greaterThan">
      <formula>0</formula>
    </cfRule>
  </conditionalFormatting>
  <conditionalFormatting sqref="I914:I923 U914:U923">
    <cfRule type="cellIs" dxfId="2218" priority="71" operator="equal">
      <formula>"NO"</formula>
    </cfRule>
  </conditionalFormatting>
  <conditionalFormatting sqref="H914:H917 J914:J923 H922:H923">
    <cfRule type="cellIs" dxfId="2217" priority="70" stopIfTrue="1" operator="lessThan">
      <formula>0</formula>
    </cfRule>
  </conditionalFormatting>
  <conditionalFormatting sqref="H918">
    <cfRule type="cellIs" dxfId="2216" priority="69" stopIfTrue="1" operator="lessThan">
      <formula>0</formula>
    </cfRule>
  </conditionalFormatting>
  <conditionalFormatting sqref="H918">
    <cfRule type="cellIs" dxfId="2215" priority="68" stopIfTrue="1" operator="greaterThan">
      <formula>0</formula>
    </cfRule>
  </conditionalFormatting>
  <conditionalFormatting sqref="H919:H921">
    <cfRule type="cellIs" dxfId="2214" priority="67" stopIfTrue="1" operator="lessThan">
      <formula>0</formula>
    </cfRule>
  </conditionalFormatting>
  <conditionalFormatting sqref="H919:H921">
    <cfRule type="cellIs" dxfId="2213" priority="66" stopIfTrue="1" operator="greaterThan">
      <formula>0</formula>
    </cfRule>
  </conditionalFormatting>
  <conditionalFormatting sqref="M914">
    <cfRule type="cellIs" dxfId="2212" priority="65" stopIfTrue="1" operator="greaterThan">
      <formula>0</formula>
    </cfRule>
  </conditionalFormatting>
  <conditionalFormatting sqref="N914">
    <cfRule type="cellIs" dxfId="2211" priority="64" stopIfTrue="1" operator="greaterThan">
      <formula>0</formula>
    </cfRule>
  </conditionalFormatting>
  <conditionalFormatting sqref="M915:M916">
    <cfRule type="cellIs" dxfId="2210" priority="63" stopIfTrue="1" operator="greaterThan">
      <formula>0</formula>
    </cfRule>
  </conditionalFormatting>
  <conditionalFormatting sqref="N915:N916">
    <cfRule type="cellIs" dxfId="2209" priority="62" stopIfTrue="1" operator="greaterThan">
      <formula>0</formula>
    </cfRule>
  </conditionalFormatting>
  <conditionalFormatting sqref="X914">
    <cfRule type="cellIs" dxfId="2208" priority="60" stopIfTrue="1" operator="equal">
      <formula>"NO"</formula>
    </cfRule>
    <cfRule type="cellIs" dxfId="2207" priority="61" stopIfTrue="1" operator="equal">
      <formula>"SI"</formula>
    </cfRule>
  </conditionalFormatting>
  <conditionalFormatting sqref="X915:X916">
    <cfRule type="cellIs" dxfId="2206" priority="58" stopIfTrue="1" operator="equal">
      <formula>"NO"</formula>
    </cfRule>
    <cfRule type="cellIs" dxfId="2205" priority="59" stopIfTrue="1" operator="equal">
      <formula>"SI"</formula>
    </cfRule>
  </conditionalFormatting>
  <conditionalFormatting sqref="X917">
    <cfRule type="cellIs" dxfId="2204" priority="56" stopIfTrue="1" operator="equal">
      <formula>"NO"</formula>
    </cfRule>
    <cfRule type="cellIs" dxfId="2203" priority="57" stopIfTrue="1" operator="equal">
      <formula>"SI"</formula>
    </cfRule>
  </conditionalFormatting>
  <conditionalFormatting sqref="X918">
    <cfRule type="cellIs" dxfId="2202" priority="54" stopIfTrue="1" operator="equal">
      <formula>"NO"</formula>
    </cfRule>
    <cfRule type="cellIs" dxfId="2201" priority="55" stopIfTrue="1" operator="equal">
      <formula>"SI"</formula>
    </cfRule>
  </conditionalFormatting>
  <conditionalFormatting sqref="X919">
    <cfRule type="cellIs" dxfId="2200" priority="52" stopIfTrue="1" operator="equal">
      <formula>"NO"</formula>
    </cfRule>
    <cfRule type="cellIs" dxfId="2199" priority="53" stopIfTrue="1" operator="equal">
      <formula>"SI"</formula>
    </cfRule>
  </conditionalFormatting>
  <conditionalFormatting sqref="X920">
    <cfRule type="cellIs" dxfId="2198" priority="50" stopIfTrue="1" operator="equal">
      <formula>"NO"</formula>
    </cfRule>
    <cfRule type="cellIs" dxfId="2197" priority="51" stopIfTrue="1" operator="equal">
      <formula>"SI"</formula>
    </cfRule>
  </conditionalFormatting>
  <conditionalFormatting sqref="X921">
    <cfRule type="cellIs" dxfId="2196" priority="48" stopIfTrue="1" operator="equal">
      <formula>"NO"</formula>
    </cfRule>
    <cfRule type="cellIs" dxfId="2195" priority="49" stopIfTrue="1" operator="equal">
      <formula>"SI"</formula>
    </cfRule>
  </conditionalFormatting>
  <conditionalFormatting sqref="X922">
    <cfRule type="cellIs" dxfId="2194" priority="46" stopIfTrue="1" operator="equal">
      <formula>"NO"</formula>
    </cfRule>
    <cfRule type="cellIs" dxfId="2193" priority="47" stopIfTrue="1" operator="equal">
      <formula>"SI"</formula>
    </cfRule>
  </conditionalFormatting>
  <conditionalFormatting sqref="X923">
    <cfRule type="cellIs" dxfId="2192" priority="44" stopIfTrue="1" operator="equal">
      <formula>"NO"</formula>
    </cfRule>
    <cfRule type="cellIs" dxfId="2191" priority="45" stopIfTrue="1" operator="equal">
      <formula>"SI"</formula>
    </cfRule>
  </conditionalFormatting>
  <conditionalFormatting sqref="L931:L940">
    <cfRule type="cellIs" dxfId="2190" priority="41" stopIfTrue="1" operator="equal">
      <formula>0</formula>
    </cfRule>
    <cfRule type="cellIs" dxfId="2189" priority="42" stopIfTrue="1" operator="greaterThanOrEqual">
      <formula>$H$6</formula>
    </cfRule>
    <cfRule type="cellIs" dxfId="2188" priority="43" stopIfTrue="1" operator="between">
      <formula>0</formula>
      <formula>$H$6</formula>
    </cfRule>
  </conditionalFormatting>
  <conditionalFormatting sqref="Z931:Z940 AB931:AB940">
    <cfRule type="cellIs" dxfId="2187" priority="39" operator="equal">
      <formula>"NO"</formula>
    </cfRule>
    <cfRule type="cellIs" dxfId="2186" priority="40" operator="greaterThan">
      <formula>0</formula>
    </cfRule>
  </conditionalFormatting>
  <conditionalFormatting sqref="H931:H934 C931:G940 I931:K940 P931:Q940 U931:U940 H939:H940 M934:N940">
    <cfRule type="cellIs" dxfId="2185" priority="38" stopIfTrue="1" operator="greaterThan">
      <formula>0</formula>
    </cfRule>
  </conditionalFormatting>
  <conditionalFormatting sqref="I931:I940 U931:U940">
    <cfRule type="cellIs" dxfId="2184" priority="37" operator="equal">
      <formula>"NO"</formula>
    </cfRule>
  </conditionalFormatting>
  <conditionalFormatting sqref="H931:H934 J931:J940 H939:H940">
    <cfRule type="cellIs" dxfId="2183" priority="36" stopIfTrue="1" operator="lessThan">
      <formula>0</formula>
    </cfRule>
  </conditionalFormatting>
  <conditionalFormatting sqref="H935">
    <cfRule type="cellIs" dxfId="2182" priority="35" stopIfTrue="1" operator="lessThan">
      <formula>0</formula>
    </cfRule>
  </conditionalFormatting>
  <conditionalFormatting sqref="H935">
    <cfRule type="cellIs" dxfId="2181" priority="34" stopIfTrue="1" operator="greaterThan">
      <formula>0</formula>
    </cfRule>
  </conditionalFormatting>
  <conditionalFormatting sqref="H936:H938">
    <cfRule type="cellIs" dxfId="2180" priority="33" stopIfTrue="1" operator="lessThan">
      <formula>0</formula>
    </cfRule>
  </conditionalFormatting>
  <conditionalFormatting sqref="H936:H938">
    <cfRule type="cellIs" dxfId="2179" priority="32" stopIfTrue="1" operator="greaterThan">
      <formula>0</formula>
    </cfRule>
  </conditionalFormatting>
  <conditionalFormatting sqref="M931">
    <cfRule type="cellIs" dxfId="2178" priority="31" stopIfTrue="1" operator="greaterThan">
      <formula>0</formula>
    </cfRule>
  </conditionalFormatting>
  <conditionalFormatting sqref="N931">
    <cfRule type="cellIs" dxfId="2177" priority="30" stopIfTrue="1" operator="greaterThan">
      <formula>0</formula>
    </cfRule>
  </conditionalFormatting>
  <conditionalFormatting sqref="M932:M933">
    <cfRule type="cellIs" dxfId="2176" priority="29" stopIfTrue="1" operator="greaterThan">
      <formula>0</formula>
    </cfRule>
  </conditionalFormatting>
  <conditionalFormatting sqref="N932:N933">
    <cfRule type="cellIs" dxfId="2175" priority="28" stopIfTrue="1" operator="greaterThan">
      <formula>0</formula>
    </cfRule>
  </conditionalFormatting>
  <conditionalFormatting sqref="X931">
    <cfRule type="cellIs" dxfId="2174" priority="26" stopIfTrue="1" operator="equal">
      <formula>"NO"</formula>
    </cfRule>
    <cfRule type="cellIs" dxfId="2173" priority="27" stopIfTrue="1" operator="equal">
      <formula>"SI"</formula>
    </cfRule>
  </conditionalFormatting>
  <conditionalFormatting sqref="X932:X933">
    <cfRule type="cellIs" dxfId="2172" priority="24" stopIfTrue="1" operator="equal">
      <formula>"NO"</formula>
    </cfRule>
    <cfRule type="cellIs" dxfId="2171" priority="25" stopIfTrue="1" operator="equal">
      <formula>"SI"</formula>
    </cfRule>
  </conditionalFormatting>
  <conditionalFormatting sqref="X934">
    <cfRule type="cellIs" dxfId="2170" priority="22" stopIfTrue="1" operator="equal">
      <formula>"NO"</formula>
    </cfRule>
    <cfRule type="cellIs" dxfId="2169" priority="23" stopIfTrue="1" operator="equal">
      <formula>"SI"</formula>
    </cfRule>
  </conditionalFormatting>
  <conditionalFormatting sqref="X935">
    <cfRule type="cellIs" dxfId="2168" priority="20" stopIfTrue="1" operator="equal">
      <formula>"NO"</formula>
    </cfRule>
    <cfRule type="cellIs" dxfId="2167" priority="21" stopIfTrue="1" operator="equal">
      <formula>"SI"</formula>
    </cfRule>
  </conditionalFormatting>
  <conditionalFormatting sqref="X936">
    <cfRule type="cellIs" dxfId="2166" priority="18" stopIfTrue="1" operator="equal">
      <formula>"NO"</formula>
    </cfRule>
    <cfRule type="cellIs" dxfId="2165" priority="19" stopIfTrue="1" operator="equal">
      <formula>"SI"</formula>
    </cfRule>
  </conditionalFormatting>
  <conditionalFormatting sqref="X937">
    <cfRule type="cellIs" dxfId="2164" priority="16" stopIfTrue="1" operator="equal">
      <formula>"NO"</formula>
    </cfRule>
    <cfRule type="cellIs" dxfId="2163" priority="17" stopIfTrue="1" operator="equal">
      <formula>"SI"</formula>
    </cfRule>
  </conditionalFormatting>
  <conditionalFormatting sqref="X938">
    <cfRule type="cellIs" dxfId="2162" priority="14" stopIfTrue="1" operator="equal">
      <formula>"NO"</formula>
    </cfRule>
    <cfRule type="cellIs" dxfId="2161" priority="15" stopIfTrue="1" operator="equal">
      <formula>"SI"</formula>
    </cfRule>
  </conditionalFormatting>
  <conditionalFormatting sqref="X939">
    <cfRule type="cellIs" dxfId="2160" priority="12" stopIfTrue="1" operator="equal">
      <formula>"NO"</formula>
    </cfRule>
    <cfRule type="cellIs" dxfId="2159" priority="13" stopIfTrue="1" operator="equal">
      <formula>"SI"</formula>
    </cfRule>
  </conditionalFormatting>
  <conditionalFormatting sqref="X940">
    <cfRule type="cellIs" dxfId="2158" priority="10" stopIfTrue="1" operator="equal">
      <formula>"NO"</formula>
    </cfRule>
    <cfRule type="cellIs" dxfId="2157" priority="11" stopIfTrue="1" operator="equal">
      <formula>"SI"</formula>
    </cfRule>
  </conditionalFormatting>
  <conditionalFormatting sqref="C47:C56">
    <cfRule type="cellIs" dxfId="2156" priority="9" stopIfTrue="1" operator="greaterThan">
      <formula>0</formula>
    </cfRule>
  </conditionalFormatting>
  <conditionalFormatting sqref="Z115:Z116 AB115:AB116">
    <cfRule type="cellIs" dxfId="2155" priority="7" operator="equal">
      <formula>"NO"</formula>
    </cfRule>
    <cfRule type="cellIs" dxfId="2154" priority="8" operator="greaterThan">
      <formula>0</formula>
    </cfRule>
  </conditionalFormatting>
  <conditionalFormatting sqref="Z387:Z389 AB387:AB389">
    <cfRule type="cellIs" dxfId="2153" priority="5" operator="equal">
      <formula>"NO"</formula>
    </cfRule>
    <cfRule type="cellIs" dxfId="2152" priority="6" operator="greaterThan">
      <formula>0</formula>
    </cfRule>
  </conditionalFormatting>
  <conditionalFormatting sqref="U421">
    <cfRule type="cellIs" dxfId="2151" priority="4" stopIfTrue="1" operator="greaterThan">
      <formula>0</formula>
    </cfRule>
  </conditionalFormatting>
  <conditionalFormatting sqref="U421">
    <cfRule type="cellIs" dxfId="2150" priority="3" operator="equal">
      <formula>"NO"</formula>
    </cfRule>
  </conditionalFormatting>
  <conditionalFormatting sqref="Z523:Z524 AB523:AB524">
    <cfRule type="cellIs" dxfId="2149" priority="1" operator="equal">
      <formula>"NO"</formula>
    </cfRule>
    <cfRule type="cellIs" dxfId="2148" priority="2" operator="greaterThan">
      <formula>0</formula>
    </cfRule>
  </conditionalFormatting>
  <hyperlinks>
    <hyperlink ref="B1:C2" location="Indice!A1" display="Volver al Indice" xr:uid="{3E59CC52-8CF4-47A3-9160-BA0CCDDCB06B}"/>
  </hyperlinks>
  <printOptions horizontalCentered="1"/>
  <pageMargins left="0.31496062992125984" right="0.31496062992125984" top="0.78740157480314965" bottom="0.43307086614173229" header="0.27559055118110237" footer="0.27559055118110237"/>
  <pageSetup paperSize="3" scale="44" fitToHeight="60" orientation="landscape" horizontalDpi="300" verticalDpi="300" r:id="rId1"/>
  <headerFooter scaleWithDoc="0" alignWithMargins="0">
    <oddHeader>&amp;C&amp;"Arial,Negrita"&amp;16DEPARTAMENTO DE ANTIOQUIA
&amp;12SECRETARÍA DE INFRAESTRUCTURA FISICA</oddHeader>
    <oddFooter>&amp;C&amp;9Página &amp;P de &amp;N</oddFooter>
  </headerFooter>
  <rowBreaks count="54" manualBreakCount="54">
    <brk id="26" min="1" max="29" man="1"/>
    <brk id="43" min="1" max="29" man="1"/>
    <brk id="60" min="1" max="29" man="1"/>
    <brk id="77" min="1" max="29" man="1"/>
    <brk id="94" min="1" max="29" man="1"/>
    <brk id="111" min="1" max="29" man="1"/>
    <brk id="128" min="1" max="29" man="1"/>
    <brk id="145" min="1" max="29" man="1"/>
    <brk id="162" min="1" max="29" man="1"/>
    <brk id="179" min="1" max="29" man="1"/>
    <brk id="196" min="1" max="29" man="1"/>
    <brk id="213" min="1" max="29" man="1"/>
    <brk id="230" min="1" max="29" man="1"/>
    <brk id="247" min="1" max="29" man="1"/>
    <brk id="264" min="1" max="29" man="1"/>
    <brk id="281" min="1" max="29" man="1"/>
    <brk id="298" min="1" max="29" man="1"/>
    <brk id="315" min="1" max="29" man="1"/>
    <brk id="332" min="1" max="29" man="1"/>
    <brk id="349" min="1" max="29" man="1"/>
    <brk id="366" min="1" max="29" man="1"/>
    <brk id="383" min="1" max="29" man="1"/>
    <brk id="400" min="1" max="29" man="1"/>
    <brk id="417" min="1" max="29" man="1"/>
    <brk id="434" min="1" max="29" man="1"/>
    <brk id="451" min="1" max="29" man="1"/>
    <brk id="468" min="1" max="29" man="1"/>
    <brk id="485" min="1" max="29" man="1"/>
    <brk id="502" min="1" max="29" man="1"/>
    <brk id="519" min="1" max="29" man="1"/>
    <brk id="536" min="1" max="29" man="1"/>
    <brk id="553" min="1" max="29" man="1"/>
    <brk id="570" min="1" max="29" man="1"/>
    <brk id="587" min="1" max="29" man="1"/>
    <brk id="604" min="1" max="29" man="1"/>
    <brk id="621" min="1" max="29" man="1"/>
    <brk id="638" min="1" max="29" man="1"/>
    <brk id="655" min="1" max="29" man="1"/>
    <brk id="672" min="1" max="29" man="1"/>
    <brk id="689" min="1" max="29" man="1"/>
    <brk id="706" min="1" max="29" man="1"/>
    <brk id="723" min="1" max="29" man="1"/>
    <brk id="740" min="1" max="29" man="1"/>
    <brk id="757" min="1" max="29" man="1"/>
    <brk id="774" min="1" max="29" man="1"/>
    <brk id="791" min="1" max="29" man="1"/>
    <brk id="808" min="1" max="29" man="1"/>
    <brk id="825" min="1" max="29" man="1"/>
    <brk id="842" min="1" max="29" man="1"/>
    <brk id="859" min="1" max="29" man="1"/>
    <brk id="876" min="1" max="29" man="1"/>
    <brk id="893" min="1" max="29" man="1"/>
    <brk id="910" min="1" max="29" man="1"/>
    <brk id="927" min="1" max="29"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9636F3-E9E1-4076-9E53-52AE709424BA}">
  <sheetPr codeName="Hoja13">
    <tabColor rgb="FF92D050"/>
  </sheetPr>
  <dimension ref="A1:O829"/>
  <sheetViews>
    <sheetView showGridLines="0" view="pageBreakPreview" zoomScale="90" zoomScaleNormal="85" zoomScaleSheetLayoutView="90" workbookViewId="0">
      <selection activeCell="C2" sqref="C2:L2"/>
    </sheetView>
  </sheetViews>
  <sheetFormatPr baseColWidth="10" defaultColWidth="11.42578125" defaultRowHeight="11.25" x14ac:dyDescent="0.2"/>
  <cols>
    <col min="1" max="1" width="4.85546875" style="1" bestFit="1" customWidth="1"/>
    <col min="2" max="2" width="27" style="1" customWidth="1"/>
    <col min="3" max="3" width="13.5703125" style="1" customWidth="1"/>
    <col min="4" max="4" width="58.140625" style="1" customWidth="1"/>
    <col min="5" max="5" width="24.28515625" style="1" customWidth="1"/>
    <col min="6" max="6" width="23.140625" style="1" customWidth="1"/>
    <col min="7" max="7" width="21.28515625" style="1" customWidth="1"/>
    <col min="8" max="8" width="20.28515625" style="20" customWidth="1"/>
    <col min="9" max="9" width="12" style="20" customWidth="1"/>
    <col min="10" max="10" width="22" style="1" customWidth="1"/>
    <col min="11" max="11" width="17.140625" style="1" customWidth="1"/>
    <col min="12" max="12" width="15.85546875" style="1" customWidth="1"/>
    <col min="13" max="13" width="31.42578125" style="1" customWidth="1"/>
    <col min="14" max="217" width="11.42578125" style="1"/>
    <col min="218" max="218" width="5.140625" style="1" customWidth="1"/>
    <col min="219" max="219" width="23.42578125" style="1" customWidth="1"/>
    <col min="220" max="220" width="7.85546875" style="1" customWidth="1"/>
    <col min="221" max="221" width="10.140625" style="1" customWidth="1"/>
    <col min="222" max="222" width="16.28515625" style="1" customWidth="1"/>
    <col min="223" max="223" width="12.7109375" style="1" customWidth="1"/>
    <col min="224" max="224" width="18" style="1" customWidth="1"/>
    <col min="225" max="225" width="13.42578125" style="1" customWidth="1"/>
    <col min="226" max="226" width="11.7109375" style="1" customWidth="1"/>
    <col min="227" max="227" width="12.42578125" style="1" customWidth="1"/>
    <col min="228" max="228" width="4" style="1" customWidth="1"/>
    <col min="229" max="229" width="6.5703125" style="1" customWidth="1"/>
    <col min="230" max="230" width="10.85546875" style="1" customWidth="1"/>
    <col min="231" max="231" width="4.7109375" style="1" customWidth="1"/>
    <col min="232" max="232" width="5.140625" style="1" customWidth="1"/>
    <col min="233" max="234" width="11.85546875" style="1" customWidth="1"/>
    <col min="235" max="235" width="7" style="1" customWidth="1"/>
    <col min="236" max="236" width="12.7109375" style="1" bestFit="1" customWidth="1"/>
    <col min="237" max="237" width="9.5703125" style="1" customWidth="1"/>
    <col min="238" max="238" width="19.7109375" style="1" customWidth="1"/>
    <col min="239" max="239" width="13" style="1" bestFit="1" customWidth="1"/>
    <col min="240" max="473" width="11.42578125" style="1"/>
    <col min="474" max="474" width="5.140625" style="1" customWidth="1"/>
    <col min="475" max="475" width="23.42578125" style="1" customWidth="1"/>
    <col min="476" max="476" width="7.85546875" style="1" customWidth="1"/>
    <col min="477" max="477" width="10.140625" style="1" customWidth="1"/>
    <col min="478" max="478" width="16.28515625" style="1" customWidth="1"/>
    <col min="479" max="479" width="12.7109375" style="1" customWidth="1"/>
    <col min="480" max="480" width="18" style="1" customWidth="1"/>
    <col min="481" max="481" width="13.42578125" style="1" customWidth="1"/>
    <col min="482" max="482" width="11.7109375" style="1" customWidth="1"/>
    <col min="483" max="483" width="12.42578125" style="1" customWidth="1"/>
    <col min="484" max="484" width="4" style="1" customWidth="1"/>
    <col min="485" max="485" width="6.5703125" style="1" customWidth="1"/>
    <col min="486" max="486" width="10.85546875" style="1" customWidth="1"/>
    <col min="487" max="487" width="4.7109375" style="1" customWidth="1"/>
    <col min="488" max="488" width="5.140625" style="1" customWidth="1"/>
    <col min="489" max="490" width="11.85546875" style="1" customWidth="1"/>
    <col min="491" max="491" width="7" style="1" customWidth="1"/>
    <col min="492" max="492" width="12.7109375" style="1" bestFit="1" customWidth="1"/>
    <col min="493" max="493" width="9.5703125" style="1" customWidth="1"/>
    <col min="494" max="494" width="19.7109375" style="1" customWidth="1"/>
    <col min="495" max="495" width="13" style="1" bestFit="1" customWidth="1"/>
    <col min="496" max="729" width="11.42578125" style="1"/>
    <col min="730" max="730" width="5.140625" style="1" customWidth="1"/>
    <col min="731" max="731" width="23.42578125" style="1" customWidth="1"/>
    <col min="732" max="732" width="7.85546875" style="1" customWidth="1"/>
    <col min="733" max="733" width="10.140625" style="1" customWidth="1"/>
    <col min="734" max="734" width="16.28515625" style="1" customWidth="1"/>
    <col min="735" max="735" width="12.7109375" style="1" customWidth="1"/>
    <col min="736" max="736" width="18" style="1" customWidth="1"/>
    <col min="737" max="737" width="13.42578125" style="1" customWidth="1"/>
    <col min="738" max="738" width="11.7109375" style="1" customWidth="1"/>
    <col min="739" max="739" width="12.42578125" style="1" customWidth="1"/>
    <col min="740" max="740" width="4" style="1" customWidth="1"/>
    <col min="741" max="741" width="6.5703125" style="1" customWidth="1"/>
    <col min="742" max="742" width="10.85546875" style="1" customWidth="1"/>
    <col min="743" max="743" width="4.7109375" style="1" customWidth="1"/>
    <col min="744" max="744" width="5.140625" style="1" customWidth="1"/>
    <col min="745" max="746" width="11.85546875" style="1" customWidth="1"/>
    <col min="747" max="747" width="7" style="1" customWidth="1"/>
    <col min="748" max="748" width="12.7109375" style="1" bestFit="1" customWidth="1"/>
    <col min="749" max="749" width="9.5703125" style="1" customWidth="1"/>
    <col min="750" max="750" width="19.7109375" style="1" customWidth="1"/>
    <col min="751" max="751" width="13" style="1" bestFit="1" customWidth="1"/>
    <col min="752" max="985" width="11.42578125" style="1"/>
    <col min="986" max="986" width="5.140625" style="1" customWidth="1"/>
    <col min="987" max="987" width="23.42578125" style="1" customWidth="1"/>
    <col min="988" max="988" width="7.85546875" style="1" customWidth="1"/>
    <col min="989" max="989" width="10.140625" style="1" customWidth="1"/>
    <col min="990" max="990" width="16.28515625" style="1" customWidth="1"/>
    <col min="991" max="991" width="12.7109375" style="1" customWidth="1"/>
    <col min="992" max="992" width="18" style="1" customWidth="1"/>
    <col min="993" max="993" width="13.42578125" style="1" customWidth="1"/>
    <col min="994" max="994" width="11.7109375" style="1" customWidth="1"/>
    <col min="995" max="995" width="12.42578125" style="1" customWidth="1"/>
    <col min="996" max="996" width="4" style="1" customWidth="1"/>
    <col min="997" max="997" width="6.5703125" style="1" customWidth="1"/>
    <col min="998" max="998" width="10.85546875" style="1" customWidth="1"/>
    <col min="999" max="999" width="4.7109375" style="1" customWidth="1"/>
    <col min="1000" max="1000" width="5.140625" style="1" customWidth="1"/>
    <col min="1001" max="1002" width="11.85546875" style="1" customWidth="1"/>
    <col min="1003" max="1003" width="7" style="1" customWidth="1"/>
    <col min="1004" max="1004" width="12.7109375" style="1" bestFit="1" customWidth="1"/>
    <col min="1005" max="1005" width="9.5703125" style="1" customWidth="1"/>
    <col min="1006" max="1006" width="19.7109375" style="1" customWidth="1"/>
    <col min="1007" max="1007" width="13" style="1" bestFit="1" customWidth="1"/>
    <col min="1008" max="1241" width="11.42578125" style="1"/>
    <col min="1242" max="1242" width="5.140625" style="1" customWidth="1"/>
    <col min="1243" max="1243" width="23.42578125" style="1" customWidth="1"/>
    <col min="1244" max="1244" width="7.85546875" style="1" customWidth="1"/>
    <col min="1245" max="1245" width="10.140625" style="1" customWidth="1"/>
    <col min="1246" max="1246" width="16.28515625" style="1" customWidth="1"/>
    <col min="1247" max="1247" width="12.7109375" style="1" customWidth="1"/>
    <col min="1248" max="1248" width="18" style="1" customWidth="1"/>
    <col min="1249" max="1249" width="13.42578125" style="1" customWidth="1"/>
    <col min="1250" max="1250" width="11.7109375" style="1" customWidth="1"/>
    <col min="1251" max="1251" width="12.42578125" style="1" customWidth="1"/>
    <col min="1252" max="1252" width="4" style="1" customWidth="1"/>
    <col min="1253" max="1253" width="6.5703125" style="1" customWidth="1"/>
    <col min="1254" max="1254" width="10.85546875" style="1" customWidth="1"/>
    <col min="1255" max="1255" width="4.7109375" style="1" customWidth="1"/>
    <col min="1256" max="1256" width="5.140625" style="1" customWidth="1"/>
    <col min="1257" max="1258" width="11.85546875" style="1" customWidth="1"/>
    <col min="1259" max="1259" width="7" style="1" customWidth="1"/>
    <col min="1260" max="1260" width="12.7109375" style="1" bestFit="1" customWidth="1"/>
    <col min="1261" max="1261" width="9.5703125" style="1" customWidth="1"/>
    <col min="1262" max="1262" width="19.7109375" style="1" customWidth="1"/>
    <col min="1263" max="1263" width="13" style="1" bestFit="1" customWidth="1"/>
    <col min="1264" max="1497" width="11.42578125" style="1"/>
    <col min="1498" max="1498" width="5.140625" style="1" customWidth="1"/>
    <col min="1499" max="1499" width="23.42578125" style="1" customWidth="1"/>
    <col min="1500" max="1500" width="7.85546875" style="1" customWidth="1"/>
    <col min="1501" max="1501" width="10.140625" style="1" customWidth="1"/>
    <col min="1502" max="1502" width="16.28515625" style="1" customWidth="1"/>
    <col min="1503" max="1503" width="12.7109375" style="1" customWidth="1"/>
    <col min="1504" max="1504" width="18" style="1" customWidth="1"/>
    <col min="1505" max="1505" width="13.42578125" style="1" customWidth="1"/>
    <col min="1506" max="1506" width="11.7109375" style="1" customWidth="1"/>
    <col min="1507" max="1507" width="12.42578125" style="1" customWidth="1"/>
    <col min="1508" max="1508" width="4" style="1" customWidth="1"/>
    <col min="1509" max="1509" width="6.5703125" style="1" customWidth="1"/>
    <col min="1510" max="1510" width="10.85546875" style="1" customWidth="1"/>
    <col min="1511" max="1511" width="4.7109375" style="1" customWidth="1"/>
    <col min="1512" max="1512" width="5.140625" style="1" customWidth="1"/>
    <col min="1513" max="1514" width="11.85546875" style="1" customWidth="1"/>
    <col min="1515" max="1515" width="7" style="1" customWidth="1"/>
    <col min="1516" max="1516" width="12.7109375" style="1" bestFit="1" customWidth="1"/>
    <col min="1517" max="1517" width="9.5703125" style="1" customWidth="1"/>
    <col min="1518" max="1518" width="19.7109375" style="1" customWidth="1"/>
    <col min="1519" max="1519" width="13" style="1" bestFit="1" customWidth="1"/>
    <col min="1520" max="1753" width="11.42578125" style="1"/>
    <col min="1754" max="1754" width="5.140625" style="1" customWidth="1"/>
    <col min="1755" max="1755" width="23.42578125" style="1" customWidth="1"/>
    <col min="1756" max="1756" width="7.85546875" style="1" customWidth="1"/>
    <col min="1757" max="1757" width="10.140625" style="1" customWidth="1"/>
    <col min="1758" max="1758" width="16.28515625" style="1" customWidth="1"/>
    <col min="1759" max="1759" width="12.7109375" style="1" customWidth="1"/>
    <col min="1760" max="1760" width="18" style="1" customWidth="1"/>
    <col min="1761" max="1761" width="13.42578125" style="1" customWidth="1"/>
    <col min="1762" max="1762" width="11.7109375" style="1" customWidth="1"/>
    <col min="1763" max="1763" width="12.42578125" style="1" customWidth="1"/>
    <col min="1764" max="1764" width="4" style="1" customWidth="1"/>
    <col min="1765" max="1765" width="6.5703125" style="1" customWidth="1"/>
    <col min="1766" max="1766" width="10.85546875" style="1" customWidth="1"/>
    <col min="1767" max="1767" width="4.7109375" style="1" customWidth="1"/>
    <col min="1768" max="1768" width="5.140625" style="1" customWidth="1"/>
    <col min="1769" max="1770" width="11.85546875" style="1" customWidth="1"/>
    <col min="1771" max="1771" width="7" style="1" customWidth="1"/>
    <col min="1772" max="1772" width="12.7109375" style="1" bestFit="1" customWidth="1"/>
    <col min="1773" max="1773" width="9.5703125" style="1" customWidth="1"/>
    <col min="1774" max="1774" width="19.7109375" style="1" customWidth="1"/>
    <col min="1775" max="1775" width="13" style="1" bestFit="1" customWidth="1"/>
    <col min="1776" max="2009" width="11.42578125" style="1"/>
    <col min="2010" max="2010" width="5.140625" style="1" customWidth="1"/>
    <col min="2011" max="2011" width="23.42578125" style="1" customWidth="1"/>
    <col min="2012" max="2012" width="7.85546875" style="1" customWidth="1"/>
    <col min="2013" max="2013" width="10.140625" style="1" customWidth="1"/>
    <col min="2014" max="2014" width="16.28515625" style="1" customWidth="1"/>
    <col min="2015" max="2015" width="12.7109375" style="1" customWidth="1"/>
    <col min="2016" max="2016" width="18" style="1" customWidth="1"/>
    <col min="2017" max="2017" width="13.42578125" style="1" customWidth="1"/>
    <col min="2018" max="2018" width="11.7109375" style="1" customWidth="1"/>
    <col min="2019" max="2019" width="12.42578125" style="1" customWidth="1"/>
    <col min="2020" max="2020" width="4" style="1" customWidth="1"/>
    <col min="2021" max="2021" width="6.5703125" style="1" customWidth="1"/>
    <col min="2022" max="2022" width="10.85546875" style="1" customWidth="1"/>
    <col min="2023" max="2023" width="4.7109375" style="1" customWidth="1"/>
    <col min="2024" max="2024" width="5.140625" style="1" customWidth="1"/>
    <col min="2025" max="2026" width="11.85546875" style="1" customWidth="1"/>
    <col min="2027" max="2027" width="7" style="1" customWidth="1"/>
    <col min="2028" max="2028" width="12.7109375" style="1" bestFit="1" customWidth="1"/>
    <col min="2029" max="2029" width="9.5703125" style="1" customWidth="1"/>
    <col min="2030" max="2030" width="19.7109375" style="1" customWidth="1"/>
    <col min="2031" max="2031" width="13" style="1" bestFit="1" customWidth="1"/>
    <col min="2032" max="2265" width="11.42578125" style="1"/>
    <col min="2266" max="2266" width="5.140625" style="1" customWidth="1"/>
    <col min="2267" max="2267" width="23.42578125" style="1" customWidth="1"/>
    <col min="2268" max="2268" width="7.85546875" style="1" customWidth="1"/>
    <col min="2269" max="2269" width="10.140625" style="1" customWidth="1"/>
    <col min="2270" max="2270" width="16.28515625" style="1" customWidth="1"/>
    <col min="2271" max="2271" width="12.7109375" style="1" customWidth="1"/>
    <col min="2272" max="2272" width="18" style="1" customWidth="1"/>
    <col min="2273" max="2273" width="13.42578125" style="1" customWidth="1"/>
    <col min="2274" max="2274" width="11.7109375" style="1" customWidth="1"/>
    <col min="2275" max="2275" width="12.42578125" style="1" customWidth="1"/>
    <col min="2276" max="2276" width="4" style="1" customWidth="1"/>
    <col min="2277" max="2277" width="6.5703125" style="1" customWidth="1"/>
    <col min="2278" max="2278" width="10.85546875" style="1" customWidth="1"/>
    <col min="2279" max="2279" width="4.7109375" style="1" customWidth="1"/>
    <col min="2280" max="2280" width="5.140625" style="1" customWidth="1"/>
    <col min="2281" max="2282" width="11.85546875" style="1" customWidth="1"/>
    <col min="2283" max="2283" width="7" style="1" customWidth="1"/>
    <col min="2284" max="2284" width="12.7109375" style="1" bestFit="1" customWidth="1"/>
    <col min="2285" max="2285" width="9.5703125" style="1" customWidth="1"/>
    <col min="2286" max="2286" width="19.7109375" style="1" customWidth="1"/>
    <col min="2287" max="2287" width="13" style="1" bestFit="1" customWidth="1"/>
    <col min="2288" max="2521" width="11.42578125" style="1"/>
    <col min="2522" max="2522" width="5.140625" style="1" customWidth="1"/>
    <col min="2523" max="2523" width="23.42578125" style="1" customWidth="1"/>
    <col min="2524" max="2524" width="7.85546875" style="1" customWidth="1"/>
    <col min="2525" max="2525" width="10.140625" style="1" customWidth="1"/>
    <col min="2526" max="2526" width="16.28515625" style="1" customWidth="1"/>
    <col min="2527" max="2527" width="12.7109375" style="1" customWidth="1"/>
    <col min="2528" max="2528" width="18" style="1" customWidth="1"/>
    <col min="2529" max="2529" width="13.42578125" style="1" customWidth="1"/>
    <col min="2530" max="2530" width="11.7109375" style="1" customWidth="1"/>
    <col min="2531" max="2531" width="12.42578125" style="1" customWidth="1"/>
    <col min="2532" max="2532" width="4" style="1" customWidth="1"/>
    <col min="2533" max="2533" width="6.5703125" style="1" customWidth="1"/>
    <col min="2534" max="2534" width="10.85546875" style="1" customWidth="1"/>
    <col min="2535" max="2535" width="4.7109375" style="1" customWidth="1"/>
    <col min="2536" max="2536" width="5.140625" style="1" customWidth="1"/>
    <col min="2537" max="2538" width="11.85546875" style="1" customWidth="1"/>
    <col min="2539" max="2539" width="7" style="1" customWidth="1"/>
    <col min="2540" max="2540" width="12.7109375" style="1" bestFit="1" customWidth="1"/>
    <col min="2541" max="2541" width="9.5703125" style="1" customWidth="1"/>
    <col min="2542" max="2542" width="19.7109375" style="1" customWidth="1"/>
    <col min="2543" max="2543" width="13" style="1" bestFit="1" customWidth="1"/>
    <col min="2544" max="2777" width="11.42578125" style="1"/>
    <col min="2778" max="2778" width="5.140625" style="1" customWidth="1"/>
    <col min="2779" max="2779" width="23.42578125" style="1" customWidth="1"/>
    <col min="2780" max="2780" width="7.85546875" style="1" customWidth="1"/>
    <col min="2781" max="2781" width="10.140625" style="1" customWidth="1"/>
    <col min="2782" max="2782" width="16.28515625" style="1" customWidth="1"/>
    <col min="2783" max="2783" width="12.7109375" style="1" customWidth="1"/>
    <col min="2784" max="2784" width="18" style="1" customWidth="1"/>
    <col min="2785" max="2785" width="13.42578125" style="1" customWidth="1"/>
    <col min="2786" max="2786" width="11.7109375" style="1" customWidth="1"/>
    <col min="2787" max="2787" width="12.42578125" style="1" customWidth="1"/>
    <col min="2788" max="2788" width="4" style="1" customWidth="1"/>
    <col min="2789" max="2789" width="6.5703125" style="1" customWidth="1"/>
    <col min="2790" max="2790" width="10.85546875" style="1" customWidth="1"/>
    <col min="2791" max="2791" width="4.7109375" style="1" customWidth="1"/>
    <col min="2792" max="2792" width="5.140625" style="1" customWidth="1"/>
    <col min="2793" max="2794" width="11.85546875" style="1" customWidth="1"/>
    <col min="2795" max="2795" width="7" style="1" customWidth="1"/>
    <col min="2796" max="2796" width="12.7109375" style="1" bestFit="1" customWidth="1"/>
    <col min="2797" max="2797" width="9.5703125" style="1" customWidth="1"/>
    <col min="2798" max="2798" width="19.7109375" style="1" customWidth="1"/>
    <col min="2799" max="2799" width="13" style="1" bestFit="1" customWidth="1"/>
    <col min="2800" max="3033" width="11.42578125" style="1"/>
    <col min="3034" max="3034" width="5.140625" style="1" customWidth="1"/>
    <col min="3035" max="3035" width="23.42578125" style="1" customWidth="1"/>
    <col min="3036" max="3036" width="7.85546875" style="1" customWidth="1"/>
    <col min="3037" max="3037" width="10.140625" style="1" customWidth="1"/>
    <col min="3038" max="3038" width="16.28515625" style="1" customWidth="1"/>
    <col min="3039" max="3039" width="12.7109375" style="1" customWidth="1"/>
    <col min="3040" max="3040" width="18" style="1" customWidth="1"/>
    <col min="3041" max="3041" width="13.42578125" style="1" customWidth="1"/>
    <col min="3042" max="3042" width="11.7109375" style="1" customWidth="1"/>
    <col min="3043" max="3043" width="12.42578125" style="1" customWidth="1"/>
    <col min="3044" max="3044" width="4" style="1" customWidth="1"/>
    <col min="3045" max="3045" width="6.5703125" style="1" customWidth="1"/>
    <col min="3046" max="3046" width="10.85546875" style="1" customWidth="1"/>
    <col min="3047" max="3047" width="4.7109375" style="1" customWidth="1"/>
    <col min="3048" max="3048" width="5.140625" style="1" customWidth="1"/>
    <col min="3049" max="3050" width="11.85546875" style="1" customWidth="1"/>
    <col min="3051" max="3051" width="7" style="1" customWidth="1"/>
    <col min="3052" max="3052" width="12.7109375" style="1" bestFit="1" customWidth="1"/>
    <col min="3053" max="3053" width="9.5703125" style="1" customWidth="1"/>
    <col min="3054" max="3054" width="19.7109375" style="1" customWidth="1"/>
    <col min="3055" max="3055" width="13" style="1" bestFit="1" customWidth="1"/>
    <col min="3056" max="3289" width="11.42578125" style="1"/>
    <col min="3290" max="3290" width="5.140625" style="1" customWidth="1"/>
    <col min="3291" max="3291" width="23.42578125" style="1" customWidth="1"/>
    <col min="3292" max="3292" width="7.85546875" style="1" customWidth="1"/>
    <col min="3293" max="3293" width="10.140625" style="1" customWidth="1"/>
    <col min="3294" max="3294" width="16.28515625" style="1" customWidth="1"/>
    <col min="3295" max="3295" width="12.7109375" style="1" customWidth="1"/>
    <col min="3296" max="3296" width="18" style="1" customWidth="1"/>
    <col min="3297" max="3297" width="13.42578125" style="1" customWidth="1"/>
    <col min="3298" max="3298" width="11.7109375" style="1" customWidth="1"/>
    <col min="3299" max="3299" width="12.42578125" style="1" customWidth="1"/>
    <col min="3300" max="3300" width="4" style="1" customWidth="1"/>
    <col min="3301" max="3301" width="6.5703125" style="1" customWidth="1"/>
    <col min="3302" max="3302" width="10.85546875" style="1" customWidth="1"/>
    <col min="3303" max="3303" width="4.7109375" style="1" customWidth="1"/>
    <col min="3304" max="3304" width="5.140625" style="1" customWidth="1"/>
    <col min="3305" max="3306" width="11.85546875" style="1" customWidth="1"/>
    <col min="3307" max="3307" width="7" style="1" customWidth="1"/>
    <col min="3308" max="3308" width="12.7109375" style="1" bestFit="1" customWidth="1"/>
    <col min="3309" max="3309" width="9.5703125" style="1" customWidth="1"/>
    <col min="3310" max="3310" width="19.7109375" style="1" customWidth="1"/>
    <col min="3311" max="3311" width="13" style="1" bestFit="1" customWidth="1"/>
    <col min="3312" max="3545" width="11.42578125" style="1"/>
    <col min="3546" max="3546" width="5.140625" style="1" customWidth="1"/>
    <col min="3547" max="3547" width="23.42578125" style="1" customWidth="1"/>
    <col min="3548" max="3548" width="7.85546875" style="1" customWidth="1"/>
    <col min="3549" max="3549" width="10.140625" style="1" customWidth="1"/>
    <col min="3550" max="3550" width="16.28515625" style="1" customWidth="1"/>
    <col min="3551" max="3551" width="12.7109375" style="1" customWidth="1"/>
    <col min="3552" max="3552" width="18" style="1" customWidth="1"/>
    <col min="3553" max="3553" width="13.42578125" style="1" customWidth="1"/>
    <col min="3554" max="3554" width="11.7109375" style="1" customWidth="1"/>
    <col min="3555" max="3555" width="12.42578125" style="1" customWidth="1"/>
    <col min="3556" max="3556" width="4" style="1" customWidth="1"/>
    <col min="3557" max="3557" width="6.5703125" style="1" customWidth="1"/>
    <col min="3558" max="3558" width="10.85546875" style="1" customWidth="1"/>
    <col min="3559" max="3559" width="4.7109375" style="1" customWidth="1"/>
    <col min="3560" max="3560" width="5.140625" style="1" customWidth="1"/>
    <col min="3561" max="3562" width="11.85546875" style="1" customWidth="1"/>
    <col min="3563" max="3563" width="7" style="1" customWidth="1"/>
    <col min="3564" max="3564" width="12.7109375" style="1" bestFit="1" customWidth="1"/>
    <col min="3565" max="3565" width="9.5703125" style="1" customWidth="1"/>
    <col min="3566" max="3566" width="19.7109375" style="1" customWidth="1"/>
    <col min="3567" max="3567" width="13" style="1" bestFit="1" customWidth="1"/>
    <col min="3568" max="3801" width="11.42578125" style="1"/>
    <col min="3802" max="3802" width="5.140625" style="1" customWidth="1"/>
    <col min="3803" max="3803" width="23.42578125" style="1" customWidth="1"/>
    <col min="3804" max="3804" width="7.85546875" style="1" customWidth="1"/>
    <col min="3805" max="3805" width="10.140625" style="1" customWidth="1"/>
    <col min="3806" max="3806" width="16.28515625" style="1" customWidth="1"/>
    <col min="3807" max="3807" width="12.7109375" style="1" customWidth="1"/>
    <col min="3808" max="3808" width="18" style="1" customWidth="1"/>
    <col min="3809" max="3809" width="13.42578125" style="1" customWidth="1"/>
    <col min="3810" max="3810" width="11.7109375" style="1" customWidth="1"/>
    <col min="3811" max="3811" width="12.42578125" style="1" customWidth="1"/>
    <col min="3812" max="3812" width="4" style="1" customWidth="1"/>
    <col min="3813" max="3813" width="6.5703125" style="1" customWidth="1"/>
    <col min="3814" max="3814" width="10.85546875" style="1" customWidth="1"/>
    <col min="3815" max="3815" width="4.7109375" style="1" customWidth="1"/>
    <col min="3816" max="3816" width="5.140625" style="1" customWidth="1"/>
    <col min="3817" max="3818" width="11.85546875" style="1" customWidth="1"/>
    <col min="3819" max="3819" width="7" style="1" customWidth="1"/>
    <col min="3820" max="3820" width="12.7109375" style="1" bestFit="1" customWidth="1"/>
    <col min="3821" max="3821" width="9.5703125" style="1" customWidth="1"/>
    <col min="3822" max="3822" width="19.7109375" style="1" customWidth="1"/>
    <col min="3823" max="3823" width="13" style="1" bestFit="1" customWidth="1"/>
    <col min="3824" max="4057" width="11.42578125" style="1"/>
    <col min="4058" max="4058" width="5.140625" style="1" customWidth="1"/>
    <col min="4059" max="4059" width="23.42578125" style="1" customWidth="1"/>
    <col min="4060" max="4060" width="7.85546875" style="1" customWidth="1"/>
    <col min="4061" max="4061" width="10.140625" style="1" customWidth="1"/>
    <col min="4062" max="4062" width="16.28515625" style="1" customWidth="1"/>
    <col min="4063" max="4063" width="12.7109375" style="1" customWidth="1"/>
    <col min="4064" max="4064" width="18" style="1" customWidth="1"/>
    <col min="4065" max="4065" width="13.42578125" style="1" customWidth="1"/>
    <col min="4066" max="4066" width="11.7109375" style="1" customWidth="1"/>
    <col min="4067" max="4067" width="12.42578125" style="1" customWidth="1"/>
    <col min="4068" max="4068" width="4" style="1" customWidth="1"/>
    <col min="4069" max="4069" width="6.5703125" style="1" customWidth="1"/>
    <col min="4070" max="4070" width="10.85546875" style="1" customWidth="1"/>
    <col min="4071" max="4071" width="4.7109375" style="1" customWidth="1"/>
    <col min="4072" max="4072" width="5.140625" style="1" customWidth="1"/>
    <col min="4073" max="4074" width="11.85546875" style="1" customWidth="1"/>
    <col min="4075" max="4075" width="7" style="1" customWidth="1"/>
    <col min="4076" max="4076" width="12.7109375" style="1" bestFit="1" customWidth="1"/>
    <col min="4077" max="4077" width="9.5703125" style="1" customWidth="1"/>
    <col min="4078" max="4078" width="19.7109375" style="1" customWidth="1"/>
    <col min="4079" max="4079" width="13" style="1" bestFit="1" customWidth="1"/>
    <col min="4080" max="4313" width="11.42578125" style="1"/>
    <col min="4314" max="4314" width="5.140625" style="1" customWidth="1"/>
    <col min="4315" max="4315" width="23.42578125" style="1" customWidth="1"/>
    <col min="4316" max="4316" width="7.85546875" style="1" customWidth="1"/>
    <col min="4317" max="4317" width="10.140625" style="1" customWidth="1"/>
    <col min="4318" max="4318" width="16.28515625" style="1" customWidth="1"/>
    <col min="4319" max="4319" width="12.7109375" style="1" customWidth="1"/>
    <col min="4320" max="4320" width="18" style="1" customWidth="1"/>
    <col min="4321" max="4321" width="13.42578125" style="1" customWidth="1"/>
    <col min="4322" max="4322" width="11.7109375" style="1" customWidth="1"/>
    <col min="4323" max="4323" width="12.42578125" style="1" customWidth="1"/>
    <col min="4324" max="4324" width="4" style="1" customWidth="1"/>
    <col min="4325" max="4325" width="6.5703125" style="1" customWidth="1"/>
    <col min="4326" max="4326" width="10.85546875" style="1" customWidth="1"/>
    <col min="4327" max="4327" width="4.7109375" style="1" customWidth="1"/>
    <col min="4328" max="4328" width="5.140625" style="1" customWidth="1"/>
    <col min="4329" max="4330" width="11.85546875" style="1" customWidth="1"/>
    <col min="4331" max="4331" width="7" style="1" customWidth="1"/>
    <col min="4332" max="4332" width="12.7109375" style="1" bestFit="1" customWidth="1"/>
    <col min="4333" max="4333" width="9.5703125" style="1" customWidth="1"/>
    <col min="4334" max="4334" width="19.7109375" style="1" customWidth="1"/>
    <col min="4335" max="4335" width="13" style="1" bestFit="1" customWidth="1"/>
    <col min="4336" max="4569" width="11.42578125" style="1"/>
    <col min="4570" max="4570" width="5.140625" style="1" customWidth="1"/>
    <col min="4571" max="4571" width="23.42578125" style="1" customWidth="1"/>
    <col min="4572" max="4572" width="7.85546875" style="1" customWidth="1"/>
    <col min="4573" max="4573" width="10.140625" style="1" customWidth="1"/>
    <col min="4574" max="4574" width="16.28515625" style="1" customWidth="1"/>
    <col min="4575" max="4575" width="12.7109375" style="1" customWidth="1"/>
    <col min="4576" max="4576" width="18" style="1" customWidth="1"/>
    <col min="4577" max="4577" width="13.42578125" style="1" customWidth="1"/>
    <col min="4578" max="4578" width="11.7109375" style="1" customWidth="1"/>
    <col min="4579" max="4579" width="12.42578125" style="1" customWidth="1"/>
    <col min="4580" max="4580" width="4" style="1" customWidth="1"/>
    <col min="4581" max="4581" width="6.5703125" style="1" customWidth="1"/>
    <col min="4582" max="4582" width="10.85546875" style="1" customWidth="1"/>
    <col min="4583" max="4583" width="4.7109375" style="1" customWidth="1"/>
    <col min="4584" max="4584" width="5.140625" style="1" customWidth="1"/>
    <col min="4585" max="4586" width="11.85546875" style="1" customWidth="1"/>
    <col min="4587" max="4587" width="7" style="1" customWidth="1"/>
    <col min="4588" max="4588" width="12.7109375" style="1" bestFit="1" customWidth="1"/>
    <col min="4589" max="4589" width="9.5703125" style="1" customWidth="1"/>
    <col min="4590" max="4590" width="19.7109375" style="1" customWidth="1"/>
    <col min="4591" max="4591" width="13" style="1" bestFit="1" customWidth="1"/>
    <col min="4592" max="4825" width="11.42578125" style="1"/>
    <col min="4826" max="4826" width="5.140625" style="1" customWidth="1"/>
    <col min="4827" max="4827" width="23.42578125" style="1" customWidth="1"/>
    <col min="4828" max="4828" width="7.85546875" style="1" customWidth="1"/>
    <col min="4829" max="4829" width="10.140625" style="1" customWidth="1"/>
    <col min="4830" max="4830" width="16.28515625" style="1" customWidth="1"/>
    <col min="4831" max="4831" width="12.7109375" style="1" customWidth="1"/>
    <col min="4832" max="4832" width="18" style="1" customWidth="1"/>
    <col min="4833" max="4833" width="13.42578125" style="1" customWidth="1"/>
    <col min="4834" max="4834" width="11.7109375" style="1" customWidth="1"/>
    <col min="4835" max="4835" width="12.42578125" style="1" customWidth="1"/>
    <col min="4836" max="4836" width="4" style="1" customWidth="1"/>
    <col min="4837" max="4837" width="6.5703125" style="1" customWidth="1"/>
    <col min="4838" max="4838" width="10.85546875" style="1" customWidth="1"/>
    <col min="4839" max="4839" width="4.7109375" style="1" customWidth="1"/>
    <col min="4840" max="4840" width="5.140625" style="1" customWidth="1"/>
    <col min="4841" max="4842" width="11.85546875" style="1" customWidth="1"/>
    <col min="4843" max="4843" width="7" style="1" customWidth="1"/>
    <col min="4844" max="4844" width="12.7109375" style="1" bestFit="1" customWidth="1"/>
    <col min="4845" max="4845" width="9.5703125" style="1" customWidth="1"/>
    <col min="4846" max="4846" width="19.7109375" style="1" customWidth="1"/>
    <col min="4847" max="4847" width="13" style="1" bestFit="1" customWidth="1"/>
    <col min="4848" max="5081" width="11.42578125" style="1"/>
    <col min="5082" max="5082" width="5.140625" style="1" customWidth="1"/>
    <col min="5083" max="5083" width="23.42578125" style="1" customWidth="1"/>
    <col min="5084" max="5084" width="7.85546875" style="1" customWidth="1"/>
    <col min="5085" max="5085" width="10.140625" style="1" customWidth="1"/>
    <col min="5086" max="5086" width="16.28515625" style="1" customWidth="1"/>
    <col min="5087" max="5087" width="12.7109375" style="1" customWidth="1"/>
    <col min="5088" max="5088" width="18" style="1" customWidth="1"/>
    <col min="5089" max="5089" width="13.42578125" style="1" customWidth="1"/>
    <col min="5090" max="5090" width="11.7109375" style="1" customWidth="1"/>
    <col min="5091" max="5091" width="12.42578125" style="1" customWidth="1"/>
    <col min="5092" max="5092" width="4" style="1" customWidth="1"/>
    <col min="5093" max="5093" width="6.5703125" style="1" customWidth="1"/>
    <col min="5094" max="5094" width="10.85546875" style="1" customWidth="1"/>
    <col min="5095" max="5095" width="4.7109375" style="1" customWidth="1"/>
    <col min="5096" max="5096" width="5.140625" style="1" customWidth="1"/>
    <col min="5097" max="5098" width="11.85546875" style="1" customWidth="1"/>
    <col min="5099" max="5099" width="7" style="1" customWidth="1"/>
    <col min="5100" max="5100" width="12.7109375" style="1" bestFit="1" customWidth="1"/>
    <col min="5101" max="5101" width="9.5703125" style="1" customWidth="1"/>
    <col min="5102" max="5102" width="19.7109375" style="1" customWidth="1"/>
    <col min="5103" max="5103" width="13" style="1" bestFit="1" customWidth="1"/>
    <col min="5104" max="5337" width="11.42578125" style="1"/>
    <col min="5338" max="5338" width="5.140625" style="1" customWidth="1"/>
    <col min="5339" max="5339" width="23.42578125" style="1" customWidth="1"/>
    <col min="5340" max="5340" width="7.85546875" style="1" customWidth="1"/>
    <col min="5341" max="5341" width="10.140625" style="1" customWidth="1"/>
    <col min="5342" max="5342" width="16.28515625" style="1" customWidth="1"/>
    <col min="5343" max="5343" width="12.7109375" style="1" customWidth="1"/>
    <col min="5344" max="5344" width="18" style="1" customWidth="1"/>
    <col min="5345" max="5345" width="13.42578125" style="1" customWidth="1"/>
    <col min="5346" max="5346" width="11.7109375" style="1" customWidth="1"/>
    <col min="5347" max="5347" width="12.42578125" style="1" customWidth="1"/>
    <col min="5348" max="5348" width="4" style="1" customWidth="1"/>
    <col min="5349" max="5349" width="6.5703125" style="1" customWidth="1"/>
    <col min="5350" max="5350" width="10.85546875" style="1" customWidth="1"/>
    <col min="5351" max="5351" width="4.7109375" style="1" customWidth="1"/>
    <col min="5352" max="5352" width="5.140625" style="1" customWidth="1"/>
    <col min="5353" max="5354" width="11.85546875" style="1" customWidth="1"/>
    <col min="5355" max="5355" width="7" style="1" customWidth="1"/>
    <col min="5356" max="5356" width="12.7109375" style="1" bestFit="1" customWidth="1"/>
    <col min="5357" max="5357" width="9.5703125" style="1" customWidth="1"/>
    <col min="5358" max="5358" width="19.7109375" style="1" customWidth="1"/>
    <col min="5359" max="5359" width="13" style="1" bestFit="1" customWidth="1"/>
    <col min="5360" max="5593" width="11.42578125" style="1"/>
    <col min="5594" max="5594" width="5.140625" style="1" customWidth="1"/>
    <col min="5595" max="5595" width="23.42578125" style="1" customWidth="1"/>
    <col min="5596" max="5596" width="7.85546875" style="1" customWidth="1"/>
    <col min="5597" max="5597" width="10.140625" style="1" customWidth="1"/>
    <col min="5598" max="5598" width="16.28515625" style="1" customWidth="1"/>
    <col min="5599" max="5599" width="12.7109375" style="1" customWidth="1"/>
    <col min="5600" max="5600" width="18" style="1" customWidth="1"/>
    <col min="5601" max="5601" width="13.42578125" style="1" customWidth="1"/>
    <col min="5602" max="5602" width="11.7109375" style="1" customWidth="1"/>
    <col min="5603" max="5603" width="12.42578125" style="1" customWidth="1"/>
    <col min="5604" max="5604" width="4" style="1" customWidth="1"/>
    <col min="5605" max="5605" width="6.5703125" style="1" customWidth="1"/>
    <col min="5606" max="5606" width="10.85546875" style="1" customWidth="1"/>
    <col min="5607" max="5607" width="4.7109375" style="1" customWidth="1"/>
    <col min="5608" max="5608" width="5.140625" style="1" customWidth="1"/>
    <col min="5609" max="5610" width="11.85546875" style="1" customWidth="1"/>
    <col min="5611" max="5611" width="7" style="1" customWidth="1"/>
    <col min="5612" max="5612" width="12.7109375" style="1" bestFit="1" customWidth="1"/>
    <col min="5613" max="5613" width="9.5703125" style="1" customWidth="1"/>
    <col min="5614" max="5614" width="19.7109375" style="1" customWidth="1"/>
    <col min="5615" max="5615" width="13" style="1" bestFit="1" customWidth="1"/>
    <col min="5616" max="5849" width="11.42578125" style="1"/>
    <col min="5850" max="5850" width="5.140625" style="1" customWidth="1"/>
    <col min="5851" max="5851" width="23.42578125" style="1" customWidth="1"/>
    <col min="5852" max="5852" width="7.85546875" style="1" customWidth="1"/>
    <col min="5853" max="5853" width="10.140625" style="1" customWidth="1"/>
    <col min="5854" max="5854" width="16.28515625" style="1" customWidth="1"/>
    <col min="5855" max="5855" width="12.7109375" style="1" customWidth="1"/>
    <col min="5856" max="5856" width="18" style="1" customWidth="1"/>
    <col min="5857" max="5857" width="13.42578125" style="1" customWidth="1"/>
    <col min="5858" max="5858" width="11.7109375" style="1" customWidth="1"/>
    <col min="5859" max="5859" width="12.42578125" style="1" customWidth="1"/>
    <col min="5860" max="5860" width="4" style="1" customWidth="1"/>
    <col min="5861" max="5861" width="6.5703125" style="1" customWidth="1"/>
    <col min="5862" max="5862" width="10.85546875" style="1" customWidth="1"/>
    <col min="5863" max="5863" width="4.7109375" style="1" customWidth="1"/>
    <col min="5864" max="5864" width="5.140625" style="1" customWidth="1"/>
    <col min="5865" max="5866" width="11.85546875" style="1" customWidth="1"/>
    <col min="5867" max="5867" width="7" style="1" customWidth="1"/>
    <col min="5868" max="5868" width="12.7109375" style="1" bestFit="1" customWidth="1"/>
    <col min="5869" max="5869" width="9.5703125" style="1" customWidth="1"/>
    <col min="5870" max="5870" width="19.7109375" style="1" customWidth="1"/>
    <col min="5871" max="5871" width="13" style="1" bestFit="1" customWidth="1"/>
    <col min="5872" max="6105" width="11.42578125" style="1"/>
    <col min="6106" max="6106" width="5.140625" style="1" customWidth="1"/>
    <col min="6107" max="6107" width="23.42578125" style="1" customWidth="1"/>
    <col min="6108" max="6108" width="7.85546875" style="1" customWidth="1"/>
    <col min="6109" max="6109" width="10.140625" style="1" customWidth="1"/>
    <col min="6110" max="6110" width="16.28515625" style="1" customWidth="1"/>
    <col min="6111" max="6111" width="12.7109375" style="1" customWidth="1"/>
    <col min="6112" max="6112" width="18" style="1" customWidth="1"/>
    <col min="6113" max="6113" width="13.42578125" style="1" customWidth="1"/>
    <col min="6114" max="6114" width="11.7109375" style="1" customWidth="1"/>
    <col min="6115" max="6115" width="12.42578125" style="1" customWidth="1"/>
    <col min="6116" max="6116" width="4" style="1" customWidth="1"/>
    <col min="6117" max="6117" width="6.5703125" style="1" customWidth="1"/>
    <col min="6118" max="6118" width="10.85546875" style="1" customWidth="1"/>
    <col min="6119" max="6119" width="4.7109375" style="1" customWidth="1"/>
    <col min="6120" max="6120" width="5.140625" style="1" customWidth="1"/>
    <col min="6121" max="6122" width="11.85546875" style="1" customWidth="1"/>
    <col min="6123" max="6123" width="7" style="1" customWidth="1"/>
    <col min="6124" max="6124" width="12.7109375" style="1" bestFit="1" customWidth="1"/>
    <col min="6125" max="6125" width="9.5703125" style="1" customWidth="1"/>
    <col min="6126" max="6126" width="19.7109375" style="1" customWidth="1"/>
    <col min="6127" max="6127" width="13" style="1" bestFit="1" customWidth="1"/>
    <col min="6128" max="6361" width="11.42578125" style="1"/>
    <col min="6362" max="6362" width="5.140625" style="1" customWidth="1"/>
    <col min="6363" max="6363" width="23.42578125" style="1" customWidth="1"/>
    <col min="6364" max="6364" width="7.85546875" style="1" customWidth="1"/>
    <col min="6365" max="6365" width="10.140625" style="1" customWidth="1"/>
    <col min="6366" max="6366" width="16.28515625" style="1" customWidth="1"/>
    <col min="6367" max="6367" width="12.7109375" style="1" customWidth="1"/>
    <col min="6368" max="6368" width="18" style="1" customWidth="1"/>
    <col min="6369" max="6369" width="13.42578125" style="1" customWidth="1"/>
    <col min="6370" max="6370" width="11.7109375" style="1" customWidth="1"/>
    <col min="6371" max="6371" width="12.42578125" style="1" customWidth="1"/>
    <col min="6372" max="6372" width="4" style="1" customWidth="1"/>
    <col min="6373" max="6373" width="6.5703125" style="1" customWidth="1"/>
    <col min="6374" max="6374" width="10.85546875" style="1" customWidth="1"/>
    <col min="6375" max="6375" width="4.7109375" style="1" customWidth="1"/>
    <col min="6376" max="6376" width="5.140625" style="1" customWidth="1"/>
    <col min="6377" max="6378" width="11.85546875" style="1" customWidth="1"/>
    <col min="6379" max="6379" width="7" style="1" customWidth="1"/>
    <col min="6380" max="6380" width="12.7109375" style="1" bestFit="1" customWidth="1"/>
    <col min="6381" max="6381" width="9.5703125" style="1" customWidth="1"/>
    <col min="6382" max="6382" width="19.7109375" style="1" customWidth="1"/>
    <col min="6383" max="6383" width="13" style="1" bestFit="1" customWidth="1"/>
    <col min="6384" max="6617" width="11.42578125" style="1"/>
    <col min="6618" max="6618" width="5.140625" style="1" customWidth="1"/>
    <col min="6619" max="6619" width="23.42578125" style="1" customWidth="1"/>
    <col min="6620" max="6620" width="7.85546875" style="1" customWidth="1"/>
    <col min="6621" max="6621" width="10.140625" style="1" customWidth="1"/>
    <col min="6622" max="6622" width="16.28515625" style="1" customWidth="1"/>
    <col min="6623" max="6623" width="12.7109375" style="1" customWidth="1"/>
    <col min="6624" max="6624" width="18" style="1" customWidth="1"/>
    <col min="6625" max="6625" width="13.42578125" style="1" customWidth="1"/>
    <col min="6626" max="6626" width="11.7109375" style="1" customWidth="1"/>
    <col min="6627" max="6627" width="12.42578125" style="1" customWidth="1"/>
    <col min="6628" max="6628" width="4" style="1" customWidth="1"/>
    <col min="6629" max="6629" width="6.5703125" style="1" customWidth="1"/>
    <col min="6630" max="6630" width="10.85546875" style="1" customWidth="1"/>
    <col min="6631" max="6631" width="4.7109375" style="1" customWidth="1"/>
    <col min="6632" max="6632" width="5.140625" style="1" customWidth="1"/>
    <col min="6633" max="6634" width="11.85546875" style="1" customWidth="1"/>
    <col min="6635" max="6635" width="7" style="1" customWidth="1"/>
    <col min="6636" max="6636" width="12.7109375" style="1" bestFit="1" customWidth="1"/>
    <col min="6637" max="6637" width="9.5703125" style="1" customWidth="1"/>
    <col min="6638" max="6638" width="19.7109375" style="1" customWidth="1"/>
    <col min="6639" max="6639" width="13" style="1" bestFit="1" customWidth="1"/>
    <col min="6640" max="6873" width="11.42578125" style="1"/>
    <col min="6874" max="6874" width="5.140625" style="1" customWidth="1"/>
    <col min="6875" max="6875" width="23.42578125" style="1" customWidth="1"/>
    <col min="6876" max="6876" width="7.85546875" style="1" customWidth="1"/>
    <col min="6877" max="6877" width="10.140625" style="1" customWidth="1"/>
    <col min="6878" max="6878" width="16.28515625" style="1" customWidth="1"/>
    <col min="6879" max="6879" width="12.7109375" style="1" customWidth="1"/>
    <col min="6880" max="6880" width="18" style="1" customWidth="1"/>
    <col min="6881" max="6881" width="13.42578125" style="1" customWidth="1"/>
    <col min="6882" max="6882" width="11.7109375" style="1" customWidth="1"/>
    <col min="6883" max="6883" width="12.42578125" style="1" customWidth="1"/>
    <col min="6884" max="6884" width="4" style="1" customWidth="1"/>
    <col min="6885" max="6885" width="6.5703125" style="1" customWidth="1"/>
    <col min="6886" max="6886" width="10.85546875" style="1" customWidth="1"/>
    <col min="6887" max="6887" width="4.7109375" style="1" customWidth="1"/>
    <col min="6888" max="6888" width="5.140625" style="1" customWidth="1"/>
    <col min="6889" max="6890" width="11.85546875" style="1" customWidth="1"/>
    <col min="6891" max="6891" width="7" style="1" customWidth="1"/>
    <col min="6892" max="6892" width="12.7109375" style="1" bestFit="1" customWidth="1"/>
    <col min="6893" max="6893" width="9.5703125" style="1" customWidth="1"/>
    <col min="6894" max="6894" width="19.7109375" style="1" customWidth="1"/>
    <col min="6895" max="6895" width="13" style="1" bestFit="1" customWidth="1"/>
    <col min="6896" max="7129" width="11.42578125" style="1"/>
    <col min="7130" max="7130" width="5.140625" style="1" customWidth="1"/>
    <col min="7131" max="7131" width="23.42578125" style="1" customWidth="1"/>
    <col min="7132" max="7132" width="7.85546875" style="1" customWidth="1"/>
    <col min="7133" max="7133" width="10.140625" style="1" customWidth="1"/>
    <col min="7134" max="7134" width="16.28515625" style="1" customWidth="1"/>
    <col min="7135" max="7135" width="12.7109375" style="1" customWidth="1"/>
    <col min="7136" max="7136" width="18" style="1" customWidth="1"/>
    <col min="7137" max="7137" width="13.42578125" style="1" customWidth="1"/>
    <col min="7138" max="7138" width="11.7109375" style="1" customWidth="1"/>
    <col min="7139" max="7139" width="12.42578125" style="1" customWidth="1"/>
    <col min="7140" max="7140" width="4" style="1" customWidth="1"/>
    <col min="7141" max="7141" width="6.5703125" style="1" customWidth="1"/>
    <col min="7142" max="7142" width="10.85546875" style="1" customWidth="1"/>
    <col min="7143" max="7143" width="4.7109375" style="1" customWidth="1"/>
    <col min="7144" max="7144" width="5.140625" style="1" customWidth="1"/>
    <col min="7145" max="7146" width="11.85546875" style="1" customWidth="1"/>
    <col min="7147" max="7147" width="7" style="1" customWidth="1"/>
    <col min="7148" max="7148" width="12.7109375" style="1" bestFit="1" customWidth="1"/>
    <col min="7149" max="7149" width="9.5703125" style="1" customWidth="1"/>
    <col min="7150" max="7150" width="19.7109375" style="1" customWidth="1"/>
    <col min="7151" max="7151" width="13" style="1" bestFit="1" customWidth="1"/>
    <col min="7152" max="7385" width="11.42578125" style="1"/>
    <col min="7386" max="7386" width="5.140625" style="1" customWidth="1"/>
    <col min="7387" max="7387" width="23.42578125" style="1" customWidth="1"/>
    <col min="7388" max="7388" width="7.85546875" style="1" customWidth="1"/>
    <col min="7389" max="7389" width="10.140625" style="1" customWidth="1"/>
    <col min="7390" max="7390" width="16.28515625" style="1" customWidth="1"/>
    <col min="7391" max="7391" width="12.7109375" style="1" customWidth="1"/>
    <col min="7392" max="7392" width="18" style="1" customWidth="1"/>
    <col min="7393" max="7393" width="13.42578125" style="1" customWidth="1"/>
    <col min="7394" max="7394" width="11.7109375" style="1" customWidth="1"/>
    <col min="7395" max="7395" width="12.42578125" style="1" customWidth="1"/>
    <col min="7396" max="7396" width="4" style="1" customWidth="1"/>
    <col min="7397" max="7397" width="6.5703125" style="1" customWidth="1"/>
    <col min="7398" max="7398" width="10.85546875" style="1" customWidth="1"/>
    <col min="7399" max="7399" width="4.7109375" style="1" customWidth="1"/>
    <col min="7400" max="7400" width="5.140625" style="1" customWidth="1"/>
    <col min="7401" max="7402" width="11.85546875" style="1" customWidth="1"/>
    <col min="7403" max="7403" width="7" style="1" customWidth="1"/>
    <col min="7404" max="7404" width="12.7109375" style="1" bestFit="1" customWidth="1"/>
    <col min="7405" max="7405" width="9.5703125" style="1" customWidth="1"/>
    <col min="7406" max="7406" width="19.7109375" style="1" customWidth="1"/>
    <col min="7407" max="7407" width="13" style="1" bestFit="1" customWidth="1"/>
    <col min="7408" max="7641" width="11.42578125" style="1"/>
    <col min="7642" max="7642" width="5.140625" style="1" customWidth="1"/>
    <col min="7643" max="7643" width="23.42578125" style="1" customWidth="1"/>
    <col min="7644" max="7644" width="7.85546875" style="1" customWidth="1"/>
    <col min="7645" max="7645" width="10.140625" style="1" customWidth="1"/>
    <col min="7646" max="7646" width="16.28515625" style="1" customWidth="1"/>
    <col min="7647" max="7647" width="12.7109375" style="1" customWidth="1"/>
    <col min="7648" max="7648" width="18" style="1" customWidth="1"/>
    <col min="7649" max="7649" width="13.42578125" style="1" customWidth="1"/>
    <col min="7650" max="7650" width="11.7109375" style="1" customWidth="1"/>
    <col min="7651" max="7651" width="12.42578125" style="1" customWidth="1"/>
    <col min="7652" max="7652" width="4" style="1" customWidth="1"/>
    <col min="7653" max="7653" width="6.5703125" style="1" customWidth="1"/>
    <col min="7654" max="7654" width="10.85546875" style="1" customWidth="1"/>
    <col min="7655" max="7655" width="4.7109375" style="1" customWidth="1"/>
    <col min="7656" max="7656" width="5.140625" style="1" customWidth="1"/>
    <col min="7657" max="7658" width="11.85546875" style="1" customWidth="1"/>
    <col min="7659" max="7659" width="7" style="1" customWidth="1"/>
    <col min="7660" max="7660" width="12.7109375" style="1" bestFit="1" customWidth="1"/>
    <col min="7661" max="7661" width="9.5703125" style="1" customWidth="1"/>
    <col min="7662" max="7662" width="19.7109375" style="1" customWidth="1"/>
    <col min="7663" max="7663" width="13" style="1" bestFit="1" customWidth="1"/>
    <col min="7664" max="7897" width="11.42578125" style="1"/>
    <col min="7898" max="7898" width="5.140625" style="1" customWidth="1"/>
    <col min="7899" max="7899" width="23.42578125" style="1" customWidth="1"/>
    <col min="7900" max="7900" width="7.85546875" style="1" customWidth="1"/>
    <col min="7901" max="7901" width="10.140625" style="1" customWidth="1"/>
    <col min="7902" max="7902" width="16.28515625" style="1" customWidth="1"/>
    <col min="7903" max="7903" width="12.7109375" style="1" customWidth="1"/>
    <col min="7904" max="7904" width="18" style="1" customWidth="1"/>
    <col min="7905" max="7905" width="13.42578125" style="1" customWidth="1"/>
    <col min="7906" max="7906" width="11.7109375" style="1" customWidth="1"/>
    <col min="7907" max="7907" width="12.42578125" style="1" customWidth="1"/>
    <col min="7908" max="7908" width="4" style="1" customWidth="1"/>
    <col min="7909" max="7909" width="6.5703125" style="1" customWidth="1"/>
    <col min="7910" max="7910" width="10.85546875" style="1" customWidth="1"/>
    <col min="7911" max="7911" width="4.7109375" style="1" customWidth="1"/>
    <col min="7912" max="7912" width="5.140625" style="1" customWidth="1"/>
    <col min="7913" max="7914" width="11.85546875" style="1" customWidth="1"/>
    <col min="7915" max="7915" width="7" style="1" customWidth="1"/>
    <col min="7916" max="7916" width="12.7109375" style="1" bestFit="1" customWidth="1"/>
    <col min="7917" max="7917" width="9.5703125" style="1" customWidth="1"/>
    <col min="7918" max="7918" width="19.7109375" style="1" customWidth="1"/>
    <col min="7919" max="7919" width="13" style="1" bestFit="1" customWidth="1"/>
    <col min="7920" max="8153" width="11.42578125" style="1"/>
    <col min="8154" max="8154" width="5.140625" style="1" customWidth="1"/>
    <col min="8155" max="8155" width="23.42578125" style="1" customWidth="1"/>
    <col min="8156" max="8156" width="7.85546875" style="1" customWidth="1"/>
    <col min="8157" max="8157" width="10.140625" style="1" customWidth="1"/>
    <col min="8158" max="8158" width="16.28515625" style="1" customWidth="1"/>
    <col min="8159" max="8159" width="12.7109375" style="1" customWidth="1"/>
    <col min="8160" max="8160" width="18" style="1" customWidth="1"/>
    <col min="8161" max="8161" width="13.42578125" style="1" customWidth="1"/>
    <col min="8162" max="8162" width="11.7109375" style="1" customWidth="1"/>
    <col min="8163" max="8163" width="12.42578125" style="1" customWidth="1"/>
    <col min="8164" max="8164" width="4" style="1" customWidth="1"/>
    <col min="8165" max="8165" width="6.5703125" style="1" customWidth="1"/>
    <col min="8166" max="8166" width="10.85546875" style="1" customWidth="1"/>
    <col min="8167" max="8167" width="4.7109375" style="1" customWidth="1"/>
    <col min="8168" max="8168" width="5.140625" style="1" customWidth="1"/>
    <col min="8169" max="8170" width="11.85546875" style="1" customWidth="1"/>
    <col min="8171" max="8171" width="7" style="1" customWidth="1"/>
    <col min="8172" max="8172" width="12.7109375" style="1" bestFit="1" customWidth="1"/>
    <col min="8173" max="8173" width="9.5703125" style="1" customWidth="1"/>
    <col min="8174" max="8174" width="19.7109375" style="1" customWidth="1"/>
    <col min="8175" max="8175" width="13" style="1" bestFit="1" customWidth="1"/>
    <col min="8176" max="8409" width="11.42578125" style="1"/>
    <col min="8410" max="8410" width="5.140625" style="1" customWidth="1"/>
    <col min="8411" max="8411" width="23.42578125" style="1" customWidth="1"/>
    <col min="8412" max="8412" width="7.85546875" style="1" customWidth="1"/>
    <col min="8413" max="8413" width="10.140625" style="1" customWidth="1"/>
    <col min="8414" max="8414" width="16.28515625" style="1" customWidth="1"/>
    <col min="8415" max="8415" width="12.7109375" style="1" customWidth="1"/>
    <col min="8416" max="8416" width="18" style="1" customWidth="1"/>
    <col min="8417" max="8417" width="13.42578125" style="1" customWidth="1"/>
    <col min="8418" max="8418" width="11.7109375" style="1" customWidth="1"/>
    <col min="8419" max="8419" width="12.42578125" style="1" customWidth="1"/>
    <col min="8420" max="8420" width="4" style="1" customWidth="1"/>
    <col min="8421" max="8421" width="6.5703125" style="1" customWidth="1"/>
    <col min="8422" max="8422" width="10.85546875" style="1" customWidth="1"/>
    <col min="8423" max="8423" width="4.7109375" style="1" customWidth="1"/>
    <col min="8424" max="8424" width="5.140625" style="1" customWidth="1"/>
    <col min="8425" max="8426" width="11.85546875" style="1" customWidth="1"/>
    <col min="8427" max="8427" width="7" style="1" customWidth="1"/>
    <col min="8428" max="8428" width="12.7109375" style="1" bestFit="1" customWidth="1"/>
    <col min="8429" max="8429" width="9.5703125" style="1" customWidth="1"/>
    <col min="8430" max="8430" width="19.7109375" style="1" customWidth="1"/>
    <col min="8431" max="8431" width="13" style="1" bestFit="1" customWidth="1"/>
    <col min="8432" max="8665" width="11.42578125" style="1"/>
    <col min="8666" max="8666" width="5.140625" style="1" customWidth="1"/>
    <col min="8667" max="8667" width="23.42578125" style="1" customWidth="1"/>
    <col min="8668" max="8668" width="7.85546875" style="1" customWidth="1"/>
    <col min="8669" max="8669" width="10.140625" style="1" customWidth="1"/>
    <col min="8670" max="8670" width="16.28515625" style="1" customWidth="1"/>
    <col min="8671" max="8671" width="12.7109375" style="1" customWidth="1"/>
    <col min="8672" max="8672" width="18" style="1" customWidth="1"/>
    <col min="8673" max="8673" width="13.42578125" style="1" customWidth="1"/>
    <col min="8674" max="8674" width="11.7109375" style="1" customWidth="1"/>
    <col min="8675" max="8675" width="12.42578125" style="1" customWidth="1"/>
    <col min="8676" max="8676" width="4" style="1" customWidth="1"/>
    <col min="8677" max="8677" width="6.5703125" style="1" customWidth="1"/>
    <col min="8678" max="8678" width="10.85546875" style="1" customWidth="1"/>
    <col min="8679" max="8679" width="4.7109375" style="1" customWidth="1"/>
    <col min="8680" max="8680" width="5.140625" style="1" customWidth="1"/>
    <col min="8681" max="8682" width="11.85546875" style="1" customWidth="1"/>
    <col min="8683" max="8683" width="7" style="1" customWidth="1"/>
    <col min="8684" max="8684" width="12.7109375" style="1" bestFit="1" customWidth="1"/>
    <col min="8685" max="8685" width="9.5703125" style="1" customWidth="1"/>
    <col min="8686" max="8686" width="19.7109375" style="1" customWidth="1"/>
    <col min="8687" max="8687" width="13" style="1" bestFit="1" customWidth="1"/>
    <col min="8688" max="8921" width="11.42578125" style="1"/>
    <col min="8922" max="8922" width="5.140625" style="1" customWidth="1"/>
    <col min="8923" max="8923" width="23.42578125" style="1" customWidth="1"/>
    <col min="8924" max="8924" width="7.85546875" style="1" customWidth="1"/>
    <col min="8925" max="8925" width="10.140625" style="1" customWidth="1"/>
    <col min="8926" max="8926" width="16.28515625" style="1" customWidth="1"/>
    <col min="8927" max="8927" width="12.7109375" style="1" customWidth="1"/>
    <col min="8928" max="8928" width="18" style="1" customWidth="1"/>
    <col min="8929" max="8929" width="13.42578125" style="1" customWidth="1"/>
    <col min="8930" max="8930" width="11.7109375" style="1" customWidth="1"/>
    <col min="8931" max="8931" width="12.42578125" style="1" customWidth="1"/>
    <col min="8932" max="8932" width="4" style="1" customWidth="1"/>
    <col min="8933" max="8933" width="6.5703125" style="1" customWidth="1"/>
    <col min="8934" max="8934" width="10.85546875" style="1" customWidth="1"/>
    <col min="8935" max="8935" width="4.7109375" style="1" customWidth="1"/>
    <col min="8936" max="8936" width="5.140625" style="1" customWidth="1"/>
    <col min="8937" max="8938" width="11.85546875" style="1" customWidth="1"/>
    <col min="8939" max="8939" width="7" style="1" customWidth="1"/>
    <col min="8940" max="8940" width="12.7109375" style="1" bestFit="1" customWidth="1"/>
    <col min="8941" max="8941" width="9.5703125" style="1" customWidth="1"/>
    <col min="8942" max="8942" width="19.7109375" style="1" customWidth="1"/>
    <col min="8943" max="8943" width="13" style="1" bestFit="1" customWidth="1"/>
    <col min="8944" max="9177" width="11.42578125" style="1"/>
    <col min="9178" max="9178" width="5.140625" style="1" customWidth="1"/>
    <col min="9179" max="9179" width="23.42578125" style="1" customWidth="1"/>
    <col min="9180" max="9180" width="7.85546875" style="1" customWidth="1"/>
    <col min="9181" max="9181" width="10.140625" style="1" customWidth="1"/>
    <col min="9182" max="9182" width="16.28515625" style="1" customWidth="1"/>
    <col min="9183" max="9183" width="12.7109375" style="1" customWidth="1"/>
    <col min="9184" max="9184" width="18" style="1" customWidth="1"/>
    <col min="9185" max="9185" width="13.42578125" style="1" customWidth="1"/>
    <col min="9186" max="9186" width="11.7109375" style="1" customWidth="1"/>
    <col min="9187" max="9187" width="12.42578125" style="1" customWidth="1"/>
    <col min="9188" max="9188" width="4" style="1" customWidth="1"/>
    <col min="9189" max="9189" width="6.5703125" style="1" customWidth="1"/>
    <col min="9190" max="9190" width="10.85546875" style="1" customWidth="1"/>
    <col min="9191" max="9191" width="4.7109375" style="1" customWidth="1"/>
    <col min="9192" max="9192" width="5.140625" style="1" customWidth="1"/>
    <col min="9193" max="9194" width="11.85546875" style="1" customWidth="1"/>
    <col min="9195" max="9195" width="7" style="1" customWidth="1"/>
    <col min="9196" max="9196" width="12.7109375" style="1" bestFit="1" customWidth="1"/>
    <col min="9197" max="9197" width="9.5703125" style="1" customWidth="1"/>
    <col min="9198" max="9198" width="19.7109375" style="1" customWidth="1"/>
    <col min="9199" max="9199" width="13" style="1" bestFit="1" customWidth="1"/>
    <col min="9200" max="9433" width="11.42578125" style="1"/>
    <col min="9434" max="9434" width="5.140625" style="1" customWidth="1"/>
    <col min="9435" max="9435" width="23.42578125" style="1" customWidth="1"/>
    <col min="9436" max="9436" width="7.85546875" style="1" customWidth="1"/>
    <col min="9437" max="9437" width="10.140625" style="1" customWidth="1"/>
    <col min="9438" max="9438" width="16.28515625" style="1" customWidth="1"/>
    <col min="9439" max="9439" width="12.7109375" style="1" customWidth="1"/>
    <col min="9440" max="9440" width="18" style="1" customWidth="1"/>
    <col min="9441" max="9441" width="13.42578125" style="1" customWidth="1"/>
    <col min="9442" max="9442" width="11.7109375" style="1" customWidth="1"/>
    <col min="9443" max="9443" width="12.42578125" style="1" customWidth="1"/>
    <col min="9444" max="9444" width="4" style="1" customWidth="1"/>
    <col min="9445" max="9445" width="6.5703125" style="1" customWidth="1"/>
    <col min="9446" max="9446" width="10.85546875" style="1" customWidth="1"/>
    <col min="9447" max="9447" width="4.7109375" style="1" customWidth="1"/>
    <col min="9448" max="9448" width="5.140625" style="1" customWidth="1"/>
    <col min="9449" max="9450" width="11.85546875" style="1" customWidth="1"/>
    <col min="9451" max="9451" width="7" style="1" customWidth="1"/>
    <col min="9452" max="9452" width="12.7109375" style="1" bestFit="1" customWidth="1"/>
    <col min="9453" max="9453" width="9.5703125" style="1" customWidth="1"/>
    <col min="9454" max="9454" width="19.7109375" style="1" customWidth="1"/>
    <col min="9455" max="9455" width="13" style="1" bestFit="1" customWidth="1"/>
    <col min="9456" max="9689" width="11.42578125" style="1"/>
    <col min="9690" max="9690" width="5.140625" style="1" customWidth="1"/>
    <col min="9691" max="9691" width="23.42578125" style="1" customWidth="1"/>
    <col min="9692" max="9692" width="7.85546875" style="1" customWidth="1"/>
    <col min="9693" max="9693" width="10.140625" style="1" customWidth="1"/>
    <col min="9694" max="9694" width="16.28515625" style="1" customWidth="1"/>
    <col min="9695" max="9695" width="12.7109375" style="1" customWidth="1"/>
    <col min="9696" max="9696" width="18" style="1" customWidth="1"/>
    <col min="9697" max="9697" width="13.42578125" style="1" customWidth="1"/>
    <col min="9698" max="9698" width="11.7109375" style="1" customWidth="1"/>
    <col min="9699" max="9699" width="12.42578125" style="1" customWidth="1"/>
    <col min="9700" max="9700" width="4" style="1" customWidth="1"/>
    <col min="9701" max="9701" width="6.5703125" style="1" customWidth="1"/>
    <col min="9702" max="9702" width="10.85546875" style="1" customWidth="1"/>
    <col min="9703" max="9703" width="4.7109375" style="1" customWidth="1"/>
    <col min="9704" max="9704" width="5.140625" style="1" customWidth="1"/>
    <col min="9705" max="9706" width="11.85546875" style="1" customWidth="1"/>
    <col min="9707" max="9707" width="7" style="1" customWidth="1"/>
    <col min="9708" max="9708" width="12.7109375" style="1" bestFit="1" customWidth="1"/>
    <col min="9709" max="9709" width="9.5703125" style="1" customWidth="1"/>
    <col min="9710" max="9710" width="19.7109375" style="1" customWidth="1"/>
    <col min="9711" max="9711" width="13" style="1" bestFit="1" customWidth="1"/>
    <col min="9712" max="9945" width="11.42578125" style="1"/>
    <col min="9946" max="9946" width="5.140625" style="1" customWidth="1"/>
    <col min="9947" max="9947" width="23.42578125" style="1" customWidth="1"/>
    <col min="9948" max="9948" width="7.85546875" style="1" customWidth="1"/>
    <col min="9949" max="9949" width="10.140625" style="1" customWidth="1"/>
    <col min="9950" max="9950" width="16.28515625" style="1" customWidth="1"/>
    <col min="9951" max="9951" width="12.7109375" style="1" customWidth="1"/>
    <col min="9952" max="9952" width="18" style="1" customWidth="1"/>
    <col min="9953" max="9953" width="13.42578125" style="1" customWidth="1"/>
    <col min="9954" max="9954" width="11.7109375" style="1" customWidth="1"/>
    <col min="9955" max="9955" width="12.42578125" style="1" customWidth="1"/>
    <col min="9956" max="9956" width="4" style="1" customWidth="1"/>
    <col min="9957" max="9957" width="6.5703125" style="1" customWidth="1"/>
    <col min="9958" max="9958" width="10.85546875" style="1" customWidth="1"/>
    <col min="9959" max="9959" width="4.7109375" style="1" customWidth="1"/>
    <col min="9960" max="9960" width="5.140625" style="1" customWidth="1"/>
    <col min="9961" max="9962" width="11.85546875" style="1" customWidth="1"/>
    <col min="9963" max="9963" width="7" style="1" customWidth="1"/>
    <col min="9964" max="9964" width="12.7109375" style="1" bestFit="1" customWidth="1"/>
    <col min="9965" max="9965" width="9.5703125" style="1" customWidth="1"/>
    <col min="9966" max="9966" width="19.7109375" style="1" customWidth="1"/>
    <col min="9967" max="9967" width="13" style="1" bestFit="1" customWidth="1"/>
    <col min="9968" max="10201" width="11.42578125" style="1"/>
    <col min="10202" max="10202" width="5.140625" style="1" customWidth="1"/>
    <col min="10203" max="10203" width="23.42578125" style="1" customWidth="1"/>
    <col min="10204" max="10204" width="7.85546875" style="1" customWidth="1"/>
    <col min="10205" max="10205" width="10.140625" style="1" customWidth="1"/>
    <col min="10206" max="10206" width="16.28515625" style="1" customWidth="1"/>
    <col min="10207" max="10207" width="12.7109375" style="1" customWidth="1"/>
    <col min="10208" max="10208" width="18" style="1" customWidth="1"/>
    <col min="10209" max="10209" width="13.42578125" style="1" customWidth="1"/>
    <col min="10210" max="10210" width="11.7109375" style="1" customWidth="1"/>
    <col min="10211" max="10211" width="12.42578125" style="1" customWidth="1"/>
    <col min="10212" max="10212" width="4" style="1" customWidth="1"/>
    <col min="10213" max="10213" width="6.5703125" style="1" customWidth="1"/>
    <col min="10214" max="10214" width="10.85546875" style="1" customWidth="1"/>
    <col min="10215" max="10215" width="4.7109375" style="1" customWidth="1"/>
    <col min="10216" max="10216" width="5.140625" style="1" customWidth="1"/>
    <col min="10217" max="10218" width="11.85546875" style="1" customWidth="1"/>
    <col min="10219" max="10219" width="7" style="1" customWidth="1"/>
    <col min="10220" max="10220" width="12.7109375" style="1" bestFit="1" customWidth="1"/>
    <col min="10221" max="10221" width="9.5703125" style="1" customWidth="1"/>
    <col min="10222" max="10222" width="19.7109375" style="1" customWidth="1"/>
    <col min="10223" max="10223" width="13" style="1" bestFit="1" customWidth="1"/>
    <col min="10224" max="10457" width="11.42578125" style="1"/>
    <col min="10458" max="10458" width="5.140625" style="1" customWidth="1"/>
    <col min="10459" max="10459" width="23.42578125" style="1" customWidth="1"/>
    <col min="10460" max="10460" width="7.85546875" style="1" customWidth="1"/>
    <col min="10461" max="10461" width="10.140625" style="1" customWidth="1"/>
    <col min="10462" max="10462" width="16.28515625" style="1" customWidth="1"/>
    <col min="10463" max="10463" width="12.7109375" style="1" customWidth="1"/>
    <col min="10464" max="10464" width="18" style="1" customWidth="1"/>
    <col min="10465" max="10465" width="13.42578125" style="1" customWidth="1"/>
    <col min="10466" max="10466" width="11.7109375" style="1" customWidth="1"/>
    <col min="10467" max="10467" width="12.42578125" style="1" customWidth="1"/>
    <col min="10468" max="10468" width="4" style="1" customWidth="1"/>
    <col min="10469" max="10469" width="6.5703125" style="1" customWidth="1"/>
    <col min="10470" max="10470" width="10.85546875" style="1" customWidth="1"/>
    <col min="10471" max="10471" width="4.7109375" style="1" customWidth="1"/>
    <col min="10472" max="10472" width="5.140625" style="1" customWidth="1"/>
    <col min="10473" max="10474" width="11.85546875" style="1" customWidth="1"/>
    <col min="10475" max="10475" width="7" style="1" customWidth="1"/>
    <col min="10476" max="10476" width="12.7109375" style="1" bestFit="1" customWidth="1"/>
    <col min="10477" max="10477" width="9.5703125" style="1" customWidth="1"/>
    <col min="10478" max="10478" width="19.7109375" style="1" customWidth="1"/>
    <col min="10479" max="10479" width="13" style="1" bestFit="1" customWidth="1"/>
    <col min="10480" max="10713" width="11.42578125" style="1"/>
    <col min="10714" max="10714" width="5.140625" style="1" customWidth="1"/>
    <col min="10715" max="10715" width="23.42578125" style="1" customWidth="1"/>
    <col min="10716" max="10716" width="7.85546875" style="1" customWidth="1"/>
    <col min="10717" max="10717" width="10.140625" style="1" customWidth="1"/>
    <col min="10718" max="10718" width="16.28515625" style="1" customWidth="1"/>
    <col min="10719" max="10719" width="12.7109375" style="1" customWidth="1"/>
    <col min="10720" max="10720" width="18" style="1" customWidth="1"/>
    <col min="10721" max="10721" width="13.42578125" style="1" customWidth="1"/>
    <col min="10722" max="10722" width="11.7109375" style="1" customWidth="1"/>
    <col min="10723" max="10723" width="12.42578125" style="1" customWidth="1"/>
    <col min="10724" max="10724" width="4" style="1" customWidth="1"/>
    <col min="10725" max="10725" width="6.5703125" style="1" customWidth="1"/>
    <col min="10726" max="10726" width="10.85546875" style="1" customWidth="1"/>
    <col min="10727" max="10727" width="4.7109375" style="1" customWidth="1"/>
    <col min="10728" max="10728" width="5.140625" style="1" customWidth="1"/>
    <col min="10729" max="10730" width="11.85546875" style="1" customWidth="1"/>
    <col min="10731" max="10731" width="7" style="1" customWidth="1"/>
    <col min="10732" max="10732" width="12.7109375" style="1" bestFit="1" customWidth="1"/>
    <col min="10733" max="10733" width="9.5703125" style="1" customWidth="1"/>
    <col min="10734" max="10734" width="19.7109375" style="1" customWidth="1"/>
    <col min="10735" max="10735" width="13" style="1" bestFit="1" customWidth="1"/>
    <col min="10736" max="10969" width="11.42578125" style="1"/>
    <col min="10970" max="10970" width="5.140625" style="1" customWidth="1"/>
    <col min="10971" max="10971" width="23.42578125" style="1" customWidth="1"/>
    <col min="10972" max="10972" width="7.85546875" style="1" customWidth="1"/>
    <col min="10973" max="10973" width="10.140625" style="1" customWidth="1"/>
    <col min="10974" max="10974" width="16.28515625" style="1" customWidth="1"/>
    <col min="10975" max="10975" width="12.7109375" style="1" customWidth="1"/>
    <col min="10976" max="10976" width="18" style="1" customWidth="1"/>
    <col min="10977" max="10977" width="13.42578125" style="1" customWidth="1"/>
    <col min="10978" max="10978" width="11.7109375" style="1" customWidth="1"/>
    <col min="10979" max="10979" width="12.42578125" style="1" customWidth="1"/>
    <col min="10980" max="10980" width="4" style="1" customWidth="1"/>
    <col min="10981" max="10981" width="6.5703125" style="1" customWidth="1"/>
    <col min="10982" max="10982" width="10.85546875" style="1" customWidth="1"/>
    <col min="10983" max="10983" width="4.7109375" style="1" customWidth="1"/>
    <col min="10984" max="10984" width="5.140625" style="1" customWidth="1"/>
    <col min="10985" max="10986" width="11.85546875" style="1" customWidth="1"/>
    <col min="10987" max="10987" width="7" style="1" customWidth="1"/>
    <col min="10988" max="10988" width="12.7109375" style="1" bestFit="1" customWidth="1"/>
    <col min="10989" max="10989" width="9.5703125" style="1" customWidth="1"/>
    <col min="10990" max="10990" width="19.7109375" style="1" customWidth="1"/>
    <col min="10991" max="10991" width="13" style="1" bestFit="1" customWidth="1"/>
    <col min="10992" max="11225" width="11.42578125" style="1"/>
    <col min="11226" max="11226" width="5.140625" style="1" customWidth="1"/>
    <col min="11227" max="11227" width="23.42578125" style="1" customWidth="1"/>
    <col min="11228" max="11228" width="7.85546875" style="1" customWidth="1"/>
    <col min="11229" max="11229" width="10.140625" style="1" customWidth="1"/>
    <col min="11230" max="11230" width="16.28515625" style="1" customWidth="1"/>
    <col min="11231" max="11231" width="12.7109375" style="1" customWidth="1"/>
    <col min="11232" max="11232" width="18" style="1" customWidth="1"/>
    <col min="11233" max="11233" width="13.42578125" style="1" customWidth="1"/>
    <col min="11234" max="11234" width="11.7109375" style="1" customWidth="1"/>
    <col min="11235" max="11235" width="12.42578125" style="1" customWidth="1"/>
    <col min="11236" max="11236" width="4" style="1" customWidth="1"/>
    <col min="11237" max="11237" width="6.5703125" style="1" customWidth="1"/>
    <col min="11238" max="11238" width="10.85546875" style="1" customWidth="1"/>
    <col min="11239" max="11239" width="4.7109375" style="1" customWidth="1"/>
    <col min="11240" max="11240" width="5.140625" style="1" customWidth="1"/>
    <col min="11241" max="11242" width="11.85546875" style="1" customWidth="1"/>
    <col min="11243" max="11243" width="7" style="1" customWidth="1"/>
    <col min="11244" max="11244" width="12.7109375" style="1" bestFit="1" customWidth="1"/>
    <col min="11245" max="11245" width="9.5703125" style="1" customWidth="1"/>
    <col min="11246" max="11246" width="19.7109375" style="1" customWidth="1"/>
    <col min="11247" max="11247" width="13" style="1" bestFit="1" customWidth="1"/>
    <col min="11248" max="11481" width="11.42578125" style="1"/>
    <col min="11482" max="11482" width="5.140625" style="1" customWidth="1"/>
    <col min="11483" max="11483" width="23.42578125" style="1" customWidth="1"/>
    <col min="11484" max="11484" width="7.85546875" style="1" customWidth="1"/>
    <col min="11485" max="11485" width="10.140625" style="1" customWidth="1"/>
    <col min="11486" max="11486" width="16.28515625" style="1" customWidth="1"/>
    <col min="11487" max="11487" width="12.7109375" style="1" customWidth="1"/>
    <col min="11488" max="11488" width="18" style="1" customWidth="1"/>
    <col min="11489" max="11489" width="13.42578125" style="1" customWidth="1"/>
    <col min="11490" max="11490" width="11.7109375" style="1" customWidth="1"/>
    <col min="11491" max="11491" width="12.42578125" style="1" customWidth="1"/>
    <col min="11492" max="11492" width="4" style="1" customWidth="1"/>
    <col min="11493" max="11493" width="6.5703125" style="1" customWidth="1"/>
    <col min="11494" max="11494" width="10.85546875" style="1" customWidth="1"/>
    <col min="11495" max="11495" width="4.7109375" style="1" customWidth="1"/>
    <col min="11496" max="11496" width="5.140625" style="1" customWidth="1"/>
    <col min="11497" max="11498" width="11.85546875" style="1" customWidth="1"/>
    <col min="11499" max="11499" width="7" style="1" customWidth="1"/>
    <col min="11500" max="11500" width="12.7109375" style="1" bestFit="1" customWidth="1"/>
    <col min="11501" max="11501" width="9.5703125" style="1" customWidth="1"/>
    <col min="11502" max="11502" width="19.7109375" style="1" customWidth="1"/>
    <col min="11503" max="11503" width="13" style="1" bestFit="1" customWidth="1"/>
    <col min="11504" max="11737" width="11.42578125" style="1"/>
    <col min="11738" max="11738" width="5.140625" style="1" customWidth="1"/>
    <col min="11739" max="11739" width="23.42578125" style="1" customWidth="1"/>
    <col min="11740" max="11740" width="7.85546875" style="1" customWidth="1"/>
    <col min="11741" max="11741" width="10.140625" style="1" customWidth="1"/>
    <col min="11742" max="11742" width="16.28515625" style="1" customWidth="1"/>
    <col min="11743" max="11743" width="12.7109375" style="1" customWidth="1"/>
    <col min="11744" max="11744" width="18" style="1" customWidth="1"/>
    <col min="11745" max="11745" width="13.42578125" style="1" customWidth="1"/>
    <col min="11746" max="11746" width="11.7109375" style="1" customWidth="1"/>
    <col min="11747" max="11747" width="12.42578125" style="1" customWidth="1"/>
    <col min="11748" max="11748" width="4" style="1" customWidth="1"/>
    <col min="11749" max="11749" width="6.5703125" style="1" customWidth="1"/>
    <col min="11750" max="11750" width="10.85546875" style="1" customWidth="1"/>
    <col min="11751" max="11751" width="4.7109375" style="1" customWidth="1"/>
    <col min="11752" max="11752" width="5.140625" style="1" customWidth="1"/>
    <col min="11753" max="11754" width="11.85546875" style="1" customWidth="1"/>
    <col min="11755" max="11755" width="7" style="1" customWidth="1"/>
    <col min="11756" max="11756" width="12.7109375" style="1" bestFit="1" customWidth="1"/>
    <col min="11757" max="11757" width="9.5703125" style="1" customWidth="1"/>
    <col min="11758" max="11758" width="19.7109375" style="1" customWidth="1"/>
    <col min="11759" max="11759" width="13" style="1" bestFit="1" customWidth="1"/>
    <col min="11760" max="11993" width="11.42578125" style="1"/>
    <col min="11994" max="11994" width="5.140625" style="1" customWidth="1"/>
    <col min="11995" max="11995" width="23.42578125" style="1" customWidth="1"/>
    <col min="11996" max="11996" width="7.85546875" style="1" customWidth="1"/>
    <col min="11997" max="11997" width="10.140625" style="1" customWidth="1"/>
    <col min="11998" max="11998" width="16.28515625" style="1" customWidth="1"/>
    <col min="11999" max="11999" width="12.7109375" style="1" customWidth="1"/>
    <col min="12000" max="12000" width="18" style="1" customWidth="1"/>
    <col min="12001" max="12001" width="13.42578125" style="1" customWidth="1"/>
    <col min="12002" max="12002" width="11.7109375" style="1" customWidth="1"/>
    <col min="12003" max="12003" width="12.42578125" style="1" customWidth="1"/>
    <col min="12004" max="12004" width="4" style="1" customWidth="1"/>
    <col min="12005" max="12005" width="6.5703125" style="1" customWidth="1"/>
    <col min="12006" max="12006" width="10.85546875" style="1" customWidth="1"/>
    <col min="12007" max="12007" width="4.7109375" style="1" customWidth="1"/>
    <col min="12008" max="12008" width="5.140625" style="1" customWidth="1"/>
    <col min="12009" max="12010" width="11.85546875" style="1" customWidth="1"/>
    <col min="12011" max="12011" width="7" style="1" customWidth="1"/>
    <col min="12012" max="12012" width="12.7109375" style="1" bestFit="1" customWidth="1"/>
    <col min="12013" max="12013" width="9.5703125" style="1" customWidth="1"/>
    <col min="12014" max="12014" width="19.7109375" style="1" customWidth="1"/>
    <col min="12015" max="12015" width="13" style="1" bestFit="1" customWidth="1"/>
    <col min="12016" max="12249" width="11.42578125" style="1"/>
    <col min="12250" max="12250" width="5.140625" style="1" customWidth="1"/>
    <col min="12251" max="12251" width="23.42578125" style="1" customWidth="1"/>
    <col min="12252" max="12252" width="7.85546875" style="1" customWidth="1"/>
    <col min="12253" max="12253" width="10.140625" style="1" customWidth="1"/>
    <col min="12254" max="12254" width="16.28515625" style="1" customWidth="1"/>
    <col min="12255" max="12255" width="12.7109375" style="1" customWidth="1"/>
    <col min="12256" max="12256" width="18" style="1" customWidth="1"/>
    <col min="12257" max="12257" width="13.42578125" style="1" customWidth="1"/>
    <col min="12258" max="12258" width="11.7109375" style="1" customWidth="1"/>
    <col min="12259" max="12259" width="12.42578125" style="1" customWidth="1"/>
    <col min="12260" max="12260" width="4" style="1" customWidth="1"/>
    <col min="12261" max="12261" width="6.5703125" style="1" customWidth="1"/>
    <col min="12262" max="12262" width="10.85546875" style="1" customWidth="1"/>
    <col min="12263" max="12263" width="4.7109375" style="1" customWidth="1"/>
    <col min="12264" max="12264" width="5.140625" style="1" customWidth="1"/>
    <col min="12265" max="12266" width="11.85546875" style="1" customWidth="1"/>
    <col min="12267" max="12267" width="7" style="1" customWidth="1"/>
    <col min="12268" max="12268" width="12.7109375" style="1" bestFit="1" customWidth="1"/>
    <col min="12269" max="12269" width="9.5703125" style="1" customWidth="1"/>
    <col min="12270" max="12270" width="19.7109375" style="1" customWidth="1"/>
    <col min="12271" max="12271" width="13" style="1" bestFit="1" customWidth="1"/>
    <col min="12272" max="12505" width="11.42578125" style="1"/>
    <col min="12506" max="12506" width="5.140625" style="1" customWidth="1"/>
    <col min="12507" max="12507" width="23.42578125" style="1" customWidth="1"/>
    <col min="12508" max="12508" width="7.85546875" style="1" customWidth="1"/>
    <col min="12509" max="12509" width="10.140625" style="1" customWidth="1"/>
    <col min="12510" max="12510" width="16.28515625" style="1" customWidth="1"/>
    <col min="12511" max="12511" width="12.7109375" style="1" customWidth="1"/>
    <col min="12512" max="12512" width="18" style="1" customWidth="1"/>
    <col min="12513" max="12513" width="13.42578125" style="1" customWidth="1"/>
    <col min="12514" max="12514" width="11.7109375" style="1" customWidth="1"/>
    <col min="12515" max="12515" width="12.42578125" style="1" customWidth="1"/>
    <col min="12516" max="12516" width="4" style="1" customWidth="1"/>
    <col min="12517" max="12517" width="6.5703125" style="1" customWidth="1"/>
    <col min="12518" max="12518" width="10.85546875" style="1" customWidth="1"/>
    <col min="12519" max="12519" width="4.7109375" style="1" customWidth="1"/>
    <col min="12520" max="12520" width="5.140625" style="1" customWidth="1"/>
    <col min="12521" max="12522" width="11.85546875" style="1" customWidth="1"/>
    <col min="12523" max="12523" width="7" style="1" customWidth="1"/>
    <col min="12524" max="12524" width="12.7109375" style="1" bestFit="1" customWidth="1"/>
    <col min="12525" max="12525" width="9.5703125" style="1" customWidth="1"/>
    <col min="12526" max="12526" width="19.7109375" style="1" customWidth="1"/>
    <col min="12527" max="12527" width="13" style="1" bestFit="1" customWidth="1"/>
    <col min="12528" max="12761" width="11.42578125" style="1"/>
    <col min="12762" max="12762" width="5.140625" style="1" customWidth="1"/>
    <col min="12763" max="12763" width="23.42578125" style="1" customWidth="1"/>
    <col min="12764" max="12764" width="7.85546875" style="1" customWidth="1"/>
    <col min="12765" max="12765" width="10.140625" style="1" customWidth="1"/>
    <col min="12766" max="12766" width="16.28515625" style="1" customWidth="1"/>
    <col min="12767" max="12767" width="12.7109375" style="1" customWidth="1"/>
    <col min="12768" max="12768" width="18" style="1" customWidth="1"/>
    <col min="12769" max="12769" width="13.42578125" style="1" customWidth="1"/>
    <col min="12770" max="12770" width="11.7109375" style="1" customWidth="1"/>
    <col min="12771" max="12771" width="12.42578125" style="1" customWidth="1"/>
    <col min="12772" max="12772" width="4" style="1" customWidth="1"/>
    <col min="12773" max="12773" width="6.5703125" style="1" customWidth="1"/>
    <col min="12774" max="12774" width="10.85546875" style="1" customWidth="1"/>
    <col min="12775" max="12775" width="4.7109375" style="1" customWidth="1"/>
    <col min="12776" max="12776" width="5.140625" style="1" customWidth="1"/>
    <col min="12777" max="12778" width="11.85546875" style="1" customWidth="1"/>
    <col min="12779" max="12779" width="7" style="1" customWidth="1"/>
    <col min="12780" max="12780" width="12.7109375" style="1" bestFit="1" customWidth="1"/>
    <col min="12781" max="12781" width="9.5703125" style="1" customWidth="1"/>
    <col min="12782" max="12782" width="19.7109375" style="1" customWidth="1"/>
    <col min="12783" max="12783" width="13" style="1" bestFit="1" customWidth="1"/>
    <col min="12784" max="13017" width="11.42578125" style="1"/>
    <col min="13018" max="13018" width="5.140625" style="1" customWidth="1"/>
    <col min="13019" max="13019" width="23.42578125" style="1" customWidth="1"/>
    <col min="13020" max="13020" width="7.85546875" style="1" customWidth="1"/>
    <col min="13021" max="13021" width="10.140625" style="1" customWidth="1"/>
    <col min="13022" max="13022" width="16.28515625" style="1" customWidth="1"/>
    <col min="13023" max="13023" width="12.7109375" style="1" customWidth="1"/>
    <col min="13024" max="13024" width="18" style="1" customWidth="1"/>
    <col min="13025" max="13025" width="13.42578125" style="1" customWidth="1"/>
    <col min="13026" max="13026" width="11.7109375" style="1" customWidth="1"/>
    <col min="13027" max="13027" width="12.42578125" style="1" customWidth="1"/>
    <col min="13028" max="13028" width="4" style="1" customWidth="1"/>
    <col min="13029" max="13029" width="6.5703125" style="1" customWidth="1"/>
    <col min="13030" max="13030" width="10.85546875" style="1" customWidth="1"/>
    <col min="13031" max="13031" width="4.7109375" style="1" customWidth="1"/>
    <col min="13032" max="13032" width="5.140625" style="1" customWidth="1"/>
    <col min="13033" max="13034" width="11.85546875" style="1" customWidth="1"/>
    <col min="13035" max="13035" width="7" style="1" customWidth="1"/>
    <col min="13036" max="13036" width="12.7109375" style="1" bestFit="1" customWidth="1"/>
    <col min="13037" max="13037" width="9.5703125" style="1" customWidth="1"/>
    <col min="13038" max="13038" width="19.7109375" style="1" customWidth="1"/>
    <col min="13039" max="13039" width="13" style="1" bestFit="1" customWidth="1"/>
    <col min="13040" max="13273" width="11.42578125" style="1"/>
    <col min="13274" max="13274" width="5.140625" style="1" customWidth="1"/>
    <col min="13275" max="13275" width="23.42578125" style="1" customWidth="1"/>
    <col min="13276" max="13276" width="7.85546875" style="1" customWidth="1"/>
    <col min="13277" max="13277" width="10.140625" style="1" customWidth="1"/>
    <col min="13278" max="13278" width="16.28515625" style="1" customWidth="1"/>
    <col min="13279" max="13279" width="12.7109375" style="1" customWidth="1"/>
    <col min="13280" max="13280" width="18" style="1" customWidth="1"/>
    <col min="13281" max="13281" width="13.42578125" style="1" customWidth="1"/>
    <col min="13282" max="13282" width="11.7109375" style="1" customWidth="1"/>
    <col min="13283" max="13283" width="12.42578125" style="1" customWidth="1"/>
    <col min="13284" max="13284" width="4" style="1" customWidth="1"/>
    <col min="13285" max="13285" width="6.5703125" style="1" customWidth="1"/>
    <col min="13286" max="13286" width="10.85546875" style="1" customWidth="1"/>
    <col min="13287" max="13287" width="4.7109375" style="1" customWidth="1"/>
    <col min="13288" max="13288" width="5.140625" style="1" customWidth="1"/>
    <col min="13289" max="13290" width="11.85546875" style="1" customWidth="1"/>
    <col min="13291" max="13291" width="7" style="1" customWidth="1"/>
    <col min="13292" max="13292" width="12.7109375" style="1" bestFit="1" customWidth="1"/>
    <col min="13293" max="13293" width="9.5703125" style="1" customWidth="1"/>
    <col min="13294" max="13294" width="19.7109375" style="1" customWidth="1"/>
    <col min="13295" max="13295" width="13" style="1" bestFit="1" customWidth="1"/>
    <col min="13296" max="13529" width="11.42578125" style="1"/>
    <col min="13530" max="13530" width="5.140625" style="1" customWidth="1"/>
    <col min="13531" max="13531" width="23.42578125" style="1" customWidth="1"/>
    <col min="13532" max="13532" width="7.85546875" style="1" customWidth="1"/>
    <col min="13533" max="13533" width="10.140625" style="1" customWidth="1"/>
    <col min="13534" max="13534" width="16.28515625" style="1" customWidth="1"/>
    <col min="13535" max="13535" width="12.7109375" style="1" customWidth="1"/>
    <col min="13536" max="13536" width="18" style="1" customWidth="1"/>
    <col min="13537" max="13537" width="13.42578125" style="1" customWidth="1"/>
    <col min="13538" max="13538" width="11.7109375" style="1" customWidth="1"/>
    <col min="13539" max="13539" width="12.42578125" style="1" customWidth="1"/>
    <col min="13540" max="13540" width="4" style="1" customWidth="1"/>
    <col min="13541" max="13541" width="6.5703125" style="1" customWidth="1"/>
    <col min="13542" max="13542" width="10.85546875" style="1" customWidth="1"/>
    <col min="13543" max="13543" width="4.7109375" style="1" customWidth="1"/>
    <col min="13544" max="13544" width="5.140625" style="1" customWidth="1"/>
    <col min="13545" max="13546" width="11.85546875" style="1" customWidth="1"/>
    <col min="13547" max="13547" width="7" style="1" customWidth="1"/>
    <col min="13548" max="13548" width="12.7109375" style="1" bestFit="1" customWidth="1"/>
    <col min="13549" max="13549" width="9.5703125" style="1" customWidth="1"/>
    <col min="13550" max="13550" width="19.7109375" style="1" customWidth="1"/>
    <col min="13551" max="13551" width="13" style="1" bestFit="1" customWidth="1"/>
    <col min="13552" max="13785" width="11.42578125" style="1"/>
    <col min="13786" max="13786" width="5.140625" style="1" customWidth="1"/>
    <col min="13787" max="13787" width="23.42578125" style="1" customWidth="1"/>
    <col min="13788" max="13788" width="7.85546875" style="1" customWidth="1"/>
    <col min="13789" max="13789" width="10.140625" style="1" customWidth="1"/>
    <col min="13790" max="13790" width="16.28515625" style="1" customWidth="1"/>
    <col min="13791" max="13791" width="12.7109375" style="1" customWidth="1"/>
    <col min="13792" max="13792" width="18" style="1" customWidth="1"/>
    <col min="13793" max="13793" width="13.42578125" style="1" customWidth="1"/>
    <col min="13794" max="13794" width="11.7109375" style="1" customWidth="1"/>
    <col min="13795" max="13795" width="12.42578125" style="1" customWidth="1"/>
    <col min="13796" max="13796" width="4" style="1" customWidth="1"/>
    <col min="13797" max="13797" width="6.5703125" style="1" customWidth="1"/>
    <col min="13798" max="13798" width="10.85546875" style="1" customWidth="1"/>
    <col min="13799" max="13799" width="4.7109375" style="1" customWidth="1"/>
    <col min="13800" max="13800" width="5.140625" style="1" customWidth="1"/>
    <col min="13801" max="13802" width="11.85546875" style="1" customWidth="1"/>
    <col min="13803" max="13803" width="7" style="1" customWidth="1"/>
    <col min="13804" max="13804" width="12.7109375" style="1" bestFit="1" customWidth="1"/>
    <col min="13805" max="13805" width="9.5703125" style="1" customWidth="1"/>
    <col min="13806" max="13806" width="19.7109375" style="1" customWidth="1"/>
    <col min="13807" max="13807" width="13" style="1" bestFit="1" customWidth="1"/>
    <col min="13808" max="14041" width="11.42578125" style="1"/>
    <col min="14042" max="14042" width="5.140625" style="1" customWidth="1"/>
    <col min="14043" max="14043" width="23.42578125" style="1" customWidth="1"/>
    <col min="14044" max="14044" width="7.85546875" style="1" customWidth="1"/>
    <col min="14045" max="14045" width="10.140625" style="1" customWidth="1"/>
    <col min="14046" max="14046" width="16.28515625" style="1" customWidth="1"/>
    <col min="14047" max="14047" width="12.7109375" style="1" customWidth="1"/>
    <col min="14048" max="14048" width="18" style="1" customWidth="1"/>
    <col min="14049" max="14049" width="13.42578125" style="1" customWidth="1"/>
    <col min="14050" max="14050" width="11.7109375" style="1" customWidth="1"/>
    <col min="14051" max="14051" width="12.42578125" style="1" customWidth="1"/>
    <col min="14052" max="14052" width="4" style="1" customWidth="1"/>
    <col min="14053" max="14053" width="6.5703125" style="1" customWidth="1"/>
    <col min="14054" max="14054" width="10.85546875" style="1" customWidth="1"/>
    <col min="14055" max="14055" width="4.7109375" style="1" customWidth="1"/>
    <col min="14056" max="14056" width="5.140625" style="1" customWidth="1"/>
    <col min="14057" max="14058" width="11.85546875" style="1" customWidth="1"/>
    <col min="14059" max="14059" width="7" style="1" customWidth="1"/>
    <col min="14060" max="14060" width="12.7109375" style="1" bestFit="1" customWidth="1"/>
    <col min="14061" max="14061" width="9.5703125" style="1" customWidth="1"/>
    <col min="14062" max="14062" width="19.7109375" style="1" customWidth="1"/>
    <col min="14063" max="14063" width="13" style="1" bestFit="1" customWidth="1"/>
    <col min="14064" max="14297" width="11.42578125" style="1"/>
    <col min="14298" max="14298" width="5.140625" style="1" customWidth="1"/>
    <col min="14299" max="14299" width="23.42578125" style="1" customWidth="1"/>
    <col min="14300" max="14300" width="7.85546875" style="1" customWidth="1"/>
    <col min="14301" max="14301" width="10.140625" style="1" customWidth="1"/>
    <col min="14302" max="14302" width="16.28515625" style="1" customWidth="1"/>
    <col min="14303" max="14303" width="12.7109375" style="1" customWidth="1"/>
    <col min="14304" max="14304" width="18" style="1" customWidth="1"/>
    <col min="14305" max="14305" width="13.42578125" style="1" customWidth="1"/>
    <col min="14306" max="14306" width="11.7109375" style="1" customWidth="1"/>
    <col min="14307" max="14307" width="12.42578125" style="1" customWidth="1"/>
    <col min="14308" max="14308" width="4" style="1" customWidth="1"/>
    <col min="14309" max="14309" width="6.5703125" style="1" customWidth="1"/>
    <col min="14310" max="14310" width="10.85546875" style="1" customWidth="1"/>
    <col min="14311" max="14311" width="4.7109375" style="1" customWidth="1"/>
    <col min="14312" max="14312" width="5.140625" style="1" customWidth="1"/>
    <col min="14313" max="14314" width="11.85546875" style="1" customWidth="1"/>
    <col min="14315" max="14315" width="7" style="1" customWidth="1"/>
    <col min="14316" max="14316" width="12.7109375" style="1" bestFit="1" customWidth="1"/>
    <col min="14317" max="14317" width="9.5703125" style="1" customWidth="1"/>
    <col min="14318" max="14318" width="19.7109375" style="1" customWidth="1"/>
    <col min="14319" max="14319" width="13" style="1" bestFit="1" customWidth="1"/>
    <col min="14320" max="14553" width="11.42578125" style="1"/>
    <col min="14554" max="14554" width="5.140625" style="1" customWidth="1"/>
    <col min="14555" max="14555" width="23.42578125" style="1" customWidth="1"/>
    <col min="14556" max="14556" width="7.85546875" style="1" customWidth="1"/>
    <col min="14557" max="14557" width="10.140625" style="1" customWidth="1"/>
    <col min="14558" max="14558" width="16.28515625" style="1" customWidth="1"/>
    <col min="14559" max="14559" width="12.7109375" style="1" customWidth="1"/>
    <col min="14560" max="14560" width="18" style="1" customWidth="1"/>
    <col min="14561" max="14561" width="13.42578125" style="1" customWidth="1"/>
    <col min="14562" max="14562" width="11.7109375" style="1" customWidth="1"/>
    <col min="14563" max="14563" width="12.42578125" style="1" customWidth="1"/>
    <col min="14564" max="14564" width="4" style="1" customWidth="1"/>
    <col min="14565" max="14565" width="6.5703125" style="1" customWidth="1"/>
    <col min="14566" max="14566" width="10.85546875" style="1" customWidth="1"/>
    <col min="14567" max="14567" width="4.7109375" style="1" customWidth="1"/>
    <col min="14568" max="14568" width="5.140625" style="1" customWidth="1"/>
    <col min="14569" max="14570" width="11.85546875" style="1" customWidth="1"/>
    <col min="14571" max="14571" width="7" style="1" customWidth="1"/>
    <col min="14572" max="14572" width="12.7109375" style="1" bestFit="1" customWidth="1"/>
    <col min="14573" max="14573" width="9.5703125" style="1" customWidth="1"/>
    <col min="14574" max="14574" width="19.7109375" style="1" customWidth="1"/>
    <col min="14575" max="14575" width="13" style="1" bestFit="1" customWidth="1"/>
    <col min="14576" max="14809" width="11.42578125" style="1"/>
    <col min="14810" max="14810" width="5.140625" style="1" customWidth="1"/>
    <col min="14811" max="14811" width="23.42578125" style="1" customWidth="1"/>
    <col min="14812" max="14812" width="7.85546875" style="1" customWidth="1"/>
    <col min="14813" max="14813" width="10.140625" style="1" customWidth="1"/>
    <col min="14814" max="14814" width="16.28515625" style="1" customWidth="1"/>
    <col min="14815" max="14815" width="12.7109375" style="1" customWidth="1"/>
    <col min="14816" max="14816" width="18" style="1" customWidth="1"/>
    <col min="14817" max="14817" width="13.42578125" style="1" customWidth="1"/>
    <col min="14818" max="14818" width="11.7109375" style="1" customWidth="1"/>
    <col min="14819" max="14819" width="12.42578125" style="1" customWidth="1"/>
    <col min="14820" max="14820" width="4" style="1" customWidth="1"/>
    <col min="14821" max="14821" width="6.5703125" style="1" customWidth="1"/>
    <col min="14822" max="14822" width="10.85546875" style="1" customWidth="1"/>
    <col min="14823" max="14823" width="4.7109375" style="1" customWidth="1"/>
    <col min="14824" max="14824" width="5.140625" style="1" customWidth="1"/>
    <col min="14825" max="14826" width="11.85546875" style="1" customWidth="1"/>
    <col min="14827" max="14827" width="7" style="1" customWidth="1"/>
    <col min="14828" max="14828" width="12.7109375" style="1" bestFit="1" customWidth="1"/>
    <col min="14829" max="14829" width="9.5703125" style="1" customWidth="1"/>
    <col min="14830" max="14830" width="19.7109375" style="1" customWidth="1"/>
    <col min="14831" max="14831" width="13" style="1" bestFit="1" customWidth="1"/>
    <col min="14832" max="15065" width="11.42578125" style="1"/>
    <col min="15066" max="15066" width="5.140625" style="1" customWidth="1"/>
    <col min="15067" max="15067" width="23.42578125" style="1" customWidth="1"/>
    <col min="15068" max="15068" width="7.85546875" style="1" customWidth="1"/>
    <col min="15069" max="15069" width="10.140625" style="1" customWidth="1"/>
    <col min="15070" max="15070" width="16.28515625" style="1" customWidth="1"/>
    <col min="15071" max="15071" width="12.7109375" style="1" customWidth="1"/>
    <col min="15072" max="15072" width="18" style="1" customWidth="1"/>
    <col min="15073" max="15073" width="13.42578125" style="1" customWidth="1"/>
    <col min="15074" max="15074" width="11.7109375" style="1" customWidth="1"/>
    <col min="15075" max="15075" width="12.42578125" style="1" customWidth="1"/>
    <col min="15076" max="15076" width="4" style="1" customWidth="1"/>
    <col min="15077" max="15077" width="6.5703125" style="1" customWidth="1"/>
    <col min="15078" max="15078" width="10.85546875" style="1" customWidth="1"/>
    <col min="15079" max="15079" width="4.7109375" style="1" customWidth="1"/>
    <col min="15080" max="15080" width="5.140625" style="1" customWidth="1"/>
    <col min="15081" max="15082" width="11.85546875" style="1" customWidth="1"/>
    <col min="15083" max="15083" width="7" style="1" customWidth="1"/>
    <col min="15084" max="15084" width="12.7109375" style="1" bestFit="1" customWidth="1"/>
    <col min="15085" max="15085" width="9.5703125" style="1" customWidth="1"/>
    <col min="15086" max="15086" width="19.7109375" style="1" customWidth="1"/>
    <col min="15087" max="15087" width="13" style="1" bestFit="1" customWidth="1"/>
    <col min="15088" max="15321" width="11.42578125" style="1"/>
    <col min="15322" max="15322" width="5.140625" style="1" customWidth="1"/>
    <col min="15323" max="15323" width="23.42578125" style="1" customWidth="1"/>
    <col min="15324" max="15324" width="7.85546875" style="1" customWidth="1"/>
    <col min="15325" max="15325" width="10.140625" style="1" customWidth="1"/>
    <col min="15326" max="15326" width="16.28515625" style="1" customWidth="1"/>
    <col min="15327" max="15327" width="12.7109375" style="1" customWidth="1"/>
    <col min="15328" max="15328" width="18" style="1" customWidth="1"/>
    <col min="15329" max="15329" width="13.42578125" style="1" customWidth="1"/>
    <col min="15330" max="15330" width="11.7109375" style="1" customWidth="1"/>
    <col min="15331" max="15331" width="12.42578125" style="1" customWidth="1"/>
    <col min="15332" max="15332" width="4" style="1" customWidth="1"/>
    <col min="15333" max="15333" width="6.5703125" style="1" customWidth="1"/>
    <col min="15334" max="15334" width="10.85546875" style="1" customWidth="1"/>
    <col min="15335" max="15335" width="4.7109375" style="1" customWidth="1"/>
    <col min="15336" max="15336" width="5.140625" style="1" customWidth="1"/>
    <col min="15337" max="15338" width="11.85546875" style="1" customWidth="1"/>
    <col min="15339" max="15339" width="7" style="1" customWidth="1"/>
    <col min="15340" max="15340" width="12.7109375" style="1" bestFit="1" customWidth="1"/>
    <col min="15341" max="15341" width="9.5703125" style="1" customWidth="1"/>
    <col min="15342" max="15342" width="19.7109375" style="1" customWidth="1"/>
    <col min="15343" max="15343" width="13" style="1" bestFit="1" customWidth="1"/>
    <col min="15344" max="15577" width="11.42578125" style="1"/>
    <col min="15578" max="15578" width="5.140625" style="1" customWidth="1"/>
    <col min="15579" max="15579" width="23.42578125" style="1" customWidth="1"/>
    <col min="15580" max="15580" width="7.85546875" style="1" customWidth="1"/>
    <col min="15581" max="15581" width="10.140625" style="1" customWidth="1"/>
    <col min="15582" max="15582" width="16.28515625" style="1" customWidth="1"/>
    <col min="15583" max="15583" width="12.7109375" style="1" customWidth="1"/>
    <col min="15584" max="15584" width="18" style="1" customWidth="1"/>
    <col min="15585" max="15585" width="13.42578125" style="1" customWidth="1"/>
    <col min="15586" max="15586" width="11.7109375" style="1" customWidth="1"/>
    <col min="15587" max="15587" width="12.42578125" style="1" customWidth="1"/>
    <col min="15588" max="15588" width="4" style="1" customWidth="1"/>
    <col min="15589" max="15589" width="6.5703125" style="1" customWidth="1"/>
    <col min="15590" max="15590" width="10.85546875" style="1" customWidth="1"/>
    <col min="15591" max="15591" width="4.7109375" style="1" customWidth="1"/>
    <col min="15592" max="15592" width="5.140625" style="1" customWidth="1"/>
    <col min="15593" max="15594" width="11.85546875" style="1" customWidth="1"/>
    <col min="15595" max="15595" width="7" style="1" customWidth="1"/>
    <col min="15596" max="15596" width="12.7109375" style="1" bestFit="1" customWidth="1"/>
    <col min="15597" max="15597" width="9.5703125" style="1" customWidth="1"/>
    <col min="15598" max="15598" width="19.7109375" style="1" customWidth="1"/>
    <col min="15599" max="15599" width="13" style="1" bestFit="1" customWidth="1"/>
    <col min="15600" max="15833" width="11.42578125" style="1"/>
    <col min="15834" max="15834" width="5.140625" style="1" customWidth="1"/>
    <col min="15835" max="15835" width="23.42578125" style="1" customWidth="1"/>
    <col min="15836" max="15836" width="7.85546875" style="1" customWidth="1"/>
    <col min="15837" max="15837" width="10.140625" style="1" customWidth="1"/>
    <col min="15838" max="15838" width="16.28515625" style="1" customWidth="1"/>
    <col min="15839" max="15839" width="12.7109375" style="1" customWidth="1"/>
    <col min="15840" max="15840" width="18" style="1" customWidth="1"/>
    <col min="15841" max="15841" width="13.42578125" style="1" customWidth="1"/>
    <col min="15842" max="15842" width="11.7109375" style="1" customWidth="1"/>
    <col min="15843" max="15843" width="12.42578125" style="1" customWidth="1"/>
    <col min="15844" max="15844" width="4" style="1" customWidth="1"/>
    <col min="15845" max="15845" width="6.5703125" style="1" customWidth="1"/>
    <col min="15846" max="15846" width="10.85546875" style="1" customWidth="1"/>
    <col min="15847" max="15847" width="4.7109375" style="1" customWidth="1"/>
    <col min="15848" max="15848" width="5.140625" style="1" customWidth="1"/>
    <col min="15849" max="15850" width="11.85546875" style="1" customWidth="1"/>
    <col min="15851" max="15851" width="7" style="1" customWidth="1"/>
    <col min="15852" max="15852" width="12.7109375" style="1" bestFit="1" customWidth="1"/>
    <col min="15853" max="15853" width="9.5703125" style="1" customWidth="1"/>
    <col min="15854" max="15854" width="19.7109375" style="1" customWidth="1"/>
    <col min="15855" max="15855" width="13" style="1" bestFit="1" customWidth="1"/>
    <col min="15856" max="16089" width="11.42578125" style="1"/>
    <col min="16090" max="16090" width="5.140625" style="1" customWidth="1"/>
    <col min="16091" max="16091" width="23.42578125" style="1" customWidth="1"/>
    <col min="16092" max="16092" width="7.85546875" style="1" customWidth="1"/>
    <col min="16093" max="16093" width="10.140625" style="1" customWidth="1"/>
    <col min="16094" max="16094" width="16.28515625" style="1" customWidth="1"/>
    <col min="16095" max="16095" width="12.7109375" style="1" customWidth="1"/>
    <col min="16096" max="16096" width="18" style="1" customWidth="1"/>
    <col min="16097" max="16097" width="13.42578125" style="1" customWidth="1"/>
    <col min="16098" max="16098" width="11.7109375" style="1" customWidth="1"/>
    <col min="16099" max="16099" width="12.42578125" style="1" customWidth="1"/>
    <col min="16100" max="16100" width="4" style="1" customWidth="1"/>
    <col min="16101" max="16101" width="6.5703125" style="1" customWidth="1"/>
    <col min="16102" max="16102" width="10.85546875" style="1" customWidth="1"/>
    <col min="16103" max="16103" width="4.7109375" style="1" customWidth="1"/>
    <col min="16104" max="16104" width="5.140625" style="1" customWidth="1"/>
    <col min="16105" max="16106" width="11.85546875" style="1" customWidth="1"/>
    <col min="16107" max="16107" width="7" style="1" customWidth="1"/>
    <col min="16108" max="16108" width="12.7109375" style="1" bestFit="1" customWidth="1"/>
    <col min="16109" max="16109" width="9.5703125" style="1" customWidth="1"/>
    <col min="16110" max="16110" width="19.7109375" style="1" customWidth="1"/>
    <col min="16111" max="16111" width="13" style="1" bestFit="1" customWidth="1"/>
    <col min="16112" max="16384" width="11.42578125" style="1"/>
  </cols>
  <sheetData>
    <row r="1" spans="1:12" ht="18" customHeight="1" x14ac:dyDescent="0.25">
      <c r="A1" s="353" t="s">
        <v>0</v>
      </c>
      <c r="B1" s="412"/>
      <c r="C1" s="357" t="s">
        <v>882</v>
      </c>
      <c r="D1" s="358"/>
      <c r="E1" s="358"/>
      <c r="F1" s="358"/>
      <c r="G1" s="358"/>
      <c r="H1" s="358"/>
      <c r="I1" s="358"/>
      <c r="J1" s="358"/>
      <c r="K1" s="358"/>
      <c r="L1" s="359"/>
    </row>
    <row r="2" spans="1:12" ht="36.75" customHeight="1" thickBot="1" x14ac:dyDescent="0.25">
      <c r="A2" s="355"/>
      <c r="B2" s="413"/>
      <c r="C2" s="360" t="s">
        <v>883</v>
      </c>
      <c r="D2" s="361"/>
      <c r="E2" s="361"/>
      <c r="F2" s="361"/>
      <c r="G2" s="361"/>
      <c r="H2" s="361"/>
      <c r="I2" s="361"/>
      <c r="J2" s="361"/>
      <c r="K2" s="361"/>
      <c r="L2" s="362"/>
    </row>
    <row r="3" spans="1:12" ht="33" customHeight="1" thickBot="1" x14ac:dyDescent="0.25">
      <c r="A3" s="497" t="s">
        <v>511</v>
      </c>
      <c r="B3" s="498"/>
      <c r="C3" s="498"/>
      <c r="D3" s="499">
        <v>3</v>
      </c>
      <c r="E3" s="500"/>
      <c r="F3" s="501" t="s">
        <v>512</v>
      </c>
      <c r="G3" s="502"/>
      <c r="H3" s="502"/>
      <c r="I3" s="502"/>
      <c r="J3" s="502"/>
      <c r="K3" s="502"/>
      <c r="L3" s="502"/>
    </row>
    <row r="4" spans="1:12" ht="118.5" customHeight="1" thickBot="1" x14ac:dyDescent="0.25">
      <c r="A4" s="492" t="s">
        <v>513</v>
      </c>
      <c r="B4" s="493"/>
      <c r="C4" s="493"/>
      <c r="D4" s="493"/>
      <c r="E4" s="224">
        <v>44019</v>
      </c>
      <c r="F4" s="494" t="s">
        <v>514</v>
      </c>
      <c r="G4" s="495"/>
      <c r="H4" s="495"/>
      <c r="I4" s="495"/>
      <c r="J4" s="495"/>
      <c r="K4" s="495"/>
      <c r="L4" s="496"/>
    </row>
    <row r="5" spans="1:12" ht="15" thickBot="1" x14ac:dyDescent="0.25">
      <c r="A5" s="19"/>
      <c r="J5" s="160"/>
      <c r="K5" s="160"/>
    </row>
    <row r="6" spans="1:12" ht="45.75" customHeight="1" x14ac:dyDescent="0.2">
      <c r="A6" s="442">
        <v>1</v>
      </c>
      <c r="B6" s="444" t="s">
        <v>884</v>
      </c>
      <c r="C6" s="444"/>
      <c r="D6" s="444"/>
      <c r="E6" s="444"/>
      <c r="F6" s="444"/>
      <c r="G6" s="446" t="s">
        <v>515</v>
      </c>
      <c r="H6" s="448" t="s">
        <v>933</v>
      </c>
      <c r="I6" s="225" t="s">
        <v>516</v>
      </c>
      <c r="J6" s="226" t="s">
        <v>517</v>
      </c>
      <c r="K6" s="450" t="s">
        <v>518</v>
      </c>
      <c r="L6" s="452">
        <f>+IF(J7&lt;&gt;0,ROUND(($E$4-J7)/360,0),"")</f>
        <v>36</v>
      </c>
    </row>
    <row r="7" spans="1:12" ht="19.5" customHeight="1" thickBot="1" x14ac:dyDescent="0.25">
      <c r="A7" s="443"/>
      <c r="B7" s="445"/>
      <c r="C7" s="445"/>
      <c r="D7" s="445"/>
      <c r="E7" s="445"/>
      <c r="F7" s="445"/>
      <c r="G7" s="447"/>
      <c r="H7" s="449"/>
      <c r="I7" s="227">
        <v>13360162</v>
      </c>
      <c r="J7" s="228">
        <v>31091</v>
      </c>
      <c r="K7" s="451"/>
      <c r="L7" s="453"/>
    </row>
    <row r="8" spans="1:12" ht="27" customHeight="1" x14ac:dyDescent="0.2">
      <c r="A8" s="430" t="s">
        <v>171</v>
      </c>
      <c r="B8" s="481" t="s">
        <v>173</v>
      </c>
      <c r="C8" s="482"/>
      <c r="D8" s="482"/>
      <c r="E8" s="483"/>
      <c r="F8" s="484" t="s">
        <v>519</v>
      </c>
      <c r="G8" s="484" t="s">
        <v>520</v>
      </c>
      <c r="H8" s="484" t="s">
        <v>521</v>
      </c>
      <c r="I8" s="486" t="s">
        <v>522</v>
      </c>
      <c r="J8" s="487"/>
      <c r="K8" s="487"/>
      <c r="L8" s="488"/>
    </row>
    <row r="9" spans="1:12" ht="45" customHeight="1" thickBot="1" x14ac:dyDescent="0.25">
      <c r="A9" s="430"/>
      <c r="B9" s="229" t="s">
        <v>188</v>
      </c>
      <c r="C9" s="229" t="s">
        <v>189</v>
      </c>
      <c r="D9" s="229" t="s">
        <v>190</v>
      </c>
      <c r="E9" s="229" t="s">
        <v>191</v>
      </c>
      <c r="F9" s="485"/>
      <c r="G9" s="485"/>
      <c r="H9" s="485"/>
      <c r="I9" s="489"/>
      <c r="J9" s="490"/>
      <c r="K9" s="490"/>
      <c r="L9" s="491"/>
    </row>
    <row r="10" spans="1:12" s="27" customFormat="1" ht="38.25" x14ac:dyDescent="0.2">
      <c r="A10" s="28" t="s">
        <v>523</v>
      </c>
      <c r="B10" s="86" t="s">
        <v>524</v>
      </c>
      <c r="C10" s="87" t="s">
        <v>524</v>
      </c>
      <c r="D10" s="87" t="s">
        <v>525</v>
      </c>
      <c r="E10" s="86" t="s">
        <v>526</v>
      </c>
      <c r="F10" s="31" t="s">
        <v>527</v>
      </c>
      <c r="G10" s="33" t="s">
        <v>16</v>
      </c>
      <c r="H10" s="33" t="str">
        <f>+IF(B10&lt;&gt;"",IF(OR(F10="Otro",G10="NO"),"NO","SI"),"")</f>
        <v>SI</v>
      </c>
      <c r="I10" s="424"/>
      <c r="J10" s="424"/>
      <c r="K10" s="424"/>
      <c r="L10" s="425"/>
    </row>
    <row r="11" spans="1:12" s="27" customFormat="1" ht="89.25" x14ac:dyDescent="0.2">
      <c r="A11" s="38" t="s">
        <v>528</v>
      </c>
      <c r="B11" s="39" t="s">
        <v>529</v>
      </c>
      <c r="C11" s="46" t="s">
        <v>524</v>
      </c>
      <c r="D11" s="46" t="s">
        <v>530</v>
      </c>
      <c r="E11" s="39" t="s">
        <v>531</v>
      </c>
      <c r="F11" s="41" t="s">
        <v>527</v>
      </c>
      <c r="G11" s="43" t="s">
        <v>211</v>
      </c>
      <c r="H11" s="43" t="str">
        <f>+IF(B11&lt;&gt;"",IF(OR(F11="Otro",G11="NO"),"NO","SI"),"")</f>
        <v>NO</v>
      </c>
      <c r="I11" s="479" t="s">
        <v>532</v>
      </c>
      <c r="J11" s="479"/>
      <c r="K11" s="479"/>
      <c r="L11" s="480"/>
    </row>
    <row r="12" spans="1:12" s="27" customFormat="1" ht="102" x14ac:dyDescent="0.2">
      <c r="A12" s="38" t="s">
        <v>533</v>
      </c>
      <c r="B12" s="39" t="s">
        <v>529</v>
      </c>
      <c r="C12" s="46" t="s">
        <v>534</v>
      </c>
      <c r="D12" s="46" t="s">
        <v>535</v>
      </c>
      <c r="E12" s="39" t="s">
        <v>536</v>
      </c>
      <c r="F12" s="41" t="s">
        <v>527</v>
      </c>
      <c r="G12" s="43" t="s">
        <v>16</v>
      </c>
      <c r="H12" s="43" t="str">
        <f>+IF(B12&lt;&gt;"",IF(OR(F12="Otro",G12="NO"),"NO","SI"),"")</f>
        <v>SI</v>
      </c>
      <c r="I12" s="422"/>
      <c r="J12" s="422"/>
      <c r="K12" s="422"/>
      <c r="L12" s="423"/>
    </row>
    <row r="13" spans="1:12" s="27" customFormat="1" ht="13.5" thickBot="1" x14ac:dyDescent="0.25">
      <c r="A13" s="47" t="s">
        <v>537</v>
      </c>
      <c r="B13" s="230"/>
      <c r="C13" s="231"/>
      <c r="D13" s="231"/>
      <c r="E13" s="230"/>
      <c r="F13" s="232"/>
      <c r="G13" s="233"/>
      <c r="H13" s="233" t="str">
        <f>+IF(B13&lt;&gt;"",IF(OR(F13="Otro",G13="NO"),"NO","SI"),"")</f>
        <v/>
      </c>
      <c r="I13" s="426"/>
      <c r="J13" s="426"/>
      <c r="K13" s="426"/>
      <c r="L13" s="427"/>
    </row>
    <row r="14" spans="1:12" s="27" customFormat="1" ht="33" customHeight="1" x14ac:dyDescent="0.2">
      <c r="A14" s="197" t="str">
        <f>"D"&amp;A6</f>
        <v>D1</v>
      </c>
      <c r="B14" s="428" t="s">
        <v>538</v>
      </c>
      <c r="C14" s="429"/>
      <c r="D14" s="429"/>
      <c r="E14" s="429"/>
      <c r="F14" s="429"/>
      <c r="G14" s="429"/>
      <c r="H14" s="33" t="s">
        <v>16</v>
      </c>
      <c r="I14" s="424"/>
      <c r="J14" s="424"/>
      <c r="K14" s="424"/>
      <c r="L14" s="425"/>
    </row>
    <row r="15" spans="1:12" s="27" customFormat="1" ht="26.25" customHeight="1" x14ac:dyDescent="0.2">
      <c r="A15" s="234"/>
      <c r="B15" s="420" t="s">
        <v>539</v>
      </c>
      <c r="C15" s="421"/>
      <c r="D15" s="421"/>
      <c r="E15" s="421"/>
      <c r="F15" s="421"/>
      <c r="G15" s="421"/>
      <c r="H15" s="43" t="s">
        <v>16</v>
      </c>
      <c r="I15" s="422"/>
      <c r="J15" s="422"/>
      <c r="K15" s="422"/>
      <c r="L15" s="423"/>
    </row>
    <row r="16" spans="1:12" ht="23.25" customHeight="1" x14ac:dyDescent="0.2">
      <c r="A16" s="197" t="str">
        <f>"F"&amp;A6</f>
        <v>F1</v>
      </c>
      <c r="B16" s="420" t="s">
        <v>540</v>
      </c>
      <c r="C16" s="421"/>
      <c r="D16" s="421"/>
      <c r="E16" s="421"/>
      <c r="F16" s="421"/>
      <c r="G16" s="421" t="s">
        <v>541</v>
      </c>
      <c r="H16" s="235" t="s">
        <v>211</v>
      </c>
      <c r="I16" s="422"/>
      <c r="J16" s="422"/>
      <c r="K16" s="422"/>
      <c r="L16" s="423"/>
    </row>
    <row r="17" spans="1:12" ht="21.75" customHeight="1" x14ac:dyDescent="0.2">
      <c r="A17" s="57"/>
      <c r="B17" s="420" t="s">
        <v>542</v>
      </c>
      <c r="C17" s="421"/>
      <c r="D17" s="421"/>
      <c r="E17" s="421"/>
      <c r="F17" s="421"/>
      <c r="G17" s="421" t="s">
        <v>543</v>
      </c>
      <c r="H17" s="236" t="str">
        <f>+IF(H6&lt;&gt;0,IF(L6&gt;=8,"SI","NO"),"")</f>
        <v>SI</v>
      </c>
      <c r="I17" s="422"/>
      <c r="J17" s="422"/>
      <c r="K17" s="422"/>
      <c r="L17" s="423"/>
    </row>
    <row r="18" spans="1:12" ht="22.5" customHeight="1" thickBot="1" x14ac:dyDescent="0.25">
      <c r="A18" s="57"/>
      <c r="B18" s="349" t="s">
        <v>544</v>
      </c>
      <c r="C18" s="350"/>
      <c r="D18" s="350"/>
      <c r="E18" s="350"/>
      <c r="F18" s="350"/>
      <c r="G18" s="350" t="s">
        <v>543</v>
      </c>
      <c r="H18" s="237" t="str">
        <f>+IF(H6&lt;&gt;0,IF(COUNTIF(H10:H13,"SI")&gt;=3,"SI","NO"),"")</f>
        <v>NO</v>
      </c>
      <c r="I18" s="416"/>
      <c r="J18" s="416"/>
      <c r="K18" s="416"/>
      <c r="L18" s="417"/>
    </row>
    <row r="19" spans="1:12" ht="39" customHeight="1" thickBot="1" x14ac:dyDescent="0.25">
      <c r="A19" s="197" t="str">
        <f>"E"&amp;A6</f>
        <v>E1</v>
      </c>
      <c r="D19" s="418" t="s">
        <v>545</v>
      </c>
      <c r="E19" s="419"/>
      <c r="F19" s="419"/>
      <c r="G19" s="419"/>
      <c r="H19" s="238" t="str">
        <f>IF(H6&lt;&gt;0,IF(AND(H15="SI",H17="SI",H18="SI"),"SI","NO"),"")</f>
        <v>NO</v>
      </c>
      <c r="J19" s="20"/>
      <c r="K19" s="20"/>
      <c r="L19" s="20"/>
    </row>
    <row r="20" spans="1:12" ht="9.75" customHeight="1" thickBot="1" x14ac:dyDescent="0.25">
      <c r="J20" s="20"/>
      <c r="K20" s="20"/>
      <c r="L20" s="20"/>
    </row>
    <row r="21" spans="1:12" ht="45" x14ac:dyDescent="0.2">
      <c r="A21" s="442">
        <v>2</v>
      </c>
      <c r="B21" s="444" t="s">
        <v>886</v>
      </c>
      <c r="C21" s="444"/>
      <c r="D21" s="444"/>
      <c r="E21" s="444"/>
      <c r="F21" s="444"/>
      <c r="G21" s="446" t="s">
        <v>515</v>
      </c>
      <c r="H21" s="448" t="s">
        <v>934</v>
      </c>
      <c r="I21" s="225" t="s">
        <v>516</v>
      </c>
      <c r="J21" s="226" t="s">
        <v>517</v>
      </c>
      <c r="K21" s="450" t="s">
        <v>518</v>
      </c>
      <c r="L21" s="452">
        <f>+IF(J22&lt;&gt;0,ROUND(($E$4-J22)/360,0),"")</f>
        <v>33</v>
      </c>
    </row>
    <row r="22" spans="1:12" ht="15" customHeight="1" thickBot="1" x14ac:dyDescent="0.25">
      <c r="A22" s="443"/>
      <c r="B22" s="445"/>
      <c r="C22" s="445"/>
      <c r="D22" s="445"/>
      <c r="E22" s="445"/>
      <c r="F22" s="445"/>
      <c r="G22" s="447"/>
      <c r="H22" s="449"/>
      <c r="I22" s="227">
        <v>79288527</v>
      </c>
      <c r="J22" s="228">
        <v>31981</v>
      </c>
      <c r="K22" s="451"/>
      <c r="L22" s="453"/>
    </row>
    <row r="23" spans="1:12" ht="26.25" customHeight="1" x14ac:dyDescent="0.2">
      <c r="A23" s="430" t="s">
        <v>171</v>
      </c>
      <c r="B23" s="431" t="s">
        <v>173</v>
      </c>
      <c r="C23" s="432"/>
      <c r="D23" s="432"/>
      <c r="E23" s="433"/>
      <c r="F23" s="434" t="s">
        <v>519</v>
      </c>
      <c r="G23" s="434" t="s">
        <v>520</v>
      </c>
      <c r="H23" s="434" t="s">
        <v>521</v>
      </c>
      <c r="I23" s="436" t="s">
        <v>522</v>
      </c>
      <c r="J23" s="437"/>
      <c r="K23" s="437"/>
      <c r="L23" s="438"/>
    </row>
    <row r="24" spans="1:12" ht="57.75" customHeight="1" thickBot="1" x14ac:dyDescent="0.25">
      <c r="A24" s="430"/>
      <c r="B24" s="26" t="s">
        <v>188</v>
      </c>
      <c r="C24" s="26" t="s">
        <v>189</v>
      </c>
      <c r="D24" s="26" t="s">
        <v>190</v>
      </c>
      <c r="E24" s="26" t="s">
        <v>191</v>
      </c>
      <c r="F24" s="435"/>
      <c r="G24" s="435"/>
      <c r="H24" s="435"/>
      <c r="I24" s="439"/>
      <c r="J24" s="440"/>
      <c r="K24" s="440"/>
      <c r="L24" s="441"/>
    </row>
    <row r="25" spans="1:12" s="27" customFormat="1" ht="51" x14ac:dyDescent="0.2">
      <c r="A25" s="28" t="s">
        <v>523</v>
      </c>
      <c r="B25" s="86" t="s">
        <v>30</v>
      </c>
      <c r="C25" s="87" t="s">
        <v>546</v>
      </c>
      <c r="D25" s="87" t="s">
        <v>547</v>
      </c>
      <c r="E25" s="86" t="s">
        <v>548</v>
      </c>
      <c r="F25" s="31" t="s">
        <v>527</v>
      </c>
      <c r="G25" s="33" t="s">
        <v>16</v>
      </c>
      <c r="H25" s="33" t="str">
        <f>+IF(B25&lt;&gt;"",IF(OR(F25="Otro",G25="NO"),"NO","SI"),"")</f>
        <v>SI</v>
      </c>
      <c r="I25" s="424"/>
      <c r="J25" s="424"/>
      <c r="K25" s="424"/>
      <c r="L25" s="425"/>
    </row>
    <row r="26" spans="1:12" s="27" customFormat="1" ht="76.5" x14ac:dyDescent="0.2">
      <c r="A26" s="38" t="s">
        <v>528</v>
      </c>
      <c r="B26" s="39" t="s">
        <v>30</v>
      </c>
      <c r="C26" s="46" t="s">
        <v>549</v>
      </c>
      <c r="D26" s="46" t="s">
        <v>550</v>
      </c>
      <c r="E26" s="39" t="s">
        <v>548</v>
      </c>
      <c r="F26" s="41" t="s">
        <v>527</v>
      </c>
      <c r="G26" s="43" t="s">
        <v>16</v>
      </c>
      <c r="H26" s="43" t="str">
        <f>+IF(B26&lt;&gt;"",IF(OR(F26="Otro",G26="NO"),"NO","SI"),"")</f>
        <v>SI</v>
      </c>
      <c r="I26" s="422"/>
      <c r="J26" s="422"/>
      <c r="K26" s="422"/>
      <c r="L26" s="423"/>
    </row>
    <row r="27" spans="1:12" s="27" customFormat="1" ht="51" x14ac:dyDescent="0.2">
      <c r="A27" s="38" t="s">
        <v>533</v>
      </c>
      <c r="B27" s="39" t="s">
        <v>30</v>
      </c>
      <c r="C27" s="46" t="s">
        <v>551</v>
      </c>
      <c r="D27" s="46" t="s">
        <v>552</v>
      </c>
      <c r="E27" s="39" t="s">
        <v>553</v>
      </c>
      <c r="F27" s="41" t="s">
        <v>527</v>
      </c>
      <c r="G27" s="43" t="s">
        <v>16</v>
      </c>
      <c r="H27" s="43" t="str">
        <f>+IF(B27&lt;&gt;"",IF(OR(F27="Otro",G27="NO"),"NO","SI"),"")</f>
        <v>SI</v>
      </c>
      <c r="I27" s="422"/>
      <c r="J27" s="422"/>
      <c r="K27" s="422"/>
      <c r="L27" s="423"/>
    </row>
    <row r="28" spans="1:12" s="27" customFormat="1" ht="13.5" thickBot="1" x14ac:dyDescent="0.25">
      <c r="A28" s="47" t="s">
        <v>537</v>
      </c>
      <c r="B28" s="230"/>
      <c r="C28" s="231"/>
      <c r="D28" s="231"/>
      <c r="E28" s="230"/>
      <c r="F28" s="232"/>
      <c r="G28" s="233"/>
      <c r="H28" s="233" t="str">
        <f>+IF(B28&lt;&gt;"",IF(OR(F28="Otro",G28="NO"),"NO","SI"),"")</f>
        <v/>
      </c>
      <c r="I28" s="426"/>
      <c r="J28" s="426"/>
      <c r="K28" s="426"/>
      <c r="L28" s="427"/>
    </row>
    <row r="29" spans="1:12" ht="27" customHeight="1" x14ac:dyDescent="0.2">
      <c r="A29" s="197" t="str">
        <f>"D"&amp;A21</f>
        <v>D2</v>
      </c>
      <c r="B29" s="428" t="s">
        <v>538</v>
      </c>
      <c r="C29" s="429"/>
      <c r="D29" s="429"/>
      <c r="E29" s="429"/>
      <c r="F29" s="429"/>
      <c r="G29" s="429"/>
      <c r="H29" s="88" t="s">
        <v>16</v>
      </c>
      <c r="I29" s="424"/>
      <c r="J29" s="424"/>
      <c r="K29" s="424"/>
      <c r="L29" s="425"/>
    </row>
    <row r="30" spans="1:12" ht="27" customHeight="1" x14ac:dyDescent="0.2">
      <c r="A30" s="234"/>
      <c r="B30" s="420" t="s">
        <v>539</v>
      </c>
      <c r="C30" s="421"/>
      <c r="D30" s="421"/>
      <c r="E30" s="421"/>
      <c r="F30" s="421"/>
      <c r="G30" s="421"/>
      <c r="H30" s="239" t="s">
        <v>16</v>
      </c>
      <c r="I30" s="422"/>
      <c r="J30" s="422"/>
      <c r="K30" s="422"/>
      <c r="L30" s="423"/>
    </row>
    <row r="31" spans="1:12" ht="27" customHeight="1" x14ac:dyDescent="0.2">
      <c r="A31" s="197" t="str">
        <f>"F"&amp;A21</f>
        <v>F2</v>
      </c>
      <c r="B31" s="420" t="s">
        <v>540</v>
      </c>
      <c r="C31" s="421"/>
      <c r="D31" s="421"/>
      <c r="E31" s="421"/>
      <c r="F31" s="421"/>
      <c r="G31" s="421" t="s">
        <v>541</v>
      </c>
      <c r="H31" s="235" t="s">
        <v>211</v>
      </c>
      <c r="I31" s="422"/>
      <c r="J31" s="422"/>
      <c r="K31" s="422"/>
      <c r="L31" s="423"/>
    </row>
    <row r="32" spans="1:12" ht="27" customHeight="1" x14ac:dyDescent="0.2">
      <c r="A32" s="57"/>
      <c r="B32" s="420" t="s">
        <v>542</v>
      </c>
      <c r="C32" s="421"/>
      <c r="D32" s="421"/>
      <c r="E32" s="421"/>
      <c r="F32" s="421"/>
      <c r="G32" s="421" t="s">
        <v>543</v>
      </c>
      <c r="H32" s="236" t="str">
        <f>+IF(H21&lt;&gt;0,IF(L21&gt;=8,"SI","NO"),"")</f>
        <v>SI</v>
      </c>
      <c r="I32" s="422"/>
      <c r="J32" s="422"/>
      <c r="K32" s="422"/>
      <c r="L32" s="423"/>
    </row>
    <row r="33" spans="1:12" ht="27" customHeight="1" thickBot="1" x14ac:dyDescent="0.25">
      <c r="A33" s="57"/>
      <c r="B33" s="349" t="s">
        <v>544</v>
      </c>
      <c r="C33" s="350"/>
      <c r="D33" s="350"/>
      <c r="E33" s="350"/>
      <c r="F33" s="350"/>
      <c r="G33" s="350" t="s">
        <v>543</v>
      </c>
      <c r="H33" s="237" t="str">
        <f>+IF(H21&lt;&gt;0,IF(COUNTIF(H25:H28,"SI")&gt;=3,"SI","NO"),"")</f>
        <v>SI</v>
      </c>
      <c r="I33" s="416"/>
      <c r="J33" s="416"/>
      <c r="K33" s="416"/>
      <c r="L33" s="417"/>
    </row>
    <row r="34" spans="1:12" ht="47.25" customHeight="1" thickBot="1" x14ac:dyDescent="0.25">
      <c r="A34" s="197" t="str">
        <f>"E"&amp;A21</f>
        <v>E2</v>
      </c>
      <c r="D34" s="418" t="str">
        <f>+D19</f>
        <v>EL PROFESIONAL OFRECIDO POR EL PROPONENTE CUMPLE CON LOS REQUISITOS MÍNIMOS ESTABLECIDOS EN EL NUMERAL 4.1.2. (no se evalúa simultaneidad de procesos en esta celda)</v>
      </c>
      <c r="E34" s="419"/>
      <c r="F34" s="419"/>
      <c r="G34" s="419"/>
      <c r="H34" s="238" t="str">
        <f>IF(H21&lt;&gt;0,IF(AND(H30="SI",H32="SI",H33="SI"),"SI","NO"),"")</f>
        <v>SI</v>
      </c>
      <c r="J34" s="20"/>
      <c r="K34" s="20"/>
      <c r="L34" s="20"/>
    </row>
    <row r="35" spans="1:12" ht="12" thickBot="1" x14ac:dyDescent="0.25"/>
    <row r="36" spans="1:12" ht="45" x14ac:dyDescent="0.2">
      <c r="A36" s="442">
        <v>3</v>
      </c>
      <c r="B36" s="444" t="s">
        <v>888</v>
      </c>
      <c r="C36" s="444"/>
      <c r="D36" s="444"/>
      <c r="E36" s="444"/>
      <c r="F36" s="444"/>
      <c r="G36" s="446" t="s">
        <v>515</v>
      </c>
      <c r="H36" s="448" t="s">
        <v>935</v>
      </c>
      <c r="I36" s="225" t="s">
        <v>516</v>
      </c>
      <c r="J36" s="226" t="s">
        <v>517</v>
      </c>
      <c r="K36" s="450" t="s">
        <v>518</v>
      </c>
      <c r="L36" s="452">
        <f>+IF(J37&lt;&gt;0,ROUND(($E$4-J37)/360,0),"")</f>
        <v>31</v>
      </c>
    </row>
    <row r="37" spans="1:12" ht="15" customHeight="1" thickBot="1" x14ac:dyDescent="0.25">
      <c r="A37" s="443"/>
      <c r="B37" s="445"/>
      <c r="C37" s="445"/>
      <c r="D37" s="445"/>
      <c r="E37" s="445"/>
      <c r="F37" s="445"/>
      <c r="G37" s="447"/>
      <c r="H37" s="449"/>
      <c r="I37" s="227">
        <v>10524225</v>
      </c>
      <c r="J37" s="228">
        <v>32828</v>
      </c>
      <c r="K37" s="451"/>
      <c r="L37" s="453"/>
    </row>
    <row r="38" spans="1:12" ht="11.25" customHeight="1" x14ac:dyDescent="0.2">
      <c r="A38" s="430" t="s">
        <v>171</v>
      </c>
      <c r="B38" s="431" t="s">
        <v>173</v>
      </c>
      <c r="C38" s="432"/>
      <c r="D38" s="432"/>
      <c r="E38" s="433"/>
      <c r="F38" s="434" t="s">
        <v>519</v>
      </c>
      <c r="G38" s="434" t="s">
        <v>520</v>
      </c>
      <c r="H38" s="434" t="s">
        <v>521</v>
      </c>
      <c r="I38" s="436" t="s">
        <v>522</v>
      </c>
      <c r="J38" s="437"/>
      <c r="K38" s="437"/>
      <c r="L38" s="438"/>
    </row>
    <row r="39" spans="1:12" ht="57.75" customHeight="1" thickBot="1" x14ac:dyDescent="0.25">
      <c r="A39" s="430"/>
      <c r="B39" s="26" t="s">
        <v>188</v>
      </c>
      <c r="C39" s="26" t="s">
        <v>189</v>
      </c>
      <c r="D39" s="26" t="s">
        <v>190</v>
      </c>
      <c r="E39" s="26" t="s">
        <v>191</v>
      </c>
      <c r="F39" s="435"/>
      <c r="G39" s="435"/>
      <c r="H39" s="435"/>
      <c r="I39" s="439"/>
      <c r="J39" s="440"/>
      <c r="K39" s="440"/>
      <c r="L39" s="441"/>
    </row>
    <row r="40" spans="1:12" s="27" customFormat="1" ht="51" x14ac:dyDescent="0.2">
      <c r="A40" s="28" t="s">
        <v>523</v>
      </c>
      <c r="B40" s="86" t="s">
        <v>216</v>
      </c>
      <c r="C40" s="87" t="s">
        <v>554</v>
      </c>
      <c r="D40" s="87" t="s">
        <v>555</v>
      </c>
      <c r="E40" s="86" t="s">
        <v>219</v>
      </c>
      <c r="F40" s="31" t="s">
        <v>527</v>
      </c>
      <c r="G40" s="33" t="s">
        <v>16</v>
      </c>
      <c r="H40" s="33" t="str">
        <f>+IF(B40&lt;&gt;"",IF(OR(F40="Otro",G40="NO"),"NO","SI"),"")</f>
        <v>SI</v>
      </c>
      <c r="I40" s="458"/>
      <c r="J40" s="458"/>
      <c r="K40" s="458"/>
      <c r="L40" s="459"/>
    </row>
    <row r="41" spans="1:12" s="27" customFormat="1" ht="76.5" x14ac:dyDescent="0.2">
      <c r="A41" s="38" t="s">
        <v>528</v>
      </c>
      <c r="B41" s="39" t="s">
        <v>216</v>
      </c>
      <c r="C41" s="46" t="s">
        <v>556</v>
      </c>
      <c r="D41" s="46" t="s">
        <v>218</v>
      </c>
      <c r="E41" s="39" t="s">
        <v>219</v>
      </c>
      <c r="F41" s="41" t="s">
        <v>527</v>
      </c>
      <c r="G41" s="43" t="s">
        <v>16</v>
      </c>
      <c r="H41" s="43" t="str">
        <f>+IF(B41&lt;&gt;"",IF(OR(F41="Otro",G41="NO"),"NO","SI"),"")</f>
        <v>SI</v>
      </c>
      <c r="I41" s="460"/>
      <c r="J41" s="460"/>
      <c r="K41" s="460"/>
      <c r="L41" s="461"/>
    </row>
    <row r="42" spans="1:12" s="27" customFormat="1" ht="38.25" x14ac:dyDescent="0.2">
      <c r="A42" s="38" t="s">
        <v>533</v>
      </c>
      <c r="B42" s="39" t="s">
        <v>557</v>
      </c>
      <c r="C42" s="46" t="s">
        <v>558</v>
      </c>
      <c r="D42" s="46" t="s">
        <v>559</v>
      </c>
      <c r="E42" s="39" t="s">
        <v>560</v>
      </c>
      <c r="F42" s="41" t="s">
        <v>561</v>
      </c>
      <c r="G42" s="43" t="s">
        <v>16</v>
      </c>
      <c r="H42" s="43" t="str">
        <f>+IF(B42&lt;&gt;"",IF(OR(F42="Otro",G42="NO"),"NO","SI"),"")</f>
        <v>SI</v>
      </c>
      <c r="I42" s="460"/>
      <c r="J42" s="460"/>
      <c r="K42" s="460"/>
      <c r="L42" s="461"/>
    </row>
    <row r="43" spans="1:12" s="27" customFormat="1" ht="13.5" thickBot="1" x14ac:dyDescent="0.25">
      <c r="A43" s="47" t="s">
        <v>537</v>
      </c>
      <c r="B43" s="48"/>
      <c r="C43" s="49"/>
      <c r="D43" s="49"/>
      <c r="E43" s="48"/>
      <c r="F43" s="51"/>
      <c r="G43" s="52"/>
      <c r="H43" s="52" t="str">
        <f>+IF(B43&lt;&gt;"",IF(OR(F43="Otro",G43="NO"),"NO","SI"),"")</f>
        <v/>
      </c>
      <c r="I43" s="416"/>
      <c r="J43" s="416"/>
      <c r="K43" s="416"/>
      <c r="L43" s="417"/>
    </row>
    <row r="44" spans="1:12" ht="27" customHeight="1" x14ac:dyDescent="0.2">
      <c r="A44" s="197" t="str">
        <f>"D"&amp;A36</f>
        <v>D3</v>
      </c>
      <c r="B44" s="428" t="s">
        <v>538</v>
      </c>
      <c r="C44" s="429"/>
      <c r="D44" s="429"/>
      <c r="E44" s="429"/>
      <c r="F44" s="429"/>
      <c r="G44" s="429"/>
      <c r="H44" s="240" t="s">
        <v>16</v>
      </c>
      <c r="I44" s="456"/>
      <c r="J44" s="456"/>
      <c r="K44" s="456"/>
      <c r="L44" s="457"/>
    </row>
    <row r="45" spans="1:12" ht="27" customHeight="1" x14ac:dyDescent="0.2">
      <c r="A45" s="234"/>
      <c r="B45" s="420" t="s">
        <v>539</v>
      </c>
      <c r="C45" s="421"/>
      <c r="D45" s="421"/>
      <c r="E45" s="421"/>
      <c r="F45" s="421"/>
      <c r="G45" s="421"/>
      <c r="H45" s="239" t="s">
        <v>16</v>
      </c>
      <c r="I45" s="422"/>
      <c r="J45" s="422"/>
      <c r="K45" s="422"/>
      <c r="L45" s="423"/>
    </row>
    <row r="46" spans="1:12" ht="27" customHeight="1" x14ac:dyDescent="0.2">
      <c r="A46" s="197" t="str">
        <f>"F"&amp;A36</f>
        <v>F3</v>
      </c>
      <c r="B46" s="420" t="s">
        <v>540</v>
      </c>
      <c r="C46" s="421"/>
      <c r="D46" s="421"/>
      <c r="E46" s="421"/>
      <c r="F46" s="421"/>
      <c r="G46" s="421" t="s">
        <v>541</v>
      </c>
      <c r="H46" s="235" t="s">
        <v>211</v>
      </c>
      <c r="I46" s="422"/>
      <c r="J46" s="422"/>
      <c r="K46" s="422"/>
      <c r="L46" s="423"/>
    </row>
    <row r="47" spans="1:12" ht="27" customHeight="1" x14ac:dyDescent="0.2">
      <c r="A47" s="57"/>
      <c r="B47" s="420" t="s">
        <v>542</v>
      </c>
      <c r="C47" s="421"/>
      <c r="D47" s="421"/>
      <c r="E47" s="421"/>
      <c r="F47" s="421"/>
      <c r="G47" s="421" t="s">
        <v>543</v>
      </c>
      <c r="H47" s="236" t="str">
        <f>+IF(H36&lt;&gt;0,IF(L36&gt;=8,"SI","NO"),"")</f>
        <v>SI</v>
      </c>
      <c r="I47" s="422"/>
      <c r="J47" s="422"/>
      <c r="K47" s="422"/>
      <c r="L47" s="423"/>
    </row>
    <row r="48" spans="1:12" ht="27" customHeight="1" thickBot="1" x14ac:dyDescent="0.25">
      <c r="A48" s="57"/>
      <c r="B48" s="349" t="s">
        <v>544</v>
      </c>
      <c r="C48" s="350"/>
      <c r="D48" s="350"/>
      <c r="E48" s="350"/>
      <c r="F48" s="350"/>
      <c r="G48" s="350" t="s">
        <v>543</v>
      </c>
      <c r="H48" s="237" t="str">
        <f>+IF(H36&lt;&gt;0,IF(COUNTIF(H40:H43,"SI")&gt;=3,"SI","NO"),"")</f>
        <v>SI</v>
      </c>
      <c r="I48" s="416"/>
      <c r="J48" s="416"/>
      <c r="K48" s="416"/>
      <c r="L48" s="417"/>
    </row>
    <row r="49" spans="1:15" ht="39" customHeight="1" thickBot="1" x14ac:dyDescent="0.25">
      <c r="A49" s="197" t="str">
        <f>"E"&amp;A36</f>
        <v>E3</v>
      </c>
      <c r="D49" s="418" t="str">
        <f>+D34</f>
        <v>EL PROFESIONAL OFRECIDO POR EL PROPONENTE CUMPLE CON LOS REQUISITOS MÍNIMOS ESTABLECIDOS EN EL NUMERAL 4.1.2. (no se evalúa simultaneidad de procesos en esta celda)</v>
      </c>
      <c r="E49" s="419"/>
      <c r="F49" s="419"/>
      <c r="G49" s="419"/>
      <c r="H49" s="238" t="str">
        <f>IF(H36&lt;&gt;0,IF(AND(H45="SI",H47="SI",H48="SI"),"SI","NO"),"")</f>
        <v>SI</v>
      </c>
      <c r="J49" s="20"/>
      <c r="K49" s="20"/>
      <c r="L49" s="20"/>
    </row>
    <row r="50" spans="1:15" ht="12" thickBot="1" x14ac:dyDescent="0.25"/>
    <row r="51" spans="1:15" ht="45" x14ac:dyDescent="0.2">
      <c r="A51" s="477">
        <v>4</v>
      </c>
      <c r="B51" s="444" t="s">
        <v>29</v>
      </c>
      <c r="C51" s="444"/>
      <c r="D51" s="444"/>
      <c r="E51" s="444"/>
      <c r="F51" s="444"/>
      <c r="G51" s="446" t="s">
        <v>515</v>
      </c>
      <c r="H51" s="448" t="s">
        <v>936</v>
      </c>
      <c r="I51" s="225" t="s">
        <v>516</v>
      </c>
      <c r="J51" s="226" t="s">
        <v>517</v>
      </c>
      <c r="K51" s="450" t="s">
        <v>518</v>
      </c>
      <c r="L51" s="452">
        <f>+IF(J52&lt;&gt;0,ROUND(($E$4-J52)/360,0),"")</f>
        <v>20</v>
      </c>
    </row>
    <row r="52" spans="1:15" ht="15" customHeight="1" thickBot="1" x14ac:dyDescent="0.25">
      <c r="A52" s="478"/>
      <c r="B52" s="445"/>
      <c r="C52" s="445"/>
      <c r="D52" s="445"/>
      <c r="E52" s="445"/>
      <c r="F52" s="445"/>
      <c r="G52" s="447"/>
      <c r="H52" s="449"/>
      <c r="I52" s="227">
        <v>79386306</v>
      </c>
      <c r="J52" s="228">
        <v>36818</v>
      </c>
      <c r="K52" s="451"/>
      <c r="L52" s="453"/>
    </row>
    <row r="53" spans="1:15" ht="11.25" customHeight="1" x14ac:dyDescent="0.2">
      <c r="A53" s="430" t="s">
        <v>171</v>
      </c>
      <c r="B53" s="431" t="s">
        <v>173</v>
      </c>
      <c r="C53" s="432"/>
      <c r="D53" s="432"/>
      <c r="E53" s="433"/>
      <c r="F53" s="434" t="s">
        <v>519</v>
      </c>
      <c r="G53" s="434" t="s">
        <v>520</v>
      </c>
      <c r="H53" s="434" t="s">
        <v>521</v>
      </c>
      <c r="I53" s="436" t="s">
        <v>522</v>
      </c>
      <c r="J53" s="437"/>
      <c r="K53" s="437"/>
      <c r="L53" s="438"/>
    </row>
    <row r="54" spans="1:15" ht="57.75" customHeight="1" thickBot="1" x14ac:dyDescent="0.25">
      <c r="A54" s="430"/>
      <c r="B54" s="26" t="s">
        <v>188</v>
      </c>
      <c r="C54" s="26" t="s">
        <v>189</v>
      </c>
      <c r="D54" s="26" t="s">
        <v>190</v>
      </c>
      <c r="E54" s="26" t="s">
        <v>191</v>
      </c>
      <c r="F54" s="435"/>
      <c r="G54" s="435"/>
      <c r="H54" s="435"/>
      <c r="I54" s="439"/>
      <c r="J54" s="440"/>
      <c r="K54" s="440"/>
      <c r="L54" s="441"/>
    </row>
    <row r="55" spans="1:15" s="27" customFormat="1" ht="76.5" x14ac:dyDescent="0.2">
      <c r="A55" s="28" t="s">
        <v>523</v>
      </c>
      <c r="B55" s="86" t="s">
        <v>20</v>
      </c>
      <c r="C55" s="87" t="s">
        <v>562</v>
      </c>
      <c r="D55" s="87" t="s">
        <v>563</v>
      </c>
      <c r="E55" s="86" t="s">
        <v>564</v>
      </c>
      <c r="F55" s="31" t="s">
        <v>565</v>
      </c>
      <c r="G55" s="33" t="s">
        <v>16</v>
      </c>
      <c r="H55" s="33" t="str">
        <f>+IF(B55&lt;&gt;"",IF(OR(F55="Otro",G55="NO"),"NO","SI"),"")</f>
        <v>SI</v>
      </c>
      <c r="I55" s="424"/>
      <c r="J55" s="424"/>
      <c r="K55" s="424"/>
      <c r="L55" s="425"/>
    </row>
    <row r="56" spans="1:15" s="27" customFormat="1" ht="76.5" x14ac:dyDescent="0.2">
      <c r="A56" s="38" t="s">
        <v>528</v>
      </c>
      <c r="B56" s="39" t="s">
        <v>20</v>
      </c>
      <c r="C56" s="46" t="s">
        <v>566</v>
      </c>
      <c r="D56" s="46" t="s">
        <v>567</v>
      </c>
      <c r="E56" s="39" t="s">
        <v>29</v>
      </c>
      <c r="F56" s="41" t="s">
        <v>565</v>
      </c>
      <c r="G56" s="43" t="s">
        <v>16</v>
      </c>
      <c r="H56" s="43" t="str">
        <f>+IF(B56&lt;&gt;"",IF(OR(F56="Otro",G56="NO"),"NO","SI"),"")</f>
        <v>SI</v>
      </c>
      <c r="I56" s="460"/>
      <c r="J56" s="460"/>
      <c r="K56" s="460"/>
      <c r="L56" s="461"/>
      <c r="M56" s="205"/>
      <c r="N56" s="205"/>
      <c r="O56" s="205"/>
    </row>
    <row r="57" spans="1:15" s="27" customFormat="1" ht="63.75" x14ac:dyDescent="0.2">
      <c r="A57" s="38" t="s">
        <v>533</v>
      </c>
      <c r="B57" s="39" t="s">
        <v>20</v>
      </c>
      <c r="C57" s="46" t="s">
        <v>568</v>
      </c>
      <c r="D57" s="46" t="s">
        <v>569</v>
      </c>
      <c r="E57" s="39" t="s">
        <v>29</v>
      </c>
      <c r="F57" s="41" t="s">
        <v>565</v>
      </c>
      <c r="G57" s="43" t="s">
        <v>16</v>
      </c>
      <c r="H57" s="43" t="str">
        <f>+IF(B57&lt;&gt;"",IF(OR(F57="Otro",G57="NO"),"NO","SI"),"")</f>
        <v>SI</v>
      </c>
      <c r="I57" s="422"/>
      <c r="J57" s="422"/>
      <c r="K57" s="422"/>
      <c r="L57" s="423"/>
    </row>
    <row r="58" spans="1:15" s="27" customFormat="1" ht="13.5" thickBot="1" x14ac:dyDescent="0.25">
      <c r="A58" s="47" t="s">
        <v>537</v>
      </c>
      <c r="B58" s="230"/>
      <c r="C58" s="231"/>
      <c r="D58" s="231"/>
      <c r="E58" s="230"/>
      <c r="F58" s="232"/>
      <c r="G58" s="233"/>
      <c r="H58" s="233" t="str">
        <f>+IF(B58&lt;&gt;"",IF(OR(F58="Otro",G58="NO"),"NO","SI"),"")</f>
        <v/>
      </c>
      <c r="I58" s="426"/>
      <c r="J58" s="426"/>
      <c r="K58" s="426"/>
      <c r="L58" s="427"/>
    </row>
    <row r="59" spans="1:15" ht="27" customHeight="1" x14ac:dyDescent="0.2">
      <c r="A59" s="197" t="str">
        <f>"D"&amp;A51</f>
        <v>D4</v>
      </c>
      <c r="B59" s="428" t="s">
        <v>538</v>
      </c>
      <c r="C59" s="429"/>
      <c r="D59" s="429"/>
      <c r="E59" s="429"/>
      <c r="F59" s="429"/>
      <c r="G59" s="429"/>
      <c r="H59" s="88" t="s">
        <v>16</v>
      </c>
      <c r="I59" s="424"/>
      <c r="J59" s="424"/>
      <c r="K59" s="424"/>
      <c r="L59" s="425"/>
    </row>
    <row r="60" spans="1:15" ht="27" customHeight="1" x14ac:dyDescent="0.2">
      <c r="A60" s="234"/>
      <c r="B60" s="420" t="s">
        <v>539</v>
      </c>
      <c r="C60" s="421"/>
      <c r="D60" s="421"/>
      <c r="E60" s="421"/>
      <c r="F60" s="421"/>
      <c r="G60" s="421"/>
      <c r="H60" s="239" t="s">
        <v>16</v>
      </c>
      <c r="I60" s="422"/>
      <c r="J60" s="422"/>
      <c r="K60" s="422"/>
      <c r="L60" s="423"/>
    </row>
    <row r="61" spans="1:15" ht="27" customHeight="1" x14ac:dyDescent="0.2">
      <c r="A61" s="197" t="str">
        <f>"F"&amp;A51</f>
        <v>F4</v>
      </c>
      <c r="B61" s="420" t="s">
        <v>540</v>
      </c>
      <c r="C61" s="421"/>
      <c r="D61" s="421"/>
      <c r="E61" s="421"/>
      <c r="F61" s="421"/>
      <c r="G61" s="421" t="s">
        <v>541</v>
      </c>
      <c r="H61" s="235" t="s">
        <v>211</v>
      </c>
      <c r="I61" s="422"/>
      <c r="J61" s="422"/>
      <c r="K61" s="422"/>
      <c r="L61" s="423"/>
    </row>
    <row r="62" spans="1:15" ht="27" customHeight="1" x14ac:dyDescent="0.2">
      <c r="A62" s="57"/>
      <c r="B62" s="420" t="s">
        <v>542</v>
      </c>
      <c r="C62" s="421"/>
      <c r="D62" s="421"/>
      <c r="E62" s="421"/>
      <c r="F62" s="421"/>
      <c r="G62" s="421" t="s">
        <v>543</v>
      </c>
      <c r="H62" s="236" t="str">
        <f>+IF(H51&lt;&gt;0,IF(L51&gt;=8,"SI","NO"),"")</f>
        <v>SI</v>
      </c>
      <c r="I62" s="422"/>
      <c r="J62" s="422"/>
      <c r="K62" s="422"/>
      <c r="L62" s="423"/>
    </row>
    <row r="63" spans="1:15" ht="27" customHeight="1" thickBot="1" x14ac:dyDescent="0.25">
      <c r="A63" s="57"/>
      <c r="B63" s="349" t="s">
        <v>544</v>
      </c>
      <c r="C63" s="350"/>
      <c r="D63" s="350"/>
      <c r="E63" s="350"/>
      <c r="F63" s="350"/>
      <c r="G63" s="350" t="s">
        <v>543</v>
      </c>
      <c r="H63" s="237" t="str">
        <f>+IF(H51&lt;&gt;0,IF(COUNTIF(H55:H58,"SI")&gt;=3,"SI","NO"),"")</f>
        <v>SI</v>
      </c>
      <c r="I63" s="416"/>
      <c r="J63" s="416"/>
      <c r="K63" s="416"/>
      <c r="L63" s="417"/>
    </row>
    <row r="64" spans="1:15" ht="16.5" customHeight="1" thickBot="1" x14ac:dyDescent="0.25">
      <c r="A64" s="197" t="str">
        <f>"E"&amp;A51</f>
        <v>E4</v>
      </c>
      <c r="D64" s="418" t="str">
        <f>+D49</f>
        <v>EL PROFESIONAL OFRECIDO POR EL PROPONENTE CUMPLE CON LOS REQUISITOS MÍNIMOS ESTABLECIDOS EN EL NUMERAL 4.1.2. (no se evalúa simultaneidad de procesos en esta celda)</v>
      </c>
      <c r="E64" s="419"/>
      <c r="F64" s="419"/>
      <c r="G64" s="419"/>
      <c r="H64" s="238" t="str">
        <f>IF(H51&lt;&gt;0,IF(AND(H60="SI",H62="SI",H63="SI"),"SI","NO"),"")</f>
        <v>SI</v>
      </c>
      <c r="J64" s="20"/>
      <c r="K64" s="20"/>
      <c r="L64" s="20"/>
    </row>
    <row r="65" spans="1:12" ht="12" thickBot="1" x14ac:dyDescent="0.25"/>
    <row r="66" spans="1:12" ht="45" x14ac:dyDescent="0.2">
      <c r="A66" s="442">
        <v>5</v>
      </c>
      <c r="B66" s="444" t="s">
        <v>891</v>
      </c>
      <c r="C66" s="444"/>
      <c r="D66" s="444"/>
      <c r="E66" s="444"/>
      <c r="F66" s="444"/>
      <c r="G66" s="446" t="s">
        <v>515</v>
      </c>
      <c r="H66" s="448" t="s">
        <v>937</v>
      </c>
      <c r="I66" s="225" t="s">
        <v>516</v>
      </c>
      <c r="J66" s="226" t="s">
        <v>517</v>
      </c>
      <c r="K66" s="450" t="s">
        <v>518</v>
      </c>
      <c r="L66" s="452">
        <f>+IF(J67&lt;&gt;0,ROUND(($E$4-J67)/360,0),"")</f>
        <v>28</v>
      </c>
    </row>
    <row r="67" spans="1:12" ht="15" thickBot="1" x14ac:dyDescent="0.25">
      <c r="A67" s="443"/>
      <c r="B67" s="445"/>
      <c r="C67" s="445"/>
      <c r="D67" s="445"/>
      <c r="E67" s="445"/>
      <c r="F67" s="445"/>
      <c r="G67" s="447"/>
      <c r="H67" s="449"/>
      <c r="I67" s="227">
        <v>6776362</v>
      </c>
      <c r="J67" s="228">
        <v>34054</v>
      </c>
      <c r="K67" s="451"/>
      <c r="L67" s="453"/>
    </row>
    <row r="68" spans="1:12" ht="11.25" customHeight="1" x14ac:dyDescent="0.2">
      <c r="A68" s="430" t="s">
        <v>171</v>
      </c>
      <c r="B68" s="431" t="s">
        <v>173</v>
      </c>
      <c r="C68" s="432"/>
      <c r="D68" s="432"/>
      <c r="E68" s="433"/>
      <c r="F68" s="434" t="s">
        <v>519</v>
      </c>
      <c r="G68" s="434" t="s">
        <v>520</v>
      </c>
      <c r="H68" s="434" t="s">
        <v>521</v>
      </c>
      <c r="I68" s="436" t="s">
        <v>522</v>
      </c>
      <c r="J68" s="437"/>
      <c r="K68" s="437"/>
      <c r="L68" s="438"/>
    </row>
    <row r="69" spans="1:12" ht="57.75" customHeight="1" thickBot="1" x14ac:dyDescent="0.25">
      <c r="A69" s="430"/>
      <c r="B69" s="26" t="s">
        <v>188</v>
      </c>
      <c r="C69" s="26" t="s">
        <v>189</v>
      </c>
      <c r="D69" s="26" t="s">
        <v>190</v>
      </c>
      <c r="E69" s="26" t="s">
        <v>191</v>
      </c>
      <c r="F69" s="435"/>
      <c r="G69" s="435"/>
      <c r="H69" s="435"/>
      <c r="I69" s="439"/>
      <c r="J69" s="440"/>
      <c r="K69" s="440"/>
      <c r="L69" s="441"/>
    </row>
    <row r="70" spans="1:12" s="27" customFormat="1" ht="76.5" x14ac:dyDescent="0.2">
      <c r="A70" s="241">
        <v>1</v>
      </c>
      <c r="B70" s="242" t="s">
        <v>570</v>
      </c>
      <c r="C70" s="243" t="s">
        <v>571</v>
      </c>
      <c r="D70" s="243" t="s">
        <v>572</v>
      </c>
      <c r="E70" s="242" t="s">
        <v>239</v>
      </c>
      <c r="F70" s="244" t="s">
        <v>527</v>
      </c>
      <c r="G70" s="245" t="s">
        <v>16</v>
      </c>
      <c r="H70" s="245" t="str">
        <f>+IF(B70&lt;&gt;"",IF(OR(F70="Otro",G70="NO"),"NO","SI"),"")</f>
        <v>SI</v>
      </c>
      <c r="I70" s="469"/>
      <c r="J70" s="469"/>
      <c r="K70" s="469"/>
      <c r="L70" s="470"/>
    </row>
    <row r="71" spans="1:12" s="27" customFormat="1" ht="63.75" x14ac:dyDescent="0.2">
      <c r="A71" s="246">
        <v>2</v>
      </c>
      <c r="B71" s="39" t="s">
        <v>573</v>
      </c>
      <c r="C71" s="46" t="s">
        <v>574</v>
      </c>
      <c r="D71" s="46" t="s">
        <v>575</v>
      </c>
      <c r="E71" s="39" t="s">
        <v>576</v>
      </c>
      <c r="F71" s="41" t="s">
        <v>527</v>
      </c>
      <c r="G71" s="43" t="s">
        <v>16</v>
      </c>
      <c r="H71" s="43" t="str">
        <f>+IF(B71&lt;&gt;"",IF(OR(F71="Otro",G71="NO"),"NO","SI"),"")</f>
        <v>SI</v>
      </c>
      <c r="I71" s="422"/>
      <c r="J71" s="422"/>
      <c r="K71" s="422"/>
      <c r="L71" s="471"/>
    </row>
    <row r="72" spans="1:12" s="27" customFormat="1" ht="114.75" x14ac:dyDescent="0.2">
      <c r="A72" s="246">
        <v>3</v>
      </c>
      <c r="B72" s="39" t="s">
        <v>291</v>
      </c>
      <c r="C72" s="46" t="s">
        <v>577</v>
      </c>
      <c r="D72" s="46" t="s">
        <v>578</v>
      </c>
      <c r="E72" s="39" t="s">
        <v>239</v>
      </c>
      <c r="F72" s="41" t="s">
        <v>527</v>
      </c>
      <c r="G72" s="43" t="s">
        <v>16</v>
      </c>
      <c r="H72" s="43" t="str">
        <f>+IF(B72&lt;&gt;"",IF(OR(F72="Otro",G72="NO"),"NO","SI"),"")</f>
        <v>SI</v>
      </c>
      <c r="I72" s="422"/>
      <c r="J72" s="422"/>
      <c r="K72" s="422"/>
      <c r="L72" s="471"/>
    </row>
    <row r="73" spans="1:12" s="27" customFormat="1" ht="13.5" thickBot="1" x14ac:dyDescent="0.25">
      <c r="A73" s="247">
        <v>4</v>
      </c>
      <c r="B73" s="248"/>
      <c r="C73" s="249"/>
      <c r="D73" s="249"/>
      <c r="E73" s="248"/>
      <c r="F73" s="250"/>
      <c r="G73" s="251"/>
      <c r="H73" s="251" t="str">
        <f>+IF(B73&lt;&gt;"",IF(OR(F73="Otro",G73="NO"),"NO","SI"),"")</f>
        <v/>
      </c>
      <c r="I73" s="467"/>
      <c r="J73" s="467"/>
      <c r="K73" s="467"/>
      <c r="L73" s="468"/>
    </row>
    <row r="74" spans="1:12" ht="27" customHeight="1" x14ac:dyDescent="0.2">
      <c r="A74" s="197" t="str">
        <f>"D"&amp;A66</f>
        <v>D5</v>
      </c>
      <c r="B74" s="428" t="s">
        <v>538</v>
      </c>
      <c r="C74" s="429"/>
      <c r="D74" s="429"/>
      <c r="E74" s="429"/>
      <c r="F74" s="429"/>
      <c r="G74" s="429"/>
      <c r="H74" s="240" t="s">
        <v>16</v>
      </c>
      <c r="I74" s="456"/>
      <c r="J74" s="456"/>
      <c r="K74" s="456"/>
      <c r="L74" s="457"/>
    </row>
    <row r="75" spans="1:12" ht="27" customHeight="1" x14ac:dyDescent="0.2">
      <c r="A75" s="234"/>
      <c r="B75" s="420" t="s">
        <v>539</v>
      </c>
      <c r="C75" s="421"/>
      <c r="D75" s="421"/>
      <c r="E75" s="421"/>
      <c r="F75" s="421"/>
      <c r="G75" s="421"/>
      <c r="H75" s="239" t="s">
        <v>16</v>
      </c>
      <c r="I75" s="422"/>
      <c r="J75" s="422"/>
      <c r="K75" s="422"/>
      <c r="L75" s="423"/>
    </row>
    <row r="76" spans="1:12" ht="27" customHeight="1" x14ac:dyDescent="0.2">
      <c r="A76" s="197" t="str">
        <f>"F"&amp;A66</f>
        <v>F5</v>
      </c>
      <c r="B76" s="420" t="s">
        <v>540</v>
      </c>
      <c r="C76" s="421"/>
      <c r="D76" s="421"/>
      <c r="E76" s="421"/>
      <c r="F76" s="421"/>
      <c r="G76" s="421" t="s">
        <v>541</v>
      </c>
      <c r="H76" s="235" t="s">
        <v>211</v>
      </c>
      <c r="I76" s="422"/>
      <c r="J76" s="422"/>
      <c r="K76" s="422"/>
      <c r="L76" s="423"/>
    </row>
    <row r="77" spans="1:12" ht="27" customHeight="1" x14ac:dyDescent="0.2">
      <c r="A77" s="57"/>
      <c r="B77" s="420" t="s">
        <v>542</v>
      </c>
      <c r="C77" s="421"/>
      <c r="D77" s="421"/>
      <c r="E77" s="421"/>
      <c r="F77" s="421"/>
      <c r="G77" s="421" t="s">
        <v>543</v>
      </c>
      <c r="H77" s="236" t="str">
        <f>+IF(H66&lt;&gt;0,IF(L66&gt;=8,"SI","NO"),"")</f>
        <v>SI</v>
      </c>
      <c r="I77" s="422"/>
      <c r="J77" s="422"/>
      <c r="K77" s="422"/>
      <c r="L77" s="423"/>
    </row>
    <row r="78" spans="1:12" ht="27" customHeight="1" thickBot="1" x14ac:dyDescent="0.25">
      <c r="A78" s="57"/>
      <c r="B78" s="349" t="s">
        <v>544</v>
      </c>
      <c r="C78" s="350"/>
      <c r="D78" s="350"/>
      <c r="E78" s="350"/>
      <c r="F78" s="350"/>
      <c r="G78" s="350" t="s">
        <v>543</v>
      </c>
      <c r="H78" s="237" t="str">
        <f>+IF(H66&lt;&gt;0,IF(COUNTIF(H70:H73,"SI")&gt;=3,"SI","NO"),"")</f>
        <v>SI</v>
      </c>
      <c r="I78" s="416"/>
      <c r="J78" s="416"/>
      <c r="K78" s="416"/>
      <c r="L78" s="417"/>
    </row>
    <row r="79" spans="1:12" ht="16.5" customHeight="1" thickBot="1" x14ac:dyDescent="0.25">
      <c r="A79" s="197" t="str">
        <f>"E"&amp;A66</f>
        <v>E5</v>
      </c>
      <c r="D79" s="418" t="str">
        <f>+D64</f>
        <v>EL PROFESIONAL OFRECIDO POR EL PROPONENTE CUMPLE CON LOS REQUISITOS MÍNIMOS ESTABLECIDOS EN EL NUMERAL 4.1.2. (no se evalúa simultaneidad de procesos en esta celda)</v>
      </c>
      <c r="E79" s="419"/>
      <c r="F79" s="419"/>
      <c r="G79" s="419"/>
      <c r="H79" s="238" t="str">
        <f>IF(H66&lt;&gt;0,IF(AND(H75="SI",H77="SI",H78="SI"),"SI","NO"),"")</f>
        <v>SI</v>
      </c>
      <c r="J79" s="20"/>
      <c r="K79" s="20"/>
      <c r="L79" s="20"/>
    </row>
    <row r="80" spans="1:12" ht="12" thickBot="1" x14ac:dyDescent="0.25"/>
    <row r="81" spans="1:12" ht="45" x14ac:dyDescent="0.2">
      <c r="A81" s="442">
        <v>6</v>
      </c>
      <c r="B81" s="444" t="s">
        <v>38</v>
      </c>
      <c r="C81" s="444"/>
      <c r="D81" s="444"/>
      <c r="E81" s="444"/>
      <c r="F81" s="444"/>
      <c r="G81" s="446" t="s">
        <v>515</v>
      </c>
      <c r="H81" s="448" t="s">
        <v>938</v>
      </c>
      <c r="I81" s="225" t="s">
        <v>516</v>
      </c>
      <c r="J81" s="226" t="s">
        <v>517</v>
      </c>
      <c r="K81" s="450" t="s">
        <v>518</v>
      </c>
      <c r="L81" s="452">
        <f>+IF(J82&lt;&gt;0,ROUND(($E$4-J82)/360,0),"")</f>
        <v>10</v>
      </c>
    </row>
    <row r="82" spans="1:12" ht="15" thickBot="1" x14ac:dyDescent="0.25">
      <c r="A82" s="443"/>
      <c r="B82" s="445"/>
      <c r="C82" s="445"/>
      <c r="D82" s="445"/>
      <c r="E82" s="445"/>
      <c r="F82" s="445"/>
      <c r="G82" s="447"/>
      <c r="H82" s="449"/>
      <c r="I82" s="227">
        <v>24339850</v>
      </c>
      <c r="J82" s="228">
        <v>40283</v>
      </c>
      <c r="K82" s="451"/>
      <c r="L82" s="453"/>
    </row>
    <row r="83" spans="1:12" ht="11.25" customHeight="1" x14ac:dyDescent="0.2">
      <c r="A83" s="430" t="s">
        <v>171</v>
      </c>
      <c r="B83" s="431" t="s">
        <v>173</v>
      </c>
      <c r="C83" s="432"/>
      <c r="D83" s="432"/>
      <c r="E83" s="433"/>
      <c r="F83" s="434" t="s">
        <v>519</v>
      </c>
      <c r="G83" s="434" t="s">
        <v>520</v>
      </c>
      <c r="H83" s="434" t="s">
        <v>521</v>
      </c>
      <c r="I83" s="436" t="s">
        <v>522</v>
      </c>
      <c r="J83" s="437"/>
      <c r="K83" s="437"/>
      <c r="L83" s="438"/>
    </row>
    <row r="84" spans="1:12" ht="57.75" customHeight="1" thickBot="1" x14ac:dyDescent="0.25">
      <c r="A84" s="430"/>
      <c r="B84" s="26" t="s">
        <v>188</v>
      </c>
      <c r="C84" s="26" t="s">
        <v>189</v>
      </c>
      <c r="D84" s="26" t="s">
        <v>190</v>
      </c>
      <c r="E84" s="26" t="s">
        <v>191</v>
      </c>
      <c r="F84" s="435"/>
      <c r="G84" s="435"/>
      <c r="H84" s="435"/>
      <c r="I84" s="439"/>
      <c r="J84" s="440"/>
      <c r="K84" s="440"/>
      <c r="L84" s="441"/>
    </row>
    <row r="85" spans="1:12" s="27" customFormat="1" ht="117" customHeight="1" x14ac:dyDescent="0.2">
      <c r="A85" s="28">
        <v>1</v>
      </c>
      <c r="B85" s="86" t="s">
        <v>39</v>
      </c>
      <c r="C85" s="87" t="s">
        <v>253</v>
      </c>
      <c r="D85" s="87" t="s">
        <v>579</v>
      </c>
      <c r="E85" s="86" t="s">
        <v>580</v>
      </c>
      <c r="F85" s="31" t="s">
        <v>561</v>
      </c>
      <c r="G85" s="33" t="s">
        <v>16</v>
      </c>
      <c r="H85" s="33" t="str">
        <f>+IF(B85&lt;&gt;"",IF(OR(F85="Otro",G85="NO"),"NO","SI"),"")</f>
        <v>SI</v>
      </c>
      <c r="I85" s="424"/>
      <c r="J85" s="424"/>
      <c r="K85" s="424"/>
      <c r="L85" s="425"/>
    </row>
    <row r="86" spans="1:12" s="27" customFormat="1" ht="54" customHeight="1" x14ac:dyDescent="0.2">
      <c r="A86" s="38">
        <v>2</v>
      </c>
      <c r="B86" s="39" t="s">
        <v>39</v>
      </c>
      <c r="C86" s="46" t="s">
        <v>249</v>
      </c>
      <c r="D86" s="46" t="s">
        <v>581</v>
      </c>
      <c r="E86" s="39" t="s">
        <v>580</v>
      </c>
      <c r="F86" s="41" t="s">
        <v>561</v>
      </c>
      <c r="G86" s="43" t="s">
        <v>16</v>
      </c>
      <c r="H86" s="43" t="str">
        <f>+IF(B86&lt;&gt;"",IF(OR(F86="Otro",G86="NO"),"NO","SI"),"")</f>
        <v>SI</v>
      </c>
      <c r="I86" s="422"/>
      <c r="J86" s="422"/>
      <c r="K86" s="422"/>
      <c r="L86" s="423"/>
    </row>
    <row r="87" spans="1:12" s="27" customFormat="1" ht="53.25" customHeight="1" x14ac:dyDescent="0.2">
      <c r="A87" s="38">
        <v>3</v>
      </c>
      <c r="B87" s="39" t="s">
        <v>39</v>
      </c>
      <c r="C87" s="46" t="s">
        <v>582</v>
      </c>
      <c r="D87" s="46" t="s">
        <v>583</v>
      </c>
      <c r="E87" s="39" t="s">
        <v>580</v>
      </c>
      <c r="F87" s="41" t="s">
        <v>561</v>
      </c>
      <c r="G87" s="43" t="s">
        <v>16</v>
      </c>
      <c r="H87" s="43" t="str">
        <f>+IF(B87&lt;&gt;"",IF(OR(F87="Otro",G87="NO"),"NO","SI"),"")</f>
        <v>SI</v>
      </c>
      <c r="I87" s="422"/>
      <c r="J87" s="422"/>
      <c r="K87" s="422"/>
      <c r="L87" s="423"/>
    </row>
    <row r="88" spans="1:12" s="27" customFormat="1" ht="13.5" thickBot="1" x14ac:dyDescent="0.25">
      <c r="A88" s="47">
        <v>4</v>
      </c>
      <c r="B88" s="230"/>
      <c r="C88" s="231"/>
      <c r="D88" s="231"/>
      <c r="E88" s="230"/>
      <c r="F88" s="232"/>
      <c r="G88" s="233"/>
      <c r="H88" s="233" t="str">
        <f>+IF(B88&lt;&gt;"",IF(OR(F88="Otro",G88="NO"),"NO","SI"),"")</f>
        <v/>
      </c>
      <c r="I88" s="426"/>
      <c r="J88" s="426"/>
      <c r="K88" s="426"/>
      <c r="L88" s="427"/>
    </row>
    <row r="89" spans="1:12" ht="27" customHeight="1" x14ac:dyDescent="0.2">
      <c r="A89" s="197" t="str">
        <f>"D"&amp;A81</f>
        <v>D6</v>
      </c>
      <c r="B89" s="428" t="s">
        <v>538</v>
      </c>
      <c r="C89" s="429"/>
      <c r="D89" s="429"/>
      <c r="E89" s="429"/>
      <c r="F89" s="429"/>
      <c r="G89" s="429"/>
      <c r="H89" s="88" t="s">
        <v>16</v>
      </c>
      <c r="I89" s="424"/>
      <c r="J89" s="424"/>
      <c r="K89" s="424"/>
      <c r="L89" s="425"/>
    </row>
    <row r="90" spans="1:12" ht="27" customHeight="1" x14ac:dyDescent="0.2">
      <c r="A90" s="234"/>
      <c r="B90" s="420" t="s">
        <v>539</v>
      </c>
      <c r="C90" s="421"/>
      <c r="D90" s="421"/>
      <c r="E90" s="421"/>
      <c r="F90" s="421"/>
      <c r="G90" s="421"/>
      <c r="H90" s="239" t="s">
        <v>16</v>
      </c>
      <c r="I90" s="422"/>
      <c r="J90" s="422"/>
      <c r="K90" s="422"/>
      <c r="L90" s="423"/>
    </row>
    <row r="91" spans="1:12" ht="27" customHeight="1" x14ac:dyDescent="0.2">
      <c r="A91" s="197" t="str">
        <f>"F"&amp;A81</f>
        <v>F6</v>
      </c>
      <c r="B91" s="420" t="s">
        <v>540</v>
      </c>
      <c r="C91" s="421"/>
      <c r="D91" s="421"/>
      <c r="E91" s="421"/>
      <c r="F91" s="421"/>
      <c r="G91" s="421" t="s">
        <v>541</v>
      </c>
      <c r="H91" s="235" t="s">
        <v>211</v>
      </c>
      <c r="I91" s="422"/>
      <c r="J91" s="422"/>
      <c r="K91" s="422"/>
      <c r="L91" s="423"/>
    </row>
    <row r="92" spans="1:12" ht="27" customHeight="1" x14ac:dyDescent="0.2">
      <c r="A92" s="57"/>
      <c r="B92" s="420" t="s">
        <v>542</v>
      </c>
      <c r="C92" s="421"/>
      <c r="D92" s="421"/>
      <c r="E92" s="421"/>
      <c r="F92" s="421"/>
      <c r="G92" s="421" t="s">
        <v>543</v>
      </c>
      <c r="H92" s="236" t="str">
        <f>+IF(H81&lt;&gt;0,IF(L81&gt;=8,"SI","NO"),"")</f>
        <v>SI</v>
      </c>
      <c r="I92" s="422"/>
      <c r="J92" s="422"/>
      <c r="K92" s="422"/>
      <c r="L92" s="423"/>
    </row>
    <row r="93" spans="1:12" ht="27" customHeight="1" thickBot="1" x14ac:dyDescent="0.25">
      <c r="A93" s="57"/>
      <c r="B93" s="349" t="s">
        <v>544</v>
      </c>
      <c r="C93" s="350"/>
      <c r="D93" s="350"/>
      <c r="E93" s="350"/>
      <c r="F93" s="350"/>
      <c r="G93" s="350" t="s">
        <v>543</v>
      </c>
      <c r="H93" s="237" t="str">
        <f>+IF(H81&lt;&gt;0,IF(COUNTIF(H85:H88,"SI")&gt;=3,"SI","NO"),"")</f>
        <v>SI</v>
      </c>
      <c r="I93" s="416"/>
      <c r="J93" s="416"/>
      <c r="K93" s="416"/>
      <c r="L93" s="417"/>
    </row>
    <row r="94" spans="1:12" ht="16.5" customHeight="1" thickBot="1" x14ac:dyDescent="0.25">
      <c r="A94" s="197" t="str">
        <f>"E"&amp;A81</f>
        <v>E6</v>
      </c>
      <c r="D94" s="418" t="str">
        <f>+D79</f>
        <v>EL PROFESIONAL OFRECIDO POR EL PROPONENTE CUMPLE CON LOS REQUISITOS MÍNIMOS ESTABLECIDOS EN EL NUMERAL 4.1.2. (no se evalúa simultaneidad de procesos en esta celda)</v>
      </c>
      <c r="E94" s="419"/>
      <c r="F94" s="419"/>
      <c r="G94" s="419"/>
      <c r="H94" s="238" t="str">
        <f>IF(H81&lt;&gt;0,IF(AND(H90="SI",H92="SI",H93="SI"),"SI","NO"),"")</f>
        <v>SI</v>
      </c>
      <c r="J94" s="20"/>
      <c r="K94" s="20"/>
      <c r="L94" s="20"/>
    </row>
    <row r="95" spans="1:12" ht="12" thickBot="1" x14ac:dyDescent="0.25"/>
    <row r="96" spans="1:12" ht="45" x14ac:dyDescent="0.2">
      <c r="A96" s="442">
        <v>7</v>
      </c>
      <c r="B96" s="444" t="s">
        <v>42</v>
      </c>
      <c r="C96" s="444"/>
      <c r="D96" s="444"/>
      <c r="E96" s="444"/>
      <c r="F96" s="444"/>
      <c r="G96" s="446" t="s">
        <v>515</v>
      </c>
      <c r="H96" s="448" t="s">
        <v>939</v>
      </c>
      <c r="I96" s="225" t="s">
        <v>516</v>
      </c>
      <c r="J96" s="226" t="s">
        <v>517</v>
      </c>
      <c r="K96" s="450" t="s">
        <v>518</v>
      </c>
      <c r="L96" s="452">
        <f>+IF(J97&lt;&gt;0,ROUND(($E$4-J97)/360,0),"")</f>
        <v>19</v>
      </c>
    </row>
    <row r="97" spans="1:13" ht="15" thickBot="1" x14ac:dyDescent="0.25">
      <c r="A97" s="443"/>
      <c r="B97" s="445"/>
      <c r="C97" s="445"/>
      <c r="D97" s="445"/>
      <c r="E97" s="445"/>
      <c r="F97" s="445"/>
      <c r="G97" s="447"/>
      <c r="H97" s="449"/>
      <c r="I97" s="227">
        <v>12995887</v>
      </c>
      <c r="J97" s="228">
        <v>37119</v>
      </c>
      <c r="K97" s="451"/>
      <c r="L97" s="453"/>
    </row>
    <row r="98" spans="1:13" ht="11.25" customHeight="1" x14ac:dyDescent="0.2">
      <c r="A98" s="430" t="s">
        <v>171</v>
      </c>
      <c r="B98" s="431" t="s">
        <v>173</v>
      </c>
      <c r="C98" s="432"/>
      <c r="D98" s="432"/>
      <c r="E98" s="433"/>
      <c r="F98" s="434" t="s">
        <v>519</v>
      </c>
      <c r="G98" s="434" t="s">
        <v>520</v>
      </c>
      <c r="H98" s="434" t="s">
        <v>521</v>
      </c>
      <c r="I98" s="436" t="s">
        <v>522</v>
      </c>
      <c r="J98" s="437"/>
      <c r="K98" s="437"/>
      <c r="L98" s="438"/>
    </row>
    <row r="99" spans="1:13" ht="57.75" customHeight="1" thickBot="1" x14ac:dyDescent="0.25">
      <c r="A99" s="430"/>
      <c r="B99" s="26" t="s">
        <v>188</v>
      </c>
      <c r="C99" s="26" t="s">
        <v>189</v>
      </c>
      <c r="D99" s="26" t="s">
        <v>190</v>
      </c>
      <c r="E99" s="26" t="s">
        <v>191</v>
      </c>
      <c r="F99" s="435"/>
      <c r="G99" s="435"/>
      <c r="H99" s="435"/>
      <c r="I99" s="439"/>
      <c r="J99" s="440"/>
      <c r="K99" s="440"/>
      <c r="L99" s="441"/>
    </row>
    <row r="100" spans="1:13" s="27" customFormat="1" ht="105.75" customHeight="1" x14ac:dyDescent="0.2">
      <c r="A100" s="28">
        <v>1</v>
      </c>
      <c r="B100" s="86" t="s">
        <v>337</v>
      </c>
      <c r="C100" s="87" t="s">
        <v>584</v>
      </c>
      <c r="D100" s="87" t="s">
        <v>585</v>
      </c>
      <c r="E100" s="86" t="s">
        <v>586</v>
      </c>
      <c r="F100" s="31" t="s">
        <v>561</v>
      </c>
      <c r="G100" s="33" t="s">
        <v>211</v>
      </c>
      <c r="H100" s="33" t="str">
        <f>+IF(B100&lt;&gt;"",IF(OR(F100="Otro",G100="NO"),"NO","SI"),"")</f>
        <v>NO</v>
      </c>
      <c r="I100" s="473" t="s">
        <v>587</v>
      </c>
      <c r="J100" s="473"/>
      <c r="K100" s="473"/>
      <c r="L100" s="474"/>
      <c r="M100" s="252"/>
    </row>
    <row r="101" spans="1:13" s="27" customFormat="1" ht="63.75" x14ac:dyDescent="0.2">
      <c r="A101" s="38">
        <v>2</v>
      </c>
      <c r="B101" s="39" t="s">
        <v>524</v>
      </c>
      <c r="C101" s="46" t="s">
        <v>260</v>
      </c>
      <c r="D101" s="46" t="s">
        <v>588</v>
      </c>
      <c r="E101" s="39" t="s">
        <v>589</v>
      </c>
      <c r="F101" s="41" t="s">
        <v>561</v>
      </c>
      <c r="G101" s="43" t="s">
        <v>16</v>
      </c>
      <c r="H101" s="43" t="str">
        <f>+IF(B101&lt;&gt;"",IF(OR(F101="Otro",G101="NO"),"NO","SI"),"")</f>
        <v>SI</v>
      </c>
      <c r="I101" s="422"/>
      <c r="J101" s="422"/>
      <c r="K101" s="422"/>
      <c r="L101" s="423"/>
    </row>
    <row r="102" spans="1:13" s="27" customFormat="1" ht="76.5" x14ac:dyDescent="0.2">
      <c r="A102" s="38">
        <v>3</v>
      </c>
      <c r="B102" s="39" t="s">
        <v>43</v>
      </c>
      <c r="C102" s="46" t="s">
        <v>590</v>
      </c>
      <c r="D102" s="46" t="s">
        <v>591</v>
      </c>
      <c r="E102" s="39" t="s">
        <v>592</v>
      </c>
      <c r="F102" s="41" t="s">
        <v>561</v>
      </c>
      <c r="G102" s="43" t="s">
        <v>16</v>
      </c>
      <c r="H102" s="43" t="str">
        <f>+IF(B102&lt;&gt;"",IF(OR(F102="Otro",G102="NO"),"NO","SI"),"")</f>
        <v>SI</v>
      </c>
      <c r="I102" s="422"/>
      <c r="J102" s="422"/>
      <c r="K102" s="422"/>
      <c r="L102" s="423"/>
    </row>
    <row r="103" spans="1:13" s="27" customFormat="1" ht="13.5" thickBot="1" x14ac:dyDescent="0.25">
      <c r="A103" s="47">
        <v>4</v>
      </c>
      <c r="B103" s="230"/>
      <c r="C103" s="231"/>
      <c r="D103" s="231"/>
      <c r="E103" s="230"/>
      <c r="F103" s="232"/>
      <c r="G103" s="233"/>
      <c r="H103" s="233" t="str">
        <f>+IF(B103&lt;&gt;"",IF(OR(F103="Otro",G103="NO"),"NO","SI"),"")</f>
        <v/>
      </c>
      <c r="I103" s="426"/>
      <c r="J103" s="426"/>
      <c r="K103" s="426"/>
      <c r="L103" s="427"/>
    </row>
    <row r="104" spans="1:13" ht="27" customHeight="1" x14ac:dyDescent="0.2">
      <c r="A104" s="197" t="str">
        <f>"D"&amp;A96</f>
        <v>D7</v>
      </c>
      <c r="B104" s="428" t="s">
        <v>538</v>
      </c>
      <c r="C104" s="429"/>
      <c r="D104" s="429"/>
      <c r="E104" s="429"/>
      <c r="F104" s="429"/>
      <c r="G104" s="429"/>
      <c r="H104" s="88" t="s">
        <v>16</v>
      </c>
      <c r="I104" s="424"/>
      <c r="J104" s="424"/>
      <c r="K104" s="424"/>
      <c r="L104" s="425"/>
    </row>
    <row r="105" spans="1:13" ht="27" customHeight="1" x14ac:dyDescent="0.2">
      <c r="A105" s="234"/>
      <c r="B105" s="420" t="s">
        <v>539</v>
      </c>
      <c r="C105" s="421"/>
      <c r="D105" s="421"/>
      <c r="E105" s="421"/>
      <c r="F105" s="421"/>
      <c r="G105" s="421"/>
      <c r="H105" s="239" t="s">
        <v>16</v>
      </c>
      <c r="I105" s="422"/>
      <c r="J105" s="422"/>
      <c r="K105" s="422"/>
      <c r="L105" s="423"/>
    </row>
    <row r="106" spans="1:13" ht="27" customHeight="1" x14ac:dyDescent="0.2">
      <c r="A106" s="197" t="str">
        <f>"F"&amp;A96</f>
        <v>F7</v>
      </c>
      <c r="B106" s="420" t="s">
        <v>540</v>
      </c>
      <c r="C106" s="421"/>
      <c r="D106" s="421"/>
      <c r="E106" s="421"/>
      <c r="F106" s="421"/>
      <c r="G106" s="421" t="s">
        <v>541</v>
      </c>
      <c r="H106" s="235" t="s">
        <v>211</v>
      </c>
      <c r="I106" s="422"/>
      <c r="J106" s="422"/>
      <c r="K106" s="422"/>
      <c r="L106" s="423"/>
    </row>
    <row r="107" spans="1:13" ht="27" customHeight="1" x14ac:dyDescent="0.2">
      <c r="A107" s="57"/>
      <c r="B107" s="420" t="s">
        <v>542</v>
      </c>
      <c r="C107" s="421"/>
      <c r="D107" s="421"/>
      <c r="E107" s="421"/>
      <c r="F107" s="421"/>
      <c r="G107" s="421" t="s">
        <v>543</v>
      </c>
      <c r="H107" s="236" t="str">
        <f>+IF(H96&lt;&gt;0,IF(L96&gt;=8,"SI","NO"),"")</f>
        <v>SI</v>
      </c>
      <c r="I107" s="422"/>
      <c r="J107" s="422"/>
      <c r="K107" s="422"/>
      <c r="L107" s="423"/>
    </row>
    <row r="108" spans="1:13" ht="27" customHeight="1" thickBot="1" x14ac:dyDescent="0.25">
      <c r="A108" s="57"/>
      <c r="B108" s="349" t="s">
        <v>544</v>
      </c>
      <c r="C108" s="350"/>
      <c r="D108" s="350"/>
      <c r="E108" s="350"/>
      <c r="F108" s="350"/>
      <c r="G108" s="350" t="s">
        <v>543</v>
      </c>
      <c r="H108" s="237" t="str">
        <f>+IF(H96&lt;&gt;0,IF(COUNTIF(H100:H103,"SI")&gt;=3,"SI","NO"),"")</f>
        <v>NO</v>
      </c>
      <c r="I108" s="416"/>
      <c r="J108" s="416"/>
      <c r="K108" s="416"/>
      <c r="L108" s="417"/>
    </row>
    <row r="109" spans="1:13" ht="16.5" customHeight="1" thickBot="1" x14ac:dyDescent="0.25">
      <c r="A109" s="197" t="str">
        <f>"E"&amp;A96</f>
        <v>E7</v>
      </c>
      <c r="D109" s="418" t="str">
        <f>+D94</f>
        <v>EL PROFESIONAL OFRECIDO POR EL PROPONENTE CUMPLE CON LOS REQUISITOS MÍNIMOS ESTABLECIDOS EN EL NUMERAL 4.1.2. (no se evalúa simultaneidad de procesos en esta celda)</v>
      </c>
      <c r="E109" s="419"/>
      <c r="F109" s="419"/>
      <c r="G109" s="419"/>
      <c r="H109" s="238" t="str">
        <f>IF(H96&lt;&gt;0,IF(AND(H105="SI",H107="SI",H108="SI"),"SI","NO"),"")</f>
        <v>NO</v>
      </c>
      <c r="J109" s="20"/>
      <c r="K109" s="20"/>
      <c r="L109" s="20"/>
    </row>
    <row r="110" spans="1:13" ht="12" thickBot="1" x14ac:dyDescent="0.25"/>
    <row r="111" spans="1:13" ht="45" x14ac:dyDescent="0.2">
      <c r="A111" s="442">
        <v>8</v>
      </c>
      <c r="B111" s="444" t="s">
        <v>893</v>
      </c>
      <c r="C111" s="444"/>
      <c r="D111" s="444"/>
      <c r="E111" s="444"/>
      <c r="F111" s="444"/>
      <c r="G111" s="446" t="s">
        <v>515</v>
      </c>
      <c r="H111" s="448" t="s">
        <v>940</v>
      </c>
      <c r="I111" s="225" t="s">
        <v>516</v>
      </c>
      <c r="J111" s="226" t="s">
        <v>517</v>
      </c>
      <c r="K111" s="450" t="s">
        <v>518</v>
      </c>
      <c r="L111" s="452">
        <f>+IF(J112&lt;&gt;0,ROUND(($E$4-J112)/360,0),"")</f>
        <v>52</v>
      </c>
    </row>
    <row r="112" spans="1:13" ht="15" thickBot="1" x14ac:dyDescent="0.25">
      <c r="A112" s="443"/>
      <c r="B112" s="445"/>
      <c r="C112" s="445"/>
      <c r="D112" s="445"/>
      <c r="E112" s="445"/>
      <c r="F112" s="445"/>
      <c r="G112" s="447"/>
      <c r="H112" s="449"/>
      <c r="I112" s="227">
        <v>4610382</v>
      </c>
      <c r="J112" s="228">
        <v>25258</v>
      </c>
      <c r="K112" s="451"/>
      <c r="L112" s="453"/>
    </row>
    <row r="113" spans="1:12" ht="11.25" customHeight="1" x14ac:dyDescent="0.2">
      <c r="A113" s="430" t="s">
        <v>171</v>
      </c>
      <c r="B113" s="431" t="s">
        <v>173</v>
      </c>
      <c r="C113" s="432"/>
      <c r="D113" s="432"/>
      <c r="E113" s="433"/>
      <c r="F113" s="434" t="s">
        <v>519</v>
      </c>
      <c r="G113" s="434" t="s">
        <v>520</v>
      </c>
      <c r="H113" s="434" t="s">
        <v>521</v>
      </c>
      <c r="I113" s="436" t="s">
        <v>522</v>
      </c>
      <c r="J113" s="437"/>
      <c r="K113" s="437"/>
      <c r="L113" s="438"/>
    </row>
    <row r="114" spans="1:12" ht="57.75" customHeight="1" thickBot="1" x14ac:dyDescent="0.25">
      <c r="A114" s="430"/>
      <c r="B114" s="26" t="s">
        <v>188</v>
      </c>
      <c r="C114" s="26" t="s">
        <v>189</v>
      </c>
      <c r="D114" s="26" t="s">
        <v>190</v>
      </c>
      <c r="E114" s="26" t="s">
        <v>191</v>
      </c>
      <c r="F114" s="435"/>
      <c r="G114" s="435"/>
      <c r="H114" s="435"/>
      <c r="I114" s="439"/>
      <c r="J114" s="440"/>
      <c r="K114" s="440"/>
      <c r="L114" s="441"/>
    </row>
    <row r="115" spans="1:12" s="27" customFormat="1" ht="63.75" x14ac:dyDescent="0.2">
      <c r="A115" s="28">
        <v>1</v>
      </c>
      <c r="B115" s="86" t="s">
        <v>593</v>
      </c>
      <c r="C115" s="87" t="s">
        <v>594</v>
      </c>
      <c r="D115" s="87" t="s">
        <v>595</v>
      </c>
      <c r="E115" s="86" t="s">
        <v>596</v>
      </c>
      <c r="F115" s="31" t="s">
        <v>527</v>
      </c>
      <c r="G115" s="33" t="s">
        <v>16</v>
      </c>
      <c r="H115" s="33" t="str">
        <f>+IF(B115&lt;&gt;"",IF(OR(F115="Otro",G115="NO"),"NO","SI"),"")</f>
        <v>SI</v>
      </c>
      <c r="I115" s="424"/>
      <c r="J115" s="424"/>
      <c r="K115" s="424"/>
      <c r="L115" s="425"/>
    </row>
    <row r="116" spans="1:12" s="27" customFormat="1" ht="63.75" x14ac:dyDescent="0.2">
      <c r="A116" s="38">
        <v>2</v>
      </c>
      <c r="B116" s="39" t="s">
        <v>597</v>
      </c>
      <c r="C116" s="46" t="s">
        <v>598</v>
      </c>
      <c r="D116" s="46" t="s">
        <v>599</v>
      </c>
      <c r="E116" s="39" t="s">
        <v>600</v>
      </c>
      <c r="F116" s="41" t="s">
        <v>527</v>
      </c>
      <c r="G116" s="43" t="s">
        <v>16</v>
      </c>
      <c r="H116" s="43" t="str">
        <f>+IF(B116&lt;&gt;"",IF(OR(F116="Otro",G116="NO"),"NO","SI"),"")</f>
        <v>SI</v>
      </c>
      <c r="I116" s="460"/>
      <c r="J116" s="460"/>
      <c r="K116" s="460"/>
      <c r="L116" s="461"/>
    </row>
    <row r="117" spans="1:12" s="27" customFormat="1" ht="89.25" x14ac:dyDescent="0.2">
      <c r="A117" s="38">
        <v>3</v>
      </c>
      <c r="B117" s="39" t="s">
        <v>43</v>
      </c>
      <c r="C117" s="46" t="s">
        <v>601</v>
      </c>
      <c r="D117" s="46" t="s">
        <v>602</v>
      </c>
      <c r="E117" s="39" t="s">
        <v>603</v>
      </c>
      <c r="F117" s="41" t="s">
        <v>527</v>
      </c>
      <c r="G117" s="43" t="s">
        <v>16</v>
      </c>
      <c r="H117" s="43" t="str">
        <f>+IF(B117&lt;&gt;"",IF(OR(F117="Otro",G117="NO"),"NO","SI"),"")</f>
        <v>SI</v>
      </c>
      <c r="I117" s="460"/>
      <c r="J117" s="460"/>
      <c r="K117" s="460"/>
      <c r="L117" s="461"/>
    </row>
    <row r="118" spans="1:12" s="27" customFormat="1" ht="13.5" thickBot="1" x14ac:dyDescent="0.25">
      <c r="A118" s="47">
        <v>4</v>
      </c>
      <c r="B118" s="48"/>
      <c r="C118" s="49"/>
      <c r="D118" s="49"/>
      <c r="E118" s="48"/>
      <c r="F118" s="51"/>
      <c r="G118" s="52"/>
      <c r="H118" s="52" t="str">
        <f>+IF(B118&lt;&gt;"",IF(OR(F118="Otro",G118="NO"),"NO","SI"),"")</f>
        <v/>
      </c>
      <c r="I118" s="416"/>
      <c r="J118" s="416"/>
      <c r="K118" s="416"/>
      <c r="L118" s="417"/>
    </row>
    <row r="119" spans="1:12" ht="27" customHeight="1" x14ac:dyDescent="0.2">
      <c r="A119" s="197" t="str">
        <f>"D"&amp;A111</f>
        <v>D8</v>
      </c>
      <c r="B119" s="428" t="s">
        <v>538</v>
      </c>
      <c r="C119" s="429"/>
      <c r="D119" s="429"/>
      <c r="E119" s="429"/>
      <c r="F119" s="429"/>
      <c r="G119" s="429"/>
      <c r="H119" s="240" t="s">
        <v>16</v>
      </c>
      <c r="I119" s="456"/>
      <c r="J119" s="456"/>
      <c r="K119" s="456"/>
      <c r="L119" s="457"/>
    </row>
    <row r="120" spans="1:12" ht="27" customHeight="1" x14ac:dyDescent="0.2">
      <c r="A120" s="234"/>
      <c r="B120" s="420" t="s">
        <v>539</v>
      </c>
      <c r="C120" s="421"/>
      <c r="D120" s="421"/>
      <c r="E120" s="421"/>
      <c r="F120" s="421"/>
      <c r="G120" s="421"/>
      <c r="H120" s="239" t="s">
        <v>16</v>
      </c>
      <c r="I120" s="422"/>
      <c r="J120" s="422"/>
      <c r="K120" s="422"/>
      <c r="L120" s="423"/>
    </row>
    <row r="121" spans="1:12" ht="27" customHeight="1" x14ac:dyDescent="0.2">
      <c r="A121" s="197" t="str">
        <f>"F"&amp;A111</f>
        <v>F8</v>
      </c>
      <c r="B121" s="420" t="s">
        <v>540</v>
      </c>
      <c r="C121" s="421"/>
      <c r="D121" s="421"/>
      <c r="E121" s="421"/>
      <c r="F121" s="421"/>
      <c r="G121" s="421" t="s">
        <v>541</v>
      </c>
      <c r="H121" s="235" t="s">
        <v>211</v>
      </c>
      <c r="I121" s="422"/>
      <c r="J121" s="422"/>
      <c r="K121" s="422"/>
      <c r="L121" s="423"/>
    </row>
    <row r="122" spans="1:12" ht="27" customHeight="1" x14ac:dyDescent="0.2">
      <c r="A122" s="57"/>
      <c r="B122" s="420" t="s">
        <v>542</v>
      </c>
      <c r="C122" s="421"/>
      <c r="D122" s="421"/>
      <c r="E122" s="421"/>
      <c r="F122" s="421"/>
      <c r="G122" s="421" t="s">
        <v>543</v>
      </c>
      <c r="H122" s="236" t="str">
        <f>+IF(H111&lt;&gt;0,IF(L111&gt;=8,"SI","NO"),"")</f>
        <v>SI</v>
      </c>
      <c r="I122" s="422"/>
      <c r="J122" s="422"/>
      <c r="K122" s="422"/>
      <c r="L122" s="423"/>
    </row>
    <row r="123" spans="1:12" ht="27" customHeight="1" thickBot="1" x14ac:dyDescent="0.25">
      <c r="A123" s="57"/>
      <c r="B123" s="349" t="s">
        <v>544</v>
      </c>
      <c r="C123" s="350"/>
      <c r="D123" s="350"/>
      <c r="E123" s="350"/>
      <c r="F123" s="350"/>
      <c r="G123" s="350" t="s">
        <v>543</v>
      </c>
      <c r="H123" s="237" t="str">
        <f>+IF(H111&lt;&gt;0,IF(COUNTIF(H115:H118,"SI")&gt;=3,"SI","NO"),"")</f>
        <v>SI</v>
      </c>
      <c r="I123" s="416"/>
      <c r="J123" s="416"/>
      <c r="K123" s="416"/>
      <c r="L123" s="417"/>
    </row>
    <row r="124" spans="1:12" ht="16.5" customHeight="1" thickBot="1" x14ac:dyDescent="0.25">
      <c r="A124" s="197" t="str">
        <f>"E"&amp;A111</f>
        <v>E8</v>
      </c>
      <c r="D124" s="418" t="str">
        <f>+D109</f>
        <v>EL PROFESIONAL OFRECIDO POR EL PROPONENTE CUMPLE CON LOS REQUISITOS MÍNIMOS ESTABLECIDOS EN EL NUMERAL 4.1.2. (no se evalúa simultaneidad de procesos en esta celda)</v>
      </c>
      <c r="E124" s="419"/>
      <c r="F124" s="419"/>
      <c r="G124" s="419"/>
      <c r="H124" s="238" t="str">
        <f>IF(H111&lt;&gt;0,IF(AND(H120="SI",H122="SI",H123="SI"),"SI","NO"),"")</f>
        <v>SI</v>
      </c>
      <c r="J124" s="20"/>
      <c r="K124" s="20"/>
      <c r="L124" s="20"/>
    </row>
    <row r="125" spans="1:12" ht="12" thickBot="1" x14ac:dyDescent="0.25"/>
    <row r="126" spans="1:12" ht="45" x14ac:dyDescent="0.2">
      <c r="A126" s="442">
        <v>9</v>
      </c>
      <c r="B126" s="444" t="s">
        <v>895</v>
      </c>
      <c r="C126" s="444"/>
      <c r="D126" s="444"/>
      <c r="E126" s="444"/>
      <c r="F126" s="444"/>
      <c r="G126" s="446" t="s">
        <v>515</v>
      </c>
      <c r="H126" s="448" t="s">
        <v>941</v>
      </c>
      <c r="I126" s="225" t="s">
        <v>516</v>
      </c>
      <c r="J126" s="226" t="s">
        <v>517</v>
      </c>
      <c r="K126" s="450" t="s">
        <v>518</v>
      </c>
      <c r="L126" s="452">
        <f>+IF(J127&lt;&gt;0,ROUND(($E$4-J127)/360,0),"")</f>
        <v>24</v>
      </c>
    </row>
    <row r="127" spans="1:12" ht="15" thickBot="1" x14ac:dyDescent="0.25">
      <c r="A127" s="443"/>
      <c r="B127" s="445"/>
      <c r="C127" s="445"/>
      <c r="D127" s="445"/>
      <c r="E127" s="445"/>
      <c r="F127" s="445"/>
      <c r="G127" s="447"/>
      <c r="H127" s="449"/>
      <c r="I127" s="227">
        <v>79597945</v>
      </c>
      <c r="J127" s="228">
        <v>35355</v>
      </c>
      <c r="K127" s="451"/>
      <c r="L127" s="453"/>
    </row>
    <row r="128" spans="1:12" ht="11.25" customHeight="1" x14ac:dyDescent="0.2">
      <c r="A128" s="430" t="s">
        <v>171</v>
      </c>
      <c r="B128" s="431" t="s">
        <v>173</v>
      </c>
      <c r="C128" s="432"/>
      <c r="D128" s="432"/>
      <c r="E128" s="433"/>
      <c r="F128" s="434" t="s">
        <v>519</v>
      </c>
      <c r="G128" s="434" t="s">
        <v>520</v>
      </c>
      <c r="H128" s="434" t="s">
        <v>521</v>
      </c>
      <c r="I128" s="436" t="s">
        <v>522</v>
      </c>
      <c r="J128" s="437"/>
      <c r="K128" s="437"/>
      <c r="L128" s="438"/>
    </row>
    <row r="129" spans="1:12" ht="57.75" customHeight="1" thickBot="1" x14ac:dyDescent="0.25">
      <c r="A129" s="430"/>
      <c r="B129" s="26" t="s">
        <v>188</v>
      </c>
      <c r="C129" s="26" t="s">
        <v>189</v>
      </c>
      <c r="D129" s="26" t="s">
        <v>190</v>
      </c>
      <c r="E129" s="26" t="s">
        <v>191</v>
      </c>
      <c r="F129" s="435"/>
      <c r="G129" s="435"/>
      <c r="H129" s="435"/>
      <c r="I129" s="439"/>
      <c r="J129" s="440"/>
      <c r="K129" s="440"/>
      <c r="L129" s="441"/>
    </row>
    <row r="130" spans="1:12" s="27" customFormat="1" ht="51" x14ac:dyDescent="0.2">
      <c r="A130" s="28">
        <v>1</v>
      </c>
      <c r="B130" s="86" t="s">
        <v>43</v>
      </c>
      <c r="C130" s="87" t="s">
        <v>604</v>
      </c>
      <c r="D130" s="87" t="s">
        <v>605</v>
      </c>
      <c r="E130" s="86" t="s">
        <v>606</v>
      </c>
      <c r="F130" s="31" t="s">
        <v>527</v>
      </c>
      <c r="G130" s="33" t="s">
        <v>16</v>
      </c>
      <c r="H130" s="33" t="str">
        <f>+IF(B130&lt;&gt;"",IF(OR(F130="Otro",G130="NO"),"NO","SI"),"")</f>
        <v>SI</v>
      </c>
      <c r="I130" s="424"/>
      <c r="J130" s="424"/>
      <c r="K130" s="424"/>
      <c r="L130" s="425"/>
    </row>
    <row r="131" spans="1:12" s="27" customFormat="1" ht="51" x14ac:dyDescent="0.2">
      <c r="A131" s="38">
        <v>2</v>
      </c>
      <c r="B131" s="39" t="s">
        <v>43</v>
      </c>
      <c r="C131" s="46" t="s">
        <v>607</v>
      </c>
      <c r="D131" s="46" t="s">
        <v>608</v>
      </c>
      <c r="E131" s="39" t="s">
        <v>609</v>
      </c>
      <c r="F131" s="41" t="s">
        <v>527</v>
      </c>
      <c r="G131" s="43" t="s">
        <v>16</v>
      </c>
      <c r="H131" s="43" t="str">
        <f>+IF(B131&lt;&gt;"",IF(OR(F131="Otro",G131="NO"),"NO","SI"),"")</f>
        <v>SI</v>
      </c>
      <c r="I131" s="422"/>
      <c r="J131" s="422"/>
      <c r="K131" s="422"/>
      <c r="L131" s="423"/>
    </row>
    <row r="132" spans="1:12" s="27" customFormat="1" ht="51" x14ac:dyDescent="0.2">
      <c r="A132" s="38">
        <v>3</v>
      </c>
      <c r="B132" s="39" t="s">
        <v>43</v>
      </c>
      <c r="C132" s="46" t="s">
        <v>610</v>
      </c>
      <c r="D132" s="46" t="s">
        <v>611</v>
      </c>
      <c r="E132" s="39" t="s">
        <v>612</v>
      </c>
      <c r="F132" s="41" t="s">
        <v>565</v>
      </c>
      <c r="G132" s="43" t="s">
        <v>16</v>
      </c>
      <c r="H132" s="43" t="str">
        <f>+IF(B132&lt;&gt;"",IF(OR(F132="Otro",G132="NO"),"NO","SI"),"")</f>
        <v>SI</v>
      </c>
      <c r="I132" s="422"/>
      <c r="J132" s="422"/>
      <c r="K132" s="422"/>
      <c r="L132" s="423"/>
    </row>
    <row r="133" spans="1:12" s="27" customFormat="1" ht="13.5" thickBot="1" x14ac:dyDescent="0.25">
      <c r="A133" s="47">
        <v>4</v>
      </c>
      <c r="B133" s="230"/>
      <c r="C133" s="231"/>
      <c r="D133" s="231"/>
      <c r="E133" s="230"/>
      <c r="F133" s="232"/>
      <c r="G133" s="233"/>
      <c r="H133" s="233" t="str">
        <f>+IF(B133&lt;&gt;"",IF(OR(F133="Otro",G133="NO"),"NO","SI"),"")</f>
        <v/>
      </c>
      <c r="I133" s="426"/>
      <c r="J133" s="426"/>
      <c r="K133" s="426"/>
      <c r="L133" s="427"/>
    </row>
    <row r="134" spans="1:12" ht="27" customHeight="1" x14ac:dyDescent="0.2">
      <c r="A134" s="197" t="str">
        <f>"D"&amp;A126</f>
        <v>D9</v>
      </c>
      <c r="B134" s="428" t="s">
        <v>538</v>
      </c>
      <c r="C134" s="429"/>
      <c r="D134" s="429"/>
      <c r="E134" s="429"/>
      <c r="F134" s="429"/>
      <c r="G134" s="429"/>
      <c r="H134" s="88" t="s">
        <v>16</v>
      </c>
      <c r="I134" s="424"/>
      <c r="J134" s="424"/>
      <c r="K134" s="424"/>
      <c r="L134" s="425"/>
    </row>
    <row r="135" spans="1:12" ht="27" customHeight="1" x14ac:dyDescent="0.2">
      <c r="A135" s="234"/>
      <c r="B135" s="420" t="s">
        <v>539</v>
      </c>
      <c r="C135" s="421"/>
      <c r="D135" s="421"/>
      <c r="E135" s="421"/>
      <c r="F135" s="421"/>
      <c r="G135" s="421"/>
      <c r="H135" s="239" t="s">
        <v>16</v>
      </c>
      <c r="I135" s="422"/>
      <c r="J135" s="422"/>
      <c r="K135" s="422"/>
      <c r="L135" s="423"/>
    </row>
    <row r="136" spans="1:12" ht="42.75" customHeight="1" x14ac:dyDescent="0.2">
      <c r="A136" s="197" t="str">
        <f>"F"&amp;A126</f>
        <v>F9</v>
      </c>
      <c r="B136" s="420" t="s">
        <v>540</v>
      </c>
      <c r="C136" s="421"/>
      <c r="D136" s="421"/>
      <c r="E136" s="421"/>
      <c r="F136" s="421"/>
      <c r="G136" s="421" t="s">
        <v>541</v>
      </c>
      <c r="H136" s="235" t="s">
        <v>211</v>
      </c>
      <c r="I136" s="422"/>
      <c r="J136" s="422"/>
      <c r="K136" s="422"/>
      <c r="L136" s="423"/>
    </row>
    <row r="137" spans="1:12" ht="27" customHeight="1" x14ac:dyDescent="0.2">
      <c r="A137" s="57"/>
      <c r="B137" s="420" t="s">
        <v>542</v>
      </c>
      <c r="C137" s="421"/>
      <c r="D137" s="421"/>
      <c r="E137" s="421"/>
      <c r="F137" s="421"/>
      <c r="G137" s="421" t="s">
        <v>543</v>
      </c>
      <c r="H137" s="236" t="str">
        <f>+IF(H126&lt;&gt;0,IF(L126&gt;=8,"SI","NO"),"")</f>
        <v>SI</v>
      </c>
      <c r="I137" s="422"/>
      <c r="J137" s="422"/>
      <c r="K137" s="422"/>
      <c r="L137" s="423"/>
    </row>
    <row r="138" spans="1:12" ht="27" customHeight="1" thickBot="1" x14ac:dyDescent="0.25">
      <c r="A138" s="57"/>
      <c r="B138" s="349" t="s">
        <v>544</v>
      </c>
      <c r="C138" s="350"/>
      <c r="D138" s="350"/>
      <c r="E138" s="350"/>
      <c r="F138" s="350"/>
      <c r="G138" s="350" t="s">
        <v>543</v>
      </c>
      <c r="H138" s="237" t="str">
        <f>+IF(H126&lt;&gt;0,IF(COUNTIF(H130:H133,"SI")&gt;=3,"SI","NO"),"")</f>
        <v>SI</v>
      </c>
      <c r="I138" s="416"/>
      <c r="J138" s="416"/>
      <c r="K138" s="416"/>
      <c r="L138" s="417"/>
    </row>
    <row r="139" spans="1:12" ht="16.5" customHeight="1" thickBot="1" x14ac:dyDescent="0.25">
      <c r="A139" s="197" t="str">
        <f>"E"&amp;A126</f>
        <v>E9</v>
      </c>
      <c r="D139" s="418" t="str">
        <f>+D124</f>
        <v>EL PROFESIONAL OFRECIDO POR EL PROPONENTE CUMPLE CON LOS REQUISITOS MÍNIMOS ESTABLECIDOS EN EL NUMERAL 4.1.2. (no se evalúa simultaneidad de procesos en esta celda)</v>
      </c>
      <c r="E139" s="419"/>
      <c r="F139" s="419"/>
      <c r="G139" s="419"/>
      <c r="H139" s="238" t="str">
        <f>IF(H126&lt;&gt;0,IF(AND(H135="SI",H137="SI",H138="SI"),"SI","NO"),"")</f>
        <v>SI</v>
      </c>
      <c r="J139" s="20"/>
      <c r="K139" s="20"/>
      <c r="L139" s="20"/>
    </row>
    <row r="140" spans="1:12" ht="12" thickBot="1" x14ac:dyDescent="0.25"/>
    <row r="141" spans="1:12" ht="45" x14ac:dyDescent="0.2">
      <c r="A141" s="442">
        <v>10</v>
      </c>
      <c r="B141" s="444" t="s">
        <v>897</v>
      </c>
      <c r="C141" s="444"/>
      <c r="D141" s="444"/>
      <c r="E141" s="444"/>
      <c r="F141" s="444"/>
      <c r="G141" s="446" t="s">
        <v>515</v>
      </c>
      <c r="H141" s="448" t="s">
        <v>942</v>
      </c>
      <c r="I141" s="225" t="s">
        <v>516</v>
      </c>
      <c r="J141" s="226" t="s">
        <v>517</v>
      </c>
      <c r="K141" s="450" t="s">
        <v>518</v>
      </c>
      <c r="L141" s="452">
        <f>+IF(J142&lt;&gt;0,ROUND(($E$4-J142)/360,0),"")</f>
        <v>21</v>
      </c>
    </row>
    <row r="142" spans="1:12" ht="15" thickBot="1" x14ac:dyDescent="0.25">
      <c r="A142" s="443"/>
      <c r="B142" s="445"/>
      <c r="C142" s="445"/>
      <c r="D142" s="445"/>
      <c r="E142" s="445"/>
      <c r="F142" s="445"/>
      <c r="G142" s="447"/>
      <c r="H142" s="449"/>
      <c r="I142" s="227">
        <v>52186206</v>
      </c>
      <c r="J142" s="228">
        <v>36545</v>
      </c>
      <c r="K142" s="451"/>
      <c r="L142" s="453"/>
    </row>
    <row r="143" spans="1:12" ht="11.25" customHeight="1" x14ac:dyDescent="0.2">
      <c r="A143" s="430" t="s">
        <v>171</v>
      </c>
      <c r="B143" s="431" t="s">
        <v>173</v>
      </c>
      <c r="C143" s="432"/>
      <c r="D143" s="432"/>
      <c r="E143" s="433"/>
      <c r="F143" s="434" t="s">
        <v>519</v>
      </c>
      <c r="G143" s="434" t="s">
        <v>520</v>
      </c>
      <c r="H143" s="434" t="s">
        <v>521</v>
      </c>
      <c r="I143" s="436" t="s">
        <v>522</v>
      </c>
      <c r="J143" s="437"/>
      <c r="K143" s="437"/>
      <c r="L143" s="438"/>
    </row>
    <row r="144" spans="1:12" ht="57.75" customHeight="1" thickBot="1" x14ac:dyDescent="0.25">
      <c r="A144" s="430"/>
      <c r="B144" s="26" t="s">
        <v>188</v>
      </c>
      <c r="C144" s="26" t="s">
        <v>189</v>
      </c>
      <c r="D144" s="26" t="s">
        <v>190</v>
      </c>
      <c r="E144" s="26" t="s">
        <v>191</v>
      </c>
      <c r="F144" s="435"/>
      <c r="G144" s="435"/>
      <c r="H144" s="435"/>
      <c r="I144" s="439"/>
      <c r="J144" s="440"/>
      <c r="K144" s="440"/>
      <c r="L144" s="441"/>
    </row>
    <row r="145" spans="1:12" s="27" customFormat="1" ht="38.25" x14ac:dyDescent="0.2">
      <c r="A145" s="28">
        <v>1</v>
      </c>
      <c r="B145" s="86" t="s">
        <v>613</v>
      </c>
      <c r="C145" s="253" t="s">
        <v>614</v>
      </c>
      <c r="D145" s="87" t="s">
        <v>615</v>
      </c>
      <c r="E145" s="86" t="s">
        <v>616</v>
      </c>
      <c r="F145" s="31" t="s">
        <v>561</v>
      </c>
      <c r="G145" s="33" t="s">
        <v>16</v>
      </c>
      <c r="H145" s="33" t="str">
        <f>+IF(B145&lt;&gt;"",IF(OR(F145="Otro",G145="NO"),"NO","SI"),"")</f>
        <v>SI</v>
      </c>
      <c r="I145" s="424"/>
      <c r="J145" s="424"/>
      <c r="K145" s="424"/>
      <c r="L145" s="425"/>
    </row>
    <row r="146" spans="1:12" s="27" customFormat="1" ht="38.25" x14ac:dyDescent="0.2">
      <c r="A146" s="38">
        <v>2</v>
      </c>
      <c r="B146" s="39" t="s">
        <v>617</v>
      </c>
      <c r="C146" s="46" t="s">
        <v>618</v>
      </c>
      <c r="D146" s="46" t="s">
        <v>619</v>
      </c>
      <c r="E146" s="39" t="s">
        <v>620</v>
      </c>
      <c r="F146" s="41" t="s">
        <v>561</v>
      </c>
      <c r="G146" s="43" t="s">
        <v>16</v>
      </c>
      <c r="H146" s="43" t="str">
        <f>+IF(B146&lt;&gt;"",IF(OR(F146="Otro",G146="NO"),"NO","SI"),"")</f>
        <v>SI</v>
      </c>
      <c r="I146" s="422"/>
      <c r="J146" s="422"/>
      <c r="K146" s="422"/>
      <c r="L146" s="423"/>
    </row>
    <row r="147" spans="1:12" s="27" customFormat="1" ht="51" x14ac:dyDescent="0.2">
      <c r="A147" s="38">
        <v>3</v>
      </c>
      <c r="B147" s="39" t="s">
        <v>621</v>
      </c>
      <c r="C147" s="46" t="s">
        <v>622</v>
      </c>
      <c r="D147" s="46" t="s">
        <v>623</v>
      </c>
      <c r="E147" s="39" t="s">
        <v>624</v>
      </c>
      <c r="F147" s="41" t="s">
        <v>561</v>
      </c>
      <c r="G147" s="43" t="s">
        <v>16</v>
      </c>
      <c r="H147" s="43" t="str">
        <f>+IF(B147&lt;&gt;"",IF(OR(F147="Otro",G147="NO"),"NO","SI"),"")</f>
        <v>SI</v>
      </c>
      <c r="I147" s="422"/>
      <c r="J147" s="422"/>
      <c r="K147" s="422"/>
      <c r="L147" s="423"/>
    </row>
    <row r="148" spans="1:12" s="27" customFormat="1" ht="13.5" thickBot="1" x14ac:dyDescent="0.25">
      <c r="A148" s="47">
        <v>4</v>
      </c>
      <c r="B148" s="230"/>
      <c r="C148" s="231"/>
      <c r="D148" s="231"/>
      <c r="E148" s="230"/>
      <c r="F148" s="232"/>
      <c r="G148" s="233"/>
      <c r="H148" s="233" t="str">
        <f>+IF(B148&lt;&gt;"",IF(OR(F148="Otro",G148="NO"),"NO","SI"),"")</f>
        <v/>
      </c>
      <c r="I148" s="426"/>
      <c r="J148" s="426"/>
      <c r="K148" s="426"/>
      <c r="L148" s="427"/>
    </row>
    <row r="149" spans="1:12" ht="27" customHeight="1" x14ac:dyDescent="0.2">
      <c r="A149" s="197" t="str">
        <f>"D"&amp;A141</f>
        <v>D10</v>
      </c>
      <c r="B149" s="428" t="s">
        <v>538</v>
      </c>
      <c r="C149" s="429"/>
      <c r="D149" s="429"/>
      <c r="E149" s="429"/>
      <c r="F149" s="429"/>
      <c r="G149" s="429"/>
      <c r="H149" s="88" t="s">
        <v>16</v>
      </c>
      <c r="I149" s="424"/>
      <c r="J149" s="424"/>
      <c r="K149" s="424"/>
      <c r="L149" s="425"/>
    </row>
    <row r="150" spans="1:12" ht="27" customHeight="1" x14ac:dyDescent="0.2">
      <c r="A150" s="234"/>
      <c r="B150" s="420" t="s">
        <v>539</v>
      </c>
      <c r="C150" s="421"/>
      <c r="D150" s="421"/>
      <c r="E150" s="421"/>
      <c r="F150" s="421"/>
      <c r="G150" s="421"/>
      <c r="H150" s="239" t="s">
        <v>16</v>
      </c>
      <c r="I150" s="422"/>
      <c r="J150" s="422"/>
      <c r="K150" s="422"/>
      <c r="L150" s="423"/>
    </row>
    <row r="151" spans="1:12" ht="27" customHeight="1" x14ac:dyDescent="0.2">
      <c r="A151" s="197" t="str">
        <f>"F"&amp;A141</f>
        <v>F10</v>
      </c>
      <c r="B151" s="420" t="s">
        <v>540</v>
      </c>
      <c r="C151" s="421"/>
      <c r="D151" s="421"/>
      <c r="E151" s="421"/>
      <c r="F151" s="421"/>
      <c r="G151" s="421" t="s">
        <v>541</v>
      </c>
      <c r="H151" s="235" t="s">
        <v>211</v>
      </c>
      <c r="I151" s="422"/>
      <c r="J151" s="422"/>
      <c r="K151" s="422"/>
      <c r="L151" s="423"/>
    </row>
    <row r="152" spans="1:12" ht="27" customHeight="1" x14ac:dyDescent="0.2">
      <c r="A152" s="57"/>
      <c r="B152" s="420" t="s">
        <v>542</v>
      </c>
      <c r="C152" s="421"/>
      <c r="D152" s="421"/>
      <c r="E152" s="421"/>
      <c r="F152" s="421"/>
      <c r="G152" s="421" t="s">
        <v>543</v>
      </c>
      <c r="H152" s="236" t="str">
        <f>+IF(H141&lt;&gt;0,IF(L141&gt;=8,"SI","NO"),"")</f>
        <v>SI</v>
      </c>
      <c r="I152" s="422"/>
      <c r="J152" s="422"/>
      <c r="K152" s="422"/>
      <c r="L152" s="423"/>
    </row>
    <row r="153" spans="1:12" ht="27" customHeight="1" thickBot="1" x14ac:dyDescent="0.25">
      <c r="A153" s="57"/>
      <c r="B153" s="349" t="s">
        <v>544</v>
      </c>
      <c r="C153" s="350"/>
      <c r="D153" s="350"/>
      <c r="E153" s="350"/>
      <c r="F153" s="350"/>
      <c r="G153" s="350" t="s">
        <v>543</v>
      </c>
      <c r="H153" s="237" t="str">
        <f>+IF(H141&lt;&gt;0,IF(COUNTIF(H145:H148,"SI")&gt;=3,"SI","NO"),"")</f>
        <v>SI</v>
      </c>
      <c r="I153" s="416"/>
      <c r="J153" s="416"/>
      <c r="K153" s="416"/>
      <c r="L153" s="417"/>
    </row>
    <row r="154" spans="1:12" ht="16.5" customHeight="1" thickBot="1" x14ac:dyDescent="0.25">
      <c r="A154" s="197" t="str">
        <f>"E"&amp;A141</f>
        <v>E10</v>
      </c>
      <c r="D154" s="418" t="str">
        <f>+D139</f>
        <v>EL PROFESIONAL OFRECIDO POR EL PROPONENTE CUMPLE CON LOS REQUISITOS MÍNIMOS ESTABLECIDOS EN EL NUMERAL 4.1.2. (no se evalúa simultaneidad de procesos en esta celda)</v>
      </c>
      <c r="E154" s="419"/>
      <c r="F154" s="419"/>
      <c r="G154" s="419"/>
      <c r="H154" s="238" t="str">
        <f>IF(H141&lt;&gt;0,IF(AND(H150="SI",H152="SI",H153="SI"),"SI","NO"),"")</f>
        <v>SI</v>
      </c>
      <c r="J154" s="20"/>
      <c r="K154" s="20"/>
      <c r="L154" s="20"/>
    </row>
    <row r="155" spans="1:12" ht="12" thickBot="1" x14ac:dyDescent="0.25"/>
    <row r="156" spans="1:12" ht="45" x14ac:dyDescent="0.2">
      <c r="A156" s="442">
        <v>11</v>
      </c>
      <c r="B156" s="444" t="s">
        <v>61</v>
      </c>
      <c r="C156" s="444"/>
      <c r="D156" s="444"/>
      <c r="E156" s="444"/>
      <c r="F156" s="444"/>
      <c r="G156" s="446" t="s">
        <v>515</v>
      </c>
      <c r="H156" s="448" t="s">
        <v>943</v>
      </c>
      <c r="I156" s="225" t="s">
        <v>516</v>
      </c>
      <c r="J156" s="226" t="s">
        <v>517</v>
      </c>
      <c r="K156" s="450" t="s">
        <v>518</v>
      </c>
      <c r="L156" s="452">
        <f>+IF(J157&lt;&gt;0,ROUND(($E$4-J157)/360,0),"")</f>
        <v>29</v>
      </c>
    </row>
    <row r="157" spans="1:12" ht="15" thickBot="1" x14ac:dyDescent="0.25">
      <c r="A157" s="443"/>
      <c r="B157" s="445"/>
      <c r="C157" s="445"/>
      <c r="D157" s="445"/>
      <c r="E157" s="445"/>
      <c r="F157" s="445"/>
      <c r="G157" s="447"/>
      <c r="H157" s="449"/>
      <c r="I157" s="227">
        <v>79366850</v>
      </c>
      <c r="J157" s="228">
        <v>33406</v>
      </c>
      <c r="K157" s="451"/>
      <c r="L157" s="453"/>
    </row>
    <row r="158" spans="1:12" ht="11.25" customHeight="1" x14ac:dyDescent="0.2">
      <c r="A158" s="430" t="s">
        <v>171</v>
      </c>
      <c r="B158" s="431" t="s">
        <v>173</v>
      </c>
      <c r="C158" s="432"/>
      <c r="D158" s="432"/>
      <c r="E158" s="433"/>
      <c r="F158" s="434" t="s">
        <v>519</v>
      </c>
      <c r="G158" s="434" t="s">
        <v>520</v>
      </c>
      <c r="H158" s="434" t="s">
        <v>521</v>
      </c>
      <c r="I158" s="436" t="s">
        <v>522</v>
      </c>
      <c r="J158" s="437"/>
      <c r="K158" s="437"/>
      <c r="L158" s="438"/>
    </row>
    <row r="159" spans="1:12" ht="57.75" customHeight="1" thickBot="1" x14ac:dyDescent="0.25">
      <c r="A159" s="430"/>
      <c r="B159" s="26" t="s">
        <v>188</v>
      </c>
      <c r="C159" s="26" t="s">
        <v>189</v>
      </c>
      <c r="D159" s="26" t="s">
        <v>190</v>
      </c>
      <c r="E159" s="26" t="s">
        <v>191</v>
      </c>
      <c r="F159" s="435"/>
      <c r="G159" s="435"/>
      <c r="H159" s="435"/>
      <c r="I159" s="439"/>
      <c r="J159" s="440"/>
      <c r="K159" s="440"/>
      <c r="L159" s="441"/>
    </row>
    <row r="160" spans="1:12" s="27" customFormat="1" ht="102" x14ac:dyDescent="0.2">
      <c r="A160" s="28">
        <v>1</v>
      </c>
      <c r="B160" s="86" t="s">
        <v>625</v>
      </c>
      <c r="C160" s="87" t="s">
        <v>626</v>
      </c>
      <c r="D160" s="87" t="s">
        <v>627</v>
      </c>
      <c r="E160" s="86" t="s">
        <v>628</v>
      </c>
      <c r="F160" s="31" t="s">
        <v>527</v>
      </c>
      <c r="G160" s="33" t="s">
        <v>16</v>
      </c>
      <c r="H160" s="33" t="str">
        <f>+IF(B160&lt;&gt;"",IF(OR(F160="Otro",G160="NO"),"NO","SI"),"")</f>
        <v>SI</v>
      </c>
      <c r="I160" s="424"/>
      <c r="J160" s="424"/>
      <c r="K160" s="424"/>
      <c r="L160" s="425"/>
    </row>
    <row r="161" spans="1:12" s="27" customFormat="1" ht="51" x14ac:dyDescent="0.2">
      <c r="A161" s="38">
        <v>2</v>
      </c>
      <c r="B161" s="39" t="s">
        <v>629</v>
      </c>
      <c r="C161" s="46" t="s">
        <v>630</v>
      </c>
      <c r="D161" s="46" t="s">
        <v>631</v>
      </c>
      <c r="E161" s="39" t="s">
        <v>632</v>
      </c>
      <c r="F161" s="41" t="s">
        <v>527</v>
      </c>
      <c r="G161" s="43" t="s">
        <v>16</v>
      </c>
      <c r="H161" s="43" t="str">
        <f>+IF(B161&lt;&gt;"",IF(OR(F161="Otro",G161="NO"),"NO","SI"),"")</f>
        <v>SI</v>
      </c>
      <c r="I161" s="422"/>
      <c r="J161" s="422"/>
      <c r="K161" s="422"/>
      <c r="L161" s="423"/>
    </row>
    <row r="162" spans="1:12" s="27" customFormat="1" ht="63.75" x14ac:dyDescent="0.2">
      <c r="A162" s="38">
        <v>3</v>
      </c>
      <c r="B162" s="39" t="s">
        <v>629</v>
      </c>
      <c r="C162" s="46" t="s">
        <v>633</v>
      </c>
      <c r="D162" s="46" t="s">
        <v>634</v>
      </c>
      <c r="E162" s="39" t="s">
        <v>635</v>
      </c>
      <c r="F162" s="41" t="s">
        <v>527</v>
      </c>
      <c r="G162" s="43" t="s">
        <v>16</v>
      </c>
      <c r="H162" s="43" t="str">
        <f>+IF(B162&lt;&gt;"",IF(OR(F162="Otro",G162="NO"),"NO","SI"),"")</f>
        <v>SI</v>
      </c>
      <c r="I162" s="422"/>
      <c r="J162" s="422"/>
      <c r="K162" s="422"/>
      <c r="L162" s="423"/>
    </row>
    <row r="163" spans="1:12" s="27" customFormat="1" ht="13.5" thickBot="1" x14ac:dyDescent="0.25">
      <c r="A163" s="47">
        <v>4</v>
      </c>
      <c r="B163" s="48"/>
      <c r="C163" s="49"/>
      <c r="D163" s="49"/>
      <c r="E163" s="48"/>
      <c r="F163" s="51"/>
      <c r="G163" s="52"/>
      <c r="H163" s="52" t="str">
        <f>+IF(B163&lt;&gt;"",IF(OR(F163="Otro",G163="NO"),"NO","SI"),"")</f>
        <v/>
      </c>
      <c r="I163" s="416"/>
      <c r="J163" s="416"/>
      <c r="K163" s="416"/>
      <c r="L163" s="417"/>
    </row>
    <row r="164" spans="1:12" ht="32.25" customHeight="1" x14ac:dyDescent="0.2">
      <c r="A164" s="197" t="str">
        <f>"D"&amp;A156</f>
        <v>D11</v>
      </c>
      <c r="B164" s="428" t="s">
        <v>538</v>
      </c>
      <c r="C164" s="429"/>
      <c r="D164" s="429"/>
      <c r="E164" s="429"/>
      <c r="F164" s="429"/>
      <c r="G164" s="429"/>
      <c r="H164" s="240" t="s">
        <v>16</v>
      </c>
      <c r="I164" s="456"/>
      <c r="J164" s="456"/>
      <c r="K164" s="456"/>
      <c r="L164" s="457"/>
    </row>
    <row r="165" spans="1:12" ht="27" customHeight="1" x14ac:dyDescent="0.2">
      <c r="A165" s="234"/>
      <c r="B165" s="420" t="s">
        <v>539</v>
      </c>
      <c r="C165" s="421"/>
      <c r="D165" s="421"/>
      <c r="E165" s="421"/>
      <c r="F165" s="421"/>
      <c r="G165" s="421"/>
      <c r="H165" s="239" t="s">
        <v>16</v>
      </c>
      <c r="I165" s="422"/>
      <c r="J165" s="422"/>
      <c r="K165" s="422"/>
      <c r="L165" s="423"/>
    </row>
    <row r="166" spans="1:12" ht="45.75" customHeight="1" x14ac:dyDescent="0.2">
      <c r="A166" s="197" t="str">
        <f>"F"&amp;A156</f>
        <v>F11</v>
      </c>
      <c r="B166" s="420" t="s">
        <v>540</v>
      </c>
      <c r="C166" s="421"/>
      <c r="D166" s="421"/>
      <c r="E166" s="421"/>
      <c r="F166" s="421"/>
      <c r="G166" s="421" t="s">
        <v>541</v>
      </c>
      <c r="H166" s="235" t="s">
        <v>211</v>
      </c>
      <c r="I166" s="422"/>
      <c r="J166" s="422"/>
      <c r="K166" s="422"/>
      <c r="L166" s="423"/>
    </row>
    <row r="167" spans="1:12" ht="27" customHeight="1" x14ac:dyDescent="0.2">
      <c r="A167" s="57"/>
      <c r="B167" s="420" t="s">
        <v>542</v>
      </c>
      <c r="C167" s="421"/>
      <c r="D167" s="421"/>
      <c r="E167" s="421"/>
      <c r="F167" s="421"/>
      <c r="G167" s="421" t="s">
        <v>543</v>
      </c>
      <c r="H167" s="236" t="str">
        <f>+IF(H156&lt;&gt;0,IF(L156&gt;=8,"SI","NO"),"")</f>
        <v>SI</v>
      </c>
      <c r="I167" s="422"/>
      <c r="J167" s="422"/>
      <c r="K167" s="422"/>
      <c r="L167" s="423"/>
    </row>
    <row r="168" spans="1:12" ht="27" customHeight="1" thickBot="1" x14ac:dyDescent="0.25">
      <c r="A168" s="57"/>
      <c r="B168" s="349" t="s">
        <v>544</v>
      </c>
      <c r="C168" s="350"/>
      <c r="D168" s="350"/>
      <c r="E168" s="350"/>
      <c r="F168" s="350"/>
      <c r="G168" s="350" t="s">
        <v>543</v>
      </c>
      <c r="H168" s="237" t="str">
        <f>+IF(H156&lt;&gt;0,IF(COUNTIF(H160:H163,"SI")&gt;=3,"SI","NO"),"")</f>
        <v>SI</v>
      </c>
      <c r="I168" s="416"/>
      <c r="J168" s="416"/>
      <c r="K168" s="416"/>
      <c r="L168" s="417"/>
    </row>
    <row r="169" spans="1:12" ht="16.5" customHeight="1" thickBot="1" x14ac:dyDescent="0.25">
      <c r="A169" s="197" t="str">
        <f>"E"&amp;A156</f>
        <v>E11</v>
      </c>
      <c r="D169" s="418" t="str">
        <f>+D154</f>
        <v>EL PROFESIONAL OFRECIDO POR EL PROPONENTE CUMPLE CON LOS REQUISITOS MÍNIMOS ESTABLECIDOS EN EL NUMERAL 4.1.2. (no se evalúa simultaneidad de procesos en esta celda)</v>
      </c>
      <c r="E169" s="419"/>
      <c r="F169" s="419"/>
      <c r="G169" s="419"/>
      <c r="H169" s="238" t="str">
        <f>IF(H156&lt;&gt;0,IF(AND(H165="SI",H167="SI",H168="SI"),"SI","NO"),"")</f>
        <v>SI</v>
      </c>
      <c r="J169" s="20"/>
      <c r="K169" s="20"/>
      <c r="L169" s="20"/>
    </row>
    <row r="170" spans="1:12" ht="12" thickBot="1" x14ac:dyDescent="0.25"/>
    <row r="171" spans="1:12" ht="45" x14ac:dyDescent="0.2">
      <c r="A171" s="442">
        <v>12</v>
      </c>
      <c r="B171" s="444" t="s">
        <v>65</v>
      </c>
      <c r="C171" s="444"/>
      <c r="D171" s="444"/>
      <c r="E171" s="444"/>
      <c r="F171" s="444"/>
      <c r="G171" s="446" t="s">
        <v>515</v>
      </c>
      <c r="H171" s="448" t="s">
        <v>944</v>
      </c>
      <c r="I171" s="225" t="s">
        <v>516</v>
      </c>
      <c r="J171" s="226" t="s">
        <v>517</v>
      </c>
      <c r="K171" s="450" t="s">
        <v>518</v>
      </c>
      <c r="L171" s="452">
        <f>+IF(J172&lt;&gt;0,ROUND(($E$4-J172)/360,0),"")</f>
        <v>26</v>
      </c>
    </row>
    <row r="172" spans="1:12" ht="15" thickBot="1" x14ac:dyDescent="0.25">
      <c r="A172" s="443"/>
      <c r="B172" s="445"/>
      <c r="C172" s="445"/>
      <c r="D172" s="445"/>
      <c r="E172" s="445"/>
      <c r="F172" s="445"/>
      <c r="G172" s="447"/>
      <c r="H172" s="449"/>
      <c r="I172" s="227">
        <v>12989797</v>
      </c>
      <c r="J172" s="228">
        <v>34669</v>
      </c>
      <c r="K172" s="451"/>
      <c r="L172" s="453"/>
    </row>
    <row r="173" spans="1:12" ht="11.25" customHeight="1" x14ac:dyDescent="0.2">
      <c r="A173" s="430" t="s">
        <v>171</v>
      </c>
      <c r="B173" s="431" t="s">
        <v>173</v>
      </c>
      <c r="C173" s="432"/>
      <c r="D173" s="432"/>
      <c r="E173" s="433"/>
      <c r="F173" s="434" t="s">
        <v>519</v>
      </c>
      <c r="G173" s="434" t="s">
        <v>520</v>
      </c>
      <c r="H173" s="434" t="s">
        <v>521</v>
      </c>
      <c r="I173" s="436" t="s">
        <v>522</v>
      </c>
      <c r="J173" s="437"/>
      <c r="K173" s="437"/>
      <c r="L173" s="438"/>
    </row>
    <row r="174" spans="1:12" ht="57.75" customHeight="1" thickBot="1" x14ac:dyDescent="0.25">
      <c r="A174" s="430"/>
      <c r="B174" s="26" t="s">
        <v>188</v>
      </c>
      <c r="C174" s="26" t="s">
        <v>189</v>
      </c>
      <c r="D174" s="26" t="s">
        <v>190</v>
      </c>
      <c r="E174" s="26" t="s">
        <v>191</v>
      </c>
      <c r="F174" s="435"/>
      <c r="G174" s="435"/>
      <c r="H174" s="435"/>
      <c r="I174" s="439"/>
      <c r="J174" s="440"/>
      <c r="K174" s="440"/>
      <c r="L174" s="441"/>
    </row>
    <row r="175" spans="1:12" s="27" customFormat="1" ht="51" x14ac:dyDescent="0.2">
      <c r="A175" s="28">
        <v>1</v>
      </c>
      <c r="B175" s="86" t="s">
        <v>636</v>
      </c>
      <c r="C175" s="87" t="s">
        <v>637</v>
      </c>
      <c r="D175" s="87" t="s">
        <v>638</v>
      </c>
      <c r="E175" s="86" t="s">
        <v>639</v>
      </c>
      <c r="F175" s="31" t="s">
        <v>561</v>
      </c>
      <c r="G175" s="33" t="s">
        <v>16</v>
      </c>
      <c r="H175" s="33" t="str">
        <f>+IF(B175&lt;&gt;"",IF(OR(F175="Otro",G175="NO"),"NO","SI"),"")</f>
        <v>SI</v>
      </c>
      <c r="I175" s="458"/>
      <c r="J175" s="458"/>
      <c r="K175" s="458"/>
      <c r="L175" s="459"/>
    </row>
    <row r="176" spans="1:12" s="27" customFormat="1" ht="63.75" x14ac:dyDescent="0.2">
      <c r="A176" s="38">
        <v>2</v>
      </c>
      <c r="B176" s="39" t="s">
        <v>43</v>
      </c>
      <c r="C176" s="46" t="s">
        <v>300</v>
      </c>
      <c r="D176" s="46" t="s">
        <v>640</v>
      </c>
      <c r="E176" s="39" t="s">
        <v>641</v>
      </c>
      <c r="F176" s="41" t="s">
        <v>561</v>
      </c>
      <c r="G176" s="43" t="s">
        <v>16</v>
      </c>
      <c r="H176" s="254" t="str">
        <f>+IF(B176&lt;&gt;"",IF(OR(F176="Otro",G176="NO"),"NO","SI"),"")</f>
        <v>SI</v>
      </c>
      <c r="I176" s="460"/>
      <c r="J176" s="460"/>
      <c r="K176" s="460"/>
      <c r="L176" s="461"/>
    </row>
    <row r="177" spans="1:12" s="27" customFormat="1" ht="89.25" x14ac:dyDescent="0.2">
      <c r="A177" s="38">
        <v>3</v>
      </c>
      <c r="B177" s="39" t="s">
        <v>43</v>
      </c>
      <c r="C177" s="46" t="s">
        <v>642</v>
      </c>
      <c r="D177" s="46" t="s">
        <v>643</v>
      </c>
      <c r="E177" s="39" t="s">
        <v>644</v>
      </c>
      <c r="F177" s="41" t="s">
        <v>561</v>
      </c>
      <c r="G177" s="43" t="s">
        <v>16</v>
      </c>
      <c r="H177" s="43" t="str">
        <f>+IF(B177&lt;&gt;"",IF(OR(F177="Otro",G177="NO"),"NO","SI"),"")</f>
        <v>SI</v>
      </c>
      <c r="I177" s="460"/>
      <c r="J177" s="460"/>
      <c r="K177" s="460"/>
      <c r="L177" s="461"/>
    </row>
    <row r="178" spans="1:12" s="27" customFormat="1" ht="13.5" thickBot="1" x14ac:dyDescent="0.25">
      <c r="A178" s="47">
        <v>4</v>
      </c>
      <c r="B178" s="48"/>
      <c r="C178" s="49"/>
      <c r="D178" s="49"/>
      <c r="E178" s="48"/>
      <c r="F178" s="51"/>
      <c r="G178" s="52"/>
      <c r="H178" s="52" t="str">
        <f>+IF(B178&lt;&gt;"",IF(OR(F178="Otro",G178="NO"),"NO","SI"),"")</f>
        <v/>
      </c>
      <c r="I178" s="416"/>
      <c r="J178" s="416"/>
      <c r="K178" s="416"/>
      <c r="L178" s="417"/>
    </row>
    <row r="179" spans="1:12" ht="27" customHeight="1" x14ac:dyDescent="0.2">
      <c r="A179" s="197" t="str">
        <f>"D"&amp;A171</f>
        <v>D12</v>
      </c>
      <c r="B179" s="428" t="s">
        <v>538</v>
      </c>
      <c r="C179" s="429"/>
      <c r="D179" s="429"/>
      <c r="E179" s="429"/>
      <c r="F179" s="429"/>
      <c r="G179" s="429"/>
      <c r="H179" s="240" t="s">
        <v>16</v>
      </c>
      <c r="I179" s="456"/>
      <c r="J179" s="456"/>
      <c r="K179" s="456"/>
      <c r="L179" s="457"/>
    </row>
    <row r="180" spans="1:12" ht="27" customHeight="1" x14ac:dyDescent="0.2">
      <c r="A180" s="234"/>
      <c r="B180" s="420" t="s">
        <v>539</v>
      </c>
      <c r="C180" s="421"/>
      <c r="D180" s="421"/>
      <c r="E180" s="421"/>
      <c r="F180" s="421"/>
      <c r="G180" s="421"/>
      <c r="H180" s="239" t="s">
        <v>16</v>
      </c>
      <c r="I180" s="422"/>
      <c r="J180" s="422"/>
      <c r="K180" s="422"/>
      <c r="L180" s="423"/>
    </row>
    <row r="181" spans="1:12" ht="27" customHeight="1" x14ac:dyDescent="0.2">
      <c r="A181" s="197" t="str">
        <f>"F"&amp;A171</f>
        <v>F12</v>
      </c>
      <c r="B181" s="420" t="s">
        <v>540</v>
      </c>
      <c r="C181" s="421"/>
      <c r="D181" s="421"/>
      <c r="E181" s="421"/>
      <c r="F181" s="421"/>
      <c r="G181" s="421" t="s">
        <v>541</v>
      </c>
      <c r="H181" s="235" t="s">
        <v>211</v>
      </c>
      <c r="I181" s="422"/>
      <c r="J181" s="422"/>
      <c r="K181" s="422"/>
      <c r="L181" s="423"/>
    </row>
    <row r="182" spans="1:12" ht="27" customHeight="1" x14ac:dyDescent="0.2">
      <c r="A182" s="57"/>
      <c r="B182" s="420" t="s">
        <v>542</v>
      </c>
      <c r="C182" s="421"/>
      <c r="D182" s="421"/>
      <c r="E182" s="421"/>
      <c r="F182" s="421"/>
      <c r="G182" s="421" t="s">
        <v>543</v>
      </c>
      <c r="H182" s="236" t="str">
        <f>+IF(H171&lt;&gt;0,IF(L171&gt;=8,"SI","NO"),"")</f>
        <v>SI</v>
      </c>
      <c r="I182" s="422"/>
      <c r="J182" s="422"/>
      <c r="K182" s="422"/>
      <c r="L182" s="423"/>
    </row>
    <row r="183" spans="1:12" ht="27" customHeight="1" thickBot="1" x14ac:dyDescent="0.25">
      <c r="A183" s="57"/>
      <c r="B183" s="349" t="s">
        <v>544</v>
      </c>
      <c r="C183" s="350"/>
      <c r="D183" s="350"/>
      <c r="E183" s="350"/>
      <c r="F183" s="350"/>
      <c r="G183" s="350" t="s">
        <v>543</v>
      </c>
      <c r="H183" s="237" t="str">
        <f>+IF(H171&lt;&gt;0,IF(COUNTIF(H175:H178,"SI")&gt;=3,"SI","NO"),"")</f>
        <v>SI</v>
      </c>
      <c r="I183" s="416"/>
      <c r="J183" s="416"/>
      <c r="K183" s="416"/>
      <c r="L183" s="417"/>
    </row>
    <row r="184" spans="1:12" ht="16.5" customHeight="1" thickBot="1" x14ac:dyDescent="0.25">
      <c r="A184" s="197" t="str">
        <f>"E"&amp;A171</f>
        <v>E12</v>
      </c>
      <c r="D184" s="418" t="str">
        <f>+D169</f>
        <v>EL PROFESIONAL OFRECIDO POR EL PROPONENTE CUMPLE CON LOS REQUISITOS MÍNIMOS ESTABLECIDOS EN EL NUMERAL 4.1.2. (no se evalúa simultaneidad de procesos en esta celda)</v>
      </c>
      <c r="E184" s="419"/>
      <c r="F184" s="419"/>
      <c r="G184" s="419"/>
      <c r="H184" s="238" t="str">
        <f>IF(H171&lt;&gt;0,IF(AND(H180="SI",H182="SI",H183="SI"),"SI","NO"),"")</f>
        <v>SI</v>
      </c>
      <c r="J184" s="20"/>
      <c r="K184" s="20"/>
      <c r="L184" s="20"/>
    </row>
    <row r="185" spans="1:12" ht="12" thickBot="1" x14ac:dyDescent="0.25"/>
    <row r="186" spans="1:12" ht="45" x14ac:dyDescent="0.2">
      <c r="A186" s="442">
        <v>13</v>
      </c>
      <c r="B186" s="444" t="s">
        <v>899</v>
      </c>
      <c r="C186" s="444"/>
      <c r="D186" s="444"/>
      <c r="E186" s="444"/>
      <c r="F186" s="444"/>
      <c r="G186" s="446" t="s">
        <v>515</v>
      </c>
      <c r="H186" s="448" t="s">
        <v>945</v>
      </c>
      <c r="I186" s="225" t="s">
        <v>516</v>
      </c>
      <c r="J186" s="226" t="s">
        <v>517</v>
      </c>
      <c r="K186" s="450" t="s">
        <v>518</v>
      </c>
      <c r="L186" s="452">
        <f>+IF(J187&lt;&gt;0,ROUND(($E$4-J187)/360,0),"")</f>
        <v>17</v>
      </c>
    </row>
    <row r="187" spans="1:12" ht="15" thickBot="1" x14ac:dyDescent="0.25">
      <c r="A187" s="443"/>
      <c r="B187" s="445"/>
      <c r="C187" s="445"/>
      <c r="D187" s="445"/>
      <c r="E187" s="445"/>
      <c r="F187" s="445"/>
      <c r="G187" s="447"/>
      <c r="H187" s="449"/>
      <c r="I187" s="227">
        <v>76320960</v>
      </c>
      <c r="J187" s="228">
        <v>38008</v>
      </c>
      <c r="K187" s="451"/>
      <c r="L187" s="453"/>
    </row>
    <row r="188" spans="1:12" ht="11.25" customHeight="1" x14ac:dyDescent="0.2">
      <c r="A188" s="430" t="s">
        <v>171</v>
      </c>
      <c r="B188" s="431" t="s">
        <v>173</v>
      </c>
      <c r="C188" s="432"/>
      <c r="D188" s="432"/>
      <c r="E188" s="433"/>
      <c r="F188" s="434" t="s">
        <v>519</v>
      </c>
      <c r="G188" s="434" t="s">
        <v>520</v>
      </c>
      <c r="H188" s="434" t="s">
        <v>521</v>
      </c>
      <c r="I188" s="436" t="s">
        <v>522</v>
      </c>
      <c r="J188" s="437"/>
      <c r="K188" s="437"/>
      <c r="L188" s="438"/>
    </row>
    <row r="189" spans="1:12" ht="57.75" customHeight="1" thickBot="1" x14ac:dyDescent="0.25">
      <c r="A189" s="430"/>
      <c r="B189" s="26" t="s">
        <v>188</v>
      </c>
      <c r="C189" s="26" t="s">
        <v>189</v>
      </c>
      <c r="D189" s="26" t="s">
        <v>190</v>
      </c>
      <c r="E189" s="26" t="s">
        <v>191</v>
      </c>
      <c r="F189" s="435"/>
      <c r="G189" s="435"/>
      <c r="H189" s="435"/>
      <c r="I189" s="439"/>
      <c r="J189" s="440"/>
      <c r="K189" s="440"/>
      <c r="L189" s="441"/>
    </row>
    <row r="190" spans="1:12" s="27" customFormat="1" ht="102" x14ac:dyDescent="0.2">
      <c r="A190" s="28">
        <v>1</v>
      </c>
      <c r="B190" s="86" t="s">
        <v>645</v>
      </c>
      <c r="C190" s="87" t="s">
        <v>646</v>
      </c>
      <c r="D190" s="87" t="s">
        <v>647</v>
      </c>
      <c r="E190" s="86" t="s">
        <v>648</v>
      </c>
      <c r="F190" s="31" t="s">
        <v>527</v>
      </c>
      <c r="G190" s="33" t="s">
        <v>16</v>
      </c>
      <c r="H190" s="33" t="str">
        <f>+IF(B190&lt;&gt;"",IF(OR(F190="Otro",G190="NO"),"NO","SI"),"")</f>
        <v>SI</v>
      </c>
      <c r="I190" s="424"/>
      <c r="J190" s="424"/>
      <c r="K190" s="424"/>
      <c r="L190" s="425"/>
    </row>
    <row r="191" spans="1:12" s="27" customFormat="1" ht="63.75" x14ac:dyDescent="0.2">
      <c r="A191" s="38">
        <v>2</v>
      </c>
      <c r="B191" s="39" t="s">
        <v>649</v>
      </c>
      <c r="C191" s="46" t="s">
        <v>650</v>
      </c>
      <c r="D191" s="46" t="s">
        <v>651</v>
      </c>
      <c r="E191" s="39" t="s">
        <v>652</v>
      </c>
      <c r="F191" s="41" t="s">
        <v>527</v>
      </c>
      <c r="G191" s="43" t="s">
        <v>211</v>
      </c>
      <c r="H191" s="43" t="str">
        <f>+IF(B191&lt;&gt;"",IF(OR(F191="Otro",G191="NO"),"NO","SI"),"")</f>
        <v>NO</v>
      </c>
      <c r="I191" s="475" t="s">
        <v>653</v>
      </c>
      <c r="J191" s="475"/>
      <c r="K191" s="475"/>
      <c r="L191" s="476"/>
    </row>
    <row r="192" spans="1:12" s="27" customFormat="1" ht="63.75" x14ac:dyDescent="0.2">
      <c r="A192" s="38">
        <v>3</v>
      </c>
      <c r="B192" s="39" t="s">
        <v>649</v>
      </c>
      <c r="C192" s="46" t="s">
        <v>654</v>
      </c>
      <c r="D192" s="46" t="s">
        <v>655</v>
      </c>
      <c r="E192" s="39" t="s">
        <v>652</v>
      </c>
      <c r="F192" s="41" t="s">
        <v>527</v>
      </c>
      <c r="G192" s="43" t="s">
        <v>16</v>
      </c>
      <c r="H192" s="43" t="str">
        <f>+IF(B192&lt;&gt;"",IF(OR(F192="Otro",G192="NO"),"NO","SI"),"")</f>
        <v>SI</v>
      </c>
      <c r="I192" s="422"/>
      <c r="J192" s="422"/>
      <c r="K192" s="422"/>
      <c r="L192" s="423"/>
    </row>
    <row r="193" spans="1:12" s="27" customFormat="1" ht="13.5" thickBot="1" x14ac:dyDescent="0.25">
      <c r="A193" s="47">
        <v>4</v>
      </c>
      <c r="B193" s="230"/>
      <c r="C193" s="231"/>
      <c r="D193" s="231"/>
      <c r="E193" s="230"/>
      <c r="F193" s="232"/>
      <c r="G193" s="233"/>
      <c r="H193" s="233" t="str">
        <f>+IF(B193&lt;&gt;"",IF(OR(F193="Otro",G193="NO"),"NO","SI"),"")</f>
        <v/>
      </c>
      <c r="I193" s="426"/>
      <c r="J193" s="426"/>
      <c r="K193" s="426"/>
      <c r="L193" s="427"/>
    </row>
    <row r="194" spans="1:12" ht="27" customHeight="1" x14ac:dyDescent="0.2">
      <c r="A194" s="197" t="str">
        <f>"D"&amp;A186</f>
        <v>D13</v>
      </c>
      <c r="B194" s="428" t="s">
        <v>538</v>
      </c>
      <c r="C194" s="429"/>
      <c r="D194" s="429"/>
      <c r="E194" s="429"/>
      <c r="F194" s="429"/>
      <c r="G194" s="429"/>
      <c r="H194" s="88" t="s">
        <v>16</v>
      </c>
      <c r="I194" s="424"/>
      <c r="J194" s="424"/>
      <c r="K194" s="424"/>
      <c r="L194" s="425"/>
    </row>
    <row r="195" spans="1:12" ht="27" customHeight="1" x14ac:dyDescent="0.2">
      <c r="A195" s="234"/>
      <c r="B195" s="420" t="s">
        <v>539</v>
      </c>
      <c r="C195" s="421"/>
      <c r="D195" s="421"/>
      <c r="E195" s="421"/>
      <c r="F195" s="421"/>
      <c r="G195" s="421"/>
      <c r="H195" s="239" t="s">
        <v>16</v>
      </c>
      <c r="I195" s="422"/>
      <c r="J195" s="422"/>
      <c r="K195" s="422"/>
      <c r="L195" s="423"/>
    </row>
    <row r="196" spans="1:12" ht="27" customHeight="1" x14ac:dyDescent="0.2">
      <c r="A196" s="197" t="str">
        <f>"F"&amp;A186</f>
        <v>F13</v>
      </c>
      <c r="B196" s="420" t="s">
        <v>540</v>
      </c>
      <c r="C196" s="421"/>
      <c r="D196" s="421"/>
      <c r="E196" s="421"/>
      <c r="F196" s="421"/>
      <c r="G196" s="421" t="s">
        <v>541</v>
      </c>
      <c r="H196" s="235" t="s">
        <v>211</v>
      </c>
      <c r="I196" s="422"/>
      <c r="J196" s="422"/>
      <c r="K196" s="422"/>
      <c r="L196" s="423"/>
    </row>
    <row r="197" spans="1:12" ht="27" customHeight="1" x14ac:dyDescent="0.2">
      <c r="A197" s="57"/>
      <c r="B197" s="420" t="s">
        <v>542</v>
      </c>
      <c r="C197" s="421"/>
      <c r="D197" s="421"/>
      <c r="E197" s="421"/>
      <c r="F197" s="421"/>
      <c r="G197" s="421" t="s">
        <v>543</v>
      </c>
      <c r="H197" s="236" t="str">
        <f>+IF(H186&lt;&gt;0,IF(L186&gt;=8,"SI","NO"),"")</f>
        <v>SI</v>
      </c>
      <c r="I197" s="422"/>
      <c r="J197" s="422"/>
      <c r="K197" s="422"/>
      <c r="L197" s="423"/>
    </row>
    <row r="198" spans="1:12" ht="27" customHeight="1" thickBot="1" x14ac:dyDescent="0.25">
      <c r="A198" s="57"/>
      <c r="B198" s="349" t="s">
        <v>544</v>
      </c>
      <c r="C198" s="350"/>
      <c r="D198" s="350"/>
      <c r="E198" s="350"/>
      <c r="F198" s="350"/>
      <c r="G198" s="350" t="s">
        <v>543</v>
      </c>
      <c r="H198" s="237" t="str">
        <f>+IF(H186&lt;&gt;0,IF(COUNTIF(H190:H193,"SI")&gt;=3,"SI","NO"),"")</f>
        <v>NO</v>
      </c>
      <c r="I198" s="416"/>
      <c r="J198" s="416"/>
      <c r="K198" s="416"/>
      <c r="L198" s="417"/>
    </row>
    <row r="199" spans="1:12" ht="16.5" customHeight="1" thickBot="1" x14ac:dyDescent="0.25">
      <c r="A199" s="197" t="str">
        <f>"E"&amp;A186</f>
        <v>E13</v>
      </c>
      <c r="D199" s="418" t="str">
        <f>+D184</f>
        <v>EL PROFESIONAL OFRECIDO POR EL PROPONENTE CUMPLE CON LOS REQUISITOS MÍNIMOS ESTABLECIDOS EN EL NUMERAL 4.1.2. (no se evalúa simultaneidad de procesos en esta celda)</v>
      </c>
      <c r="E199" s="419"/>
      <c r="F199" s="419"/>
      <c r="G199" s="419"/>
      <c r="H199" s="238" t="str">
        <f>IF(H186&lt;&gt;0,IF(AND(H195="SI",H197="SI",H198="SI"),"SI","NO"),"")</f>
        <v>NO</v>
      </c>
      <c r="J199" s="20"/>
      <c r="K199" s="20"/>
      <c r="L199" s="20"/>
    </row>
    <row r="200" spans="1:12" ht="12" thickBot="1" x14ac:dyDescent="0.25"/>
    <row r="201" spans="1:12" ht="45" x14ac:dyDescent="0.2">
      <c r="A201" s="442">
        <v>14</v>
      </c>
      <c r="B201" s="444" t="s">
        <v>901</v>
      </c>
      <c r="C201" s="444"/>
      <c r="D201" s="444"/>
      <c r="E201" s="444"/>
      <c r="F201" s="444"/>
      <c r="G201" s="446" t="s">
        <v>515</v>
      </c>
      <c r="H201" s="448" t="s">
        <v>946</v>
      </c>
      <c r="I201" s="225" t="s">
        <v>516</v>
      </c>
      <c r="J201" s="226" t="s">
        <v>517</v>
      </c>
      <c r="K201" s="450" t="s">
        <v>518</v>
      </c>
      <c r="L201" s="452">
        <f>+IF(J202&lt;&gt;0,ROUND(($E$4-J202)/360,0),"")</f>
        <v>33</v>
      </c>
    </row>
    <row r="202" spans="1:12" ht="15" thickBot="1" x14ac:dyDescent="0.25">
      <c r="A202" s="443"/>
      <c r="B202" s="445"/>
      <c r="C202" s="445"/>
      <c r="D202" s="445"/>
      <c r="E202" s="445"/>
      <c r="F202" s="445"/>
      <c r="G202" s="447"/>
      <c r="H202" s="449"/>
      <c r="I202" s="227">
        <v>10267375</v>
      </c>
      <c r="J202" s="228">
        <v>32282</v>
      </c>
      <c r="K202" s="451"/>
      <c r="L202" s="453"/>
    </row>
    <row r="203" spans="1:12" ht="11.25" customHeight="1" x14ac:dyDescent="0.2">
      <c r="A203" s="430" t="s">
        <v>171</v>
      </c>
      <c r="B203" s="431" t="s">
        <v>173</v>
      </c>
      <c r="C203" s="432"/>
      <c r="D203" s="432"/>
      <c r="E203" s="433"/>
      <c r="F203" s="434" t="s">
        <v>519</v>
      </c>
      <c r="G203" s="434" t="s">
        <v>520</v>
      </c>
      <c r="H203" s="434" t="s">
        <v>521</v>
      </c>
      <c r="I203" s="436" t="s">
        <v>522</v>
      </c>
      <c r="J203" s="437"/>
      <c r="K203" s="437"/>
      <c r="L203" s="438"/>
    </row>
    <row r="204" spans="1:12" ht="57.75" customHeight="1" thickBot="1" x14ac:dyDescent="0.25">
      <c r="A204" s="430"/>
      <c r="B204" s="26" t="s">
        <v>188</v>
      </c>
      <c r="C204" s="26" t="s">
        <v>189</v>
      </c>
      <c r="D204" s="26" t="s">
        <v>190</v>
      </c>
      <c r="E204" s="26" t="s">
        <v>191</v>
      </c>
      <c r="F204" s="435"/>
      <c r="G204" s="435"/>
      <c r="H204" s="435"/>
      <c r="I204" s="439"/>
      <c r="J204" s="440"/>
      <c r="K204" s="440"/>
      <c r="L204" s="441"/>
    </row>
    <row r="205" spans="1:12" s="27" customFormat="1" ht="38.25" x14ac:dyDescent="0.2">
      <c r="A205" s="28">
        <v>1</v>
      </c>
      <c r="B205" s="86" t="s">
        <v>43</v>
      </c>
      <c r="C205" s="87" t="s">
        <v>656</v>
      </c>
      <c r="D205" s="87" t="s">
        <v>657</v>
      </c>
      <c r="E205" s="86" t="s">
        <v>658</v>
      </c>
      <c r="F205" s="31" t="s">
        <v>527</v>
      </c>
      <c r="G205" s="33" t="s">
        <v>16</v>
      </c>
      <c r="H205" s="33" t="str">
        <f>+IF(B205&lt;&gt;"",IF(OR(F205="Otro",G205="NO"),"NO","SI"),"")</f>
        <v>SI</v>
      </c>
      <c r="I205" s="424"/>
      <c r="J205" s="424"/>
      <c r="K205" s="424"/>
      <c r="L205" s="425"/>
    </row>
    <row r="206" spans="1:12" s="27" customFormat="1" ht="63.75" x14ac:dyDescent="0.2">
      <c r="A206" s="38">
        <v>2</v>
      </c>
      <c r="B206" s="39" t="s">
        <v>43</v>
      </c>
      <c r="C206" s="46" t="s">
        <v>659</v>
      </c>
      <c r="D206" s="46" t="s">
        <v>660</v>
      </c>
      <c r="E206" s="39" t="s">
        <v>661</v>
      </c>
      <c r="F206" s="41" t="s">
        <v>527</v>
      </c>
      <c r="G206" s="43" t="s">
        <v>16</v>
      </c>
      <c r="H206" s="43" t="str">
        <f>+IF(B206&lt;&gt;"",IF(OR(F206="Otro",G206="NO"),"NO","SI"),"")</f>
        <v>SI</v>
      </c>
      <c r="I206" s="422"/>
      <c r="J206" s="422"/>
      <c r="K206" s="422"/>
      <c r="L206" s="423"/>
    </row>
    <row r="207" spans="1:12" s="27" customFormat="1" ht="25.5" x14ac:dyDescent="0.2">
      <c r="A207" s="38">
        <v>3</v>
      </c>
      <c r="B207" s="39" t="s">
        <v>43</v>
      </c>
      <c r="C207" s="46" t="s">
        <v>662</v>
      </c>
      <c r="D207" s="46" t="s">
        <v>663</v>
      </c>
      <c r="E207" s="39" t="s">
        <v>664</v>
      </c>
      <c r="F207" s="41" t="s">
        <v>527</v>
      </c>
      <c r="G207" s="43" t="s">
        <v>16</v>
      </c>
      <c r="H207" s="43" t="str">
        <f>+IF(B207&lt;&gt;"",IF(OR(F207="Otro",G207="NO"),"NO","SI"),"")</f>
        <v>SI</v>
      </c>
      <c r="I207" s="422"/>
      <c r="J207" s="422"/>
      <c r="K207" s="422"/>
      <c r="L207" s="423"/>
    </row>
    <row r="208" spans="1:12" s="27" customFormat="1" ht="13.5" thickBot="1" x14ac:dyDescent="0.25">
      <c r="A208" s="47">
        <v>4</v>
      </c>
      <c r="B208" s="230"/>
      <c r="C208" s="231"/>
      <c r="D208" s="231"/>
      <c r="E208" s="230"/>
      <c r="F208" s="232"/>
      <c r="G208" s="233"/>
      <c r="H208" s="233" t="str">
        <f>+IF(B208&lt;&gt;"",IF(OR(F208="Otro",G208="NO"),"NO","SI"),"")</f>
        <v/>
      </c>
      <c r="I208" s="426"/>
      <c r="J208" s="426"/>
      <c r="K208" s="426"/>
      <c r="L208" s="427"/>
    </row>
    <row r="209" spans="1:12" ht="27" customHeight="1" x14ac:dyDescent="0.2">
      <c r="A209" s="197" t="str">
        <f>"D"&amp;A201</f>
        <v>D14</v>
      </c>
      <c r="B209" s="428" t="s">
        <v>538</v>
      </c>
      <c r="C209" s="429"/>
      <c r="D209" s="429"/>
      <c r="E209" s="429"/>
      <c r="F209" s="429"/>
      <c r="G209" s="429"/>
      <c r="H209" s="88" t="s">
        <v>16</v>
      </c>
      <c r="I209" s="424"/>
      <c r="J209" s="424"/>
      <c r="K209" s="424"/>
      <c r="L209" s="425"/>
    </row>
    <row r="210" spans="1:12" ht="27" customHeight="1" x14ac:dyDescent="0.2">
      <c r="A210" s="234"/>
      <c r="B210" s="420" t="s">
        <v>539</v>
      </c>
      <c r="C210" s="421"/>
      <c r="D210" s="421"/>
      <c r="E210" s="421"/>
      <c r="F210" s="421"/>
      <c r="G210" s="421"/>
      <c r="H210" s="239" t="s">
        <v>16</v>
      </c>
      <c r="I210" s="422"/>
      <c r="J210" s="422"/>
      <c r="K210" s="422"/>
      <c r="L210" s="423"/>
    </row>
    <row r="211" spans="1:12" ht="27" customHeight="1" x14ac:dyDescent="0.2">
      <c r="A211" s="197" t="str">
        <f>"F"&amp;A201</f>
        <v>F14</v>
      </c>
      <c r="B211" s="420" t="s">
        <v>540</v>
      </c>
      <c r="C211" s="421"/>
      <c r="D211" s="421"/>
      <c r="E211" s="421"/>
      <c r="F211" s="421"/>
      <c r="G211" s="421" t="s">
        <v>541</v>
      </c>
      <c r="H211" s="235" t="s">
        <v>211</v>
      </c>
      <c r="I211" s="422"/>
      <c r="J211" s="422"/>
      <c r="K211" s="422"/>
      <c r="L211" s="423"/>
    </row>
    <row r="212" spans="1:12" ht="27" customHeight="1" x14ac:dyDescent="0.2">
      <c r="A212" s="57"/>
      <c r="B212" s="420" t="s">
        <v>542</v>
      </c>
      <c r="C212" s="421"/>
      <c r="D212" s="421"/>
      <c r="E212" s="421"/>
      <c r="F212" s="421"/>
      <c r="G212" s="421" t="s">
        <v>543</v>
      </c>
      <c r="H212" s="236" t="str">
        <f>+IF(H201&lt;&gt;0,IF(L201&gt;=8,"SI","NO"),"")</f>
        <v>SI</v>
      </c>
      <c r="I212" s="422"/>
      <c r="J212" s="422"/>
      <c r="K212" s="422"/>
      <c r="L212" s="423"/>
    </row>
    <row r="213" spans="1:12" ht="27" customHeight="1" thickBot="1" x14ac:dyDescent="0.25">
      <c r="A213" s="57"/>
      <c r="B213" s="349" t="s">
        <v>544</v>
      </c>
      <c r="C213" s="350"/>
      <c r="D213" s="350"/>
      <c r="E213" s="350"/>
      <c r="F213" s="350"/>
      <c r="G213" s="350" t="s">
        <v>543</v>
      </c>
      <c r="H213" s="237" t="str">
        <f>+IF(H201&lt;&gt;0,IF(COUNTIF(H205:H208,"SI")&gt;=3,"SI","NO"),"")</f>
        <v>SI</v>
      </c>
      <c r="I213" s="416"/>
      <c r="J213" s="416"/>
      <c r="K213" s="416"/>
      <c r="L213" s="417"/>
    </row>
    <row r="214" spans="1:12" ht="16.5" customHeight="1" thickBot="1" x14ac:dyDescent="0.25">
      <c r="A214" s="197" t="str">
        <f>"E"&amp;A201</f>
        <v>E14</v>
      </c>
      <c r="D214" s="418" t="str">
        <f>+D199</f>
        <v>EL PROFESIONAL OFRECIDO POR EL PROPONENTE CUMPLE CON LOS REQUISITOS MÍNIMOS ESTABLECIDOS EN EL NUMERAL 4.1.2. (no se evalúa simultaneidad de procesos en esta celda)</v>
      </c>
      <c r="E214" s="419"/>
      <c r="F214" s="419"/>
      <c r="G214" s="419"/>
      <c r="H214" s="238" t="str">
        <f>IF(H201&lt;&gt;0,IF(AND(H210="SI",H212="SI",H213="SI"),"SI","NO"),"")</f>
        <v>SI</v>
      </c>
      <c r="J214" s="20"/>
      <c r="K214" s="20"/>
      <c r="L214" s="20"/>
    </row>
    <row r="215" spans="1:12" ht="12" thickBot="1" x14ac:dyDescent="0.25"/>
    <row r="216" spans="1:12" ht="45" x14ac:dyDescent="0.2">
      <c r="A216" s="442">
        <v>15</v>
      </c>
      <c r="B216" s="444" t="s">
        <v>903</v>
      </c>
      <c r="C216" s="444"/>
      <c r="D216" s="444"/>
      <c r="E216" s="444"/>
      <c r="F216" s="444"/>
      <c r="G216" s="446" t="s">
        <v>515</v>
      </c>
      <c r="H216" s="448" t="s">
        <v>947</v>
      </c>
      <c r="I216" s="225" t="s">
        <v>516</v>
      </c>
      <c r="J216" s="226" t="s">
        <v>517</v>
      </c>
      <c r="K216" s="450" t="s">
        <v>518</v>
      </c>
      <c r="L216" s="452">
        <f>+IF(J217&lt;&gt;0,ROUND(($E$4-J217)/360,0),"")</f>
        <v>32</v>
      </c>
    </row>
    <row r="217" spans="1:12" ht="15" thickBot="1" x14ac:dyDescent="0.25">
      <c r="A217" s="443"/>
      <c r="B217" s="445"/>
      <c r="C217" s="445"/>
      <c r="D217" s="445"/>
      <c r="E217" s="445"/>
      <c r="F217" s="445"/>
      <c r="G217" s="447"/>
      <c r="H217" s="449"/>
      <c r="I217" s="227">
        <v>8710794</v>
      </c>
      <c r="J217" s="228">
        <v>32527</v>
      </c>
      <c r="K217" s="451"/>
      <c r="L217" s="453"/>
    </row>
    <row r="218" spans="1:12" ht="11.25" customHeight="1" x14ac:dyDescent="0.2">
      <c r="A218" s="430" t="s">
        <v>171</v>
      </c>
      <c r="B218" s="431" t="s">
        <v>173</v>
      </c>
      <c r="C218" s="432"/>
      <c r="D218" s="432"/>
      <c r="E218" s="433"/>
      <c r="F218" s="434" t="s">
        <v>519</v>
      </c>
      <c r="G218" s="434" t="s">
        <v>520</v>
      </c>
      <c r="H218" s="434" t="s">
        <v>521</v>
      </c>
      <c r="I218" s="436" t="s">
        <v>522</v>
      </c>
      <c r="J218" s="437"/>
      <c r="K218" s="437"/>
      <c r="L218" s="438"/>
    </row>
    <row r="219" spans="1:12" ht="57.75" customHeight="1" thickBot="1" x14ac:dyDescent="0.25">
      <c r="A219" s="430"/>
      <c r="B219" s="26" t="s">
        <v>188</v>
      </c>
      <c r="C219" s="26" t="s">
        <v>189</v>
      </c>
      <c r="D219" s="26" t="s">
        <v>190</v>
      </c>
      <c r="E219" s="26" t="s">
        <v>191</v>
      </c>
      <c r="F219" s="435"/>
      <c r="G219" s="435"/>
      <c r="H219" s="435"/>
      <c r="I219" s="439"/>
      <c r="J219" s="440"/>
      <c r="K219" s="440"/>
      <c r="L219" s="441"/>
    </row>
    <row r="220" spans="1:12" s="27" customFormat="1" ht="63.75" x14ac:dyDescent="0.2">
      <c r="A220" s="28">
        <v>1</v>
      </c>
      <c r="B220" s="86" t="s">
        <v>665</v>
      </c>
      <c r="C220" s="87" t="s">
        <v>666</v>
      </c>
      <c r="D220" s="87" t="s">
        <v>667</v>
      </c>
      <c r="E220" s="86" t="s">
        <v>668</v>
      </c>
      <c r="F220" s="31" t="s">
        <v>561</v>
      </c>
      <c r="G220" s="33" t="s">
        <v>16</v>
      </c>
      <c r="H220" s="33" t="str">
        <f>+IF(B220&lt;&gt;"",IF(OR(F220="Otro",G220="NO"),"NO","SI"),"")</f>
        <v>SI</v>
      </c>
      <c r="I220" s="424"/>
      <c r="J220" s="424"/>
      <c r="K220" s="424"/>
      <c r="L220" s="425"/>
    </row>
    <row r="221" spans="1:12" s="27" customFormat="1" ht="51" x14ac:dyDescent="0.2">
      <c r="A221" s="38">
        <v>2</v>
      </c>
      <c r="B221" s="39" t="s">
        <v>669</v>
      </c>
      <c r="C221" s="46" t="s">
        <v>670</v>
      </c>
      <c r="D221" s="46" t="s">
        <v>671</v>
      </c>
      <c r="E221" s="39" t="s">
        <v>672</v>
      </c>
      <c r="F221" s="41" t="s">
        <v>561</v>
      </c>
      <c r="G221" s="43" t="s">
        <v>16</v>
      </c>
      <c r="H221" s="43" t="str">
        <f>+IF(B221&lt;&gt;"",IF(OR(F221="Otro",G221="NO"),"NO","SI"),"")</f>
        <v>SI</v>
      </c>
      <c r="I221" s="422"/>
      <c r="J221" s="422"/>
      <c r="K221" s="422"/>
      <c r="L221" s="423"/>
    </row>
    <row r="222" spans="1:12" s="27" customFormat="1" ht="38.25" x14ac:dyDescent="0.2">
      <c r="A222" s="38">
        <v>3</v>
      </c>
      <c r="B222" s="39" t="s">
        <v>673</v>
      </c>
      <c r="C222" s="46" t="s">
        <v>674</v>
      </c>
      <c r="D222" s="46" t="s">
        <v>675</v>
      </c>
      <c r="E222" s="39" t="s">
        <v>676</v>
      </c>
      <c r="F222" s="41" t="s">
        <v>561</v>
      </c>
      <c r="G222" s="43" t="s">
        <v>16</v>
      </c>
      <c r="H222" s="43" t="str">
        <f>+IF(B222&lt;&gt;"",IF(OR(F222="Otro",G222="NO"),"NO","SI"),"")</f>
        <v>SI</v>
      </c>
      <c r="I222" s="422"/>
      <c r="J222" s="422"/>
      <c r="K222" s="422"/>
      <c r="L222" s="423"/>
    </row>
    <row r="223" spans="1:12" s="27" customFormat="1" ht="13.5" thickBot="1" x14ac:dyDescent="0.25">
      <c r="A223" s="47">
        <v>4</v>
      </c>
      <c r="B223" s="230"/>
      <c r="C223" s="231"/>
      <c r="D223" s="231"/>
      <c r="E223" s="230"/>
      <c r="F223" s="232"/>
      <c r="G223" s="233"/>
      <c r="H223" s="233" t="str">
        <f>+IF(B223&lt;&gt;"",IF(OR(F223="Otro",G223="NO"),"NO","SI"),"")</f>
        <v/>
      </c>
      <c r="I223" s="426"/>
      <c r="J223" s="426"/>
      <c r="K223" s="426"/>
      <c r="L223" s="427"/>
    </row>
    <row r="224" spans="1:12" ht="27" customHeight="1" x14ac:dyDescent="0.2">
      <c r="A224" s="197" t="str">
        <f>"D"&amp;A216</f>
        <v>D15</v>
      </c>
      <c r="B224" s="428" t="s">
        <v>538</v>
      </c>
      <c r="C224" s="429"/>
      <c r="D224" s="429"/>
      <c r="E224" s="429"/>
      <c r="F224" s="429"/>
      <c r="G224" s="429"/>
      <c r="H224" s="88" t="s">
        <v>16</v>
      </c>
      <c r="I224" s="424"/>
      <c r="J224" s="424"/>
      <c r="K224" s="424"/>
      <c r="L224" s="425"/>
    </row>
    <row r="225" spans="1:12" ht="27" customHeight="1" x14ac:dyDescent="0.2">
      <c r="A225" s="234"/>
      <c r="B225" s="420" t="s">
        <v>539</v>
      </c>
      <c r="C225" s="421"/>
      <c r="D225" s="421"/>
      <c r="E225" s="421"/>
      <c r="F225" s="421"/>
      <c r="G225" s="421"/>
      <c r="H225" s="239" t="s">
        <v>16</v>
      </c>
      <c r="I225" s="422"/>
      <c r="J225" s="422"/>
      <c r="K225" s="422"/>
      <c r="L225" s="423"/>
    </row>
    <row r="226" spans="1:12" ht="27" customHeight="1" x14ac:dyDescent="0.2">
      <c r="A226" s="197" t="str">
        <f>"F"&amp;A216</f>
        <v>F15</v>
      </c>
      <c r="B226" s="420" t="s">
        <v>540</v>
      </c>
      <c r="C226" s="421"/>
      <c r="D226" s="421"/>
      <c r="E226" s="421"/>
      <c r="F226" s="421"/>
      <c r="G226" s="421" t="s">
        <v>541</v>
      </c>
      <c r="H226" s="235" t="s">
        <v>211</v>
      </c>
      <c r="I226" s="422"/>
      <c r="J226" s="422"/>
      <c r="K226" s="422"/>
      <c r="L226" s="423"/>
    </row>
    <row r="227" spans="1:12" ht="27" customHeight="1" x14ac:dyDescent="0.2">
      <c r="A227" s="57"/>
      <c r="B227" s="420" t="s">
        <v>542</v>
      </c>
      <c r="C227" s="421"/>
      <c r="D227" s="421"/>
      <c r="E227" s="421"/>
      <c r="F227" s="421"/>
      <c r="G227" s="421" t="s">
        <v>543</v>
      </c>
      <c r="H227" s="236" t="str">
        <f>+IF(H216&lt;&gt;0,IF(L216&gt;=8,"SI","NO"),"")</f>
        <v>SI</v>
      </c>
      <c r="I227" s="422"/>
      <c r="J227" s="422"/>
      <c r="K227" s="422"/>
      <c r="L227" s="423"/>
    </row>
    <row r="228" spans="1:12" ht="27" customHeight="1" thickBot="1" x14ac:dyDescent="0.25">
      <c r="A228" s="57"/>
      <c r="B228" s="349" t="s">
        <v>544</v>
      </c>
      <c r="C228" s="350"/>
      <c r="D228" s="350"/>
      <c r="E228" s="350"/>
      <c r="F228" s="350"/>
      <c r="G228" s="350" t="s">
        <v>543</v>
      </c>
      <c r="H228" s="237" t="str">
        <f>+IF(H216&lt;&gt;0,IF(COUNTIF(H220:H223,"SI")&gt;=3,"SI","NO"),"")</f>
        <v>SI</v>
      </c>
      <c r="I228" s="416"/>
      <c r="J228" s="416"/>
      <c r="K228" s="416"/>
      <c r="L228" s="417"/>
    </row>
    <row r="229" spans="1:12" ht="16.5" customHeight="1" thickBot="1" x14ac:dyDescent="0.25">
      <c r="A229" s="197" t="str">
        <f>"E"&amp;A216</f>
        <v>E15</v>
      </c>
      <c r="D229" s="418" t="str">
        <f>+D214</f>
        <v>EL PROFESIONAL OFRECIDO POR EL PROPONENTE CUMPLE CON LOS REQUISITOS MÍNIMOS ESTABLECIDOS EN EL NUMERAL 4.1.2. (no se evalúa simultaneidad de procesos en esta celda)</v>
      </c>
      <c r="E229" s="419"/>
      <c r="F229" s="419"/>
      <c r="G229" s="419"/>
      <c r="H229" s="238" t="str">
        <f>IF(H216&lt;&gt;0,IF(AND(H225="SI",H227="SI",H228="SI"),"SI","NO"),"")</f>
        <v>SI</v>
      </c>
      <c r="J229" s="20"/>
      <c r="K229" s="20"/>
      <c r="L229" s="20"/>
    </row>
    <row r="230" spans="1:12" ht="12" thickBot="1" x14ac:dyDescent="0.25"/>
    <row r="231" spans="1:12" ht="45" x14ac:dyDescent="0.2">
      <c r="A231" s="442">
        <v>16</v>
      </c>
      <c r="B231" s="444" t="s">
        <v>905</v>
      </c>
      <c r="C231" s="444"/>
      <c r="D231" s="444"/>
      <c r="E231" s="444"/>
      <c r="F231" s="444"/>
      <c r="G231" s="446" t="s">
        <v>515</v>
      </c>
      <c r="H231" s="448" t="s">
        <v>948</v>
      </c>
      <c r="I231" s="225" t="s">
        <v>516</v>
      </c>
      <c r="J231" s="226" t="s">
        <v>517</v>
      </c>
      <c r="K231" s="450" t="s">
        <v>518</v>
      </c>
      <c r="L231" s="452">
        <f>+IF(J232&lt;&gt;0,ROUND(($E$4-J232)/360,0),"")</f>
        <v>21</v>
      </c>
    </row>
    <row r="232" spans="1:12" ht="15" thickBot="1" x14ac:dyDescent="0.25">
      <c r="A232" s="443"/>
      <c r="B232" s="445"/>
      <c r="C232" s="445"/>
      <c r="D232" s="445"/>
      <c r="E232" s="445"/>
      <c r="F232" s="445"/>
      <c r="G232" s="447"/>
      <c r="H232" s="449"/>
      <c r="I232" s="227">
        <v>79620397</v>
      </c>
      <c r="J232" s="228">
        <v>36489</v>
      </c>
      <c r="K232" s="451"/>
      <c r="L232" s="453"/>
    </row>
    <row r="233" spans="1:12" ht="11.25" customHeight="1" x14ac:dyDescent="0.2">
      <c r="A233" s="430" t="s">
        <v>171</v>
      </c>
      <c r="B233" s="431" t="s">
        <v>173</v>
      </c>
      <c r="C233" s="432"/>
      <c r="D233" s="432"/>
      <c r="E233" s="433"/>
      <c r="F233" s="434" t="s">
        <v>519</v>
      </c>
      <c r="G233" s="434" t="s">
        <v>520</v>
      </c>
      <c r="H233" s="434" t="s">
        <v>521</v>
      </c>
      <c r="I233" s="436" t="s">
        <v>522</v>
      </c>
      <c r="J233" s="437"/>
      <c r="K233" s="437"/>
      <c r="L233" s="438"/>
    </row>
    <row r="234" spans="1:12" ht="57.75" customHeight="1" thickBot="1" x14ac:dyDescent="0.25">
      <c r="A234" s="430"/>
      <c r="B234" s="26" t="s">
        <v>188</v>
      </c>
      <c r="C234" s="26" t="s">
        <v>189</v>
      </c>
      <c r="D234" s="26" t="s">
        <v>190</v>
      </c>
      <c r="E234" s="26" t="s">
        <v>191</v>
      </c>
      <c r="F234" s="435"/>
      <c r="G234" s="435"/>
      <c r="H234" s="435"/>
      <c r="I234" s="439"/>
      <c r="J234" s="440"/>
      <c r="K234" s="440"/>
      <c r="L234" s="441"/>
    </row>
    <row r="235" spans="1:12" s="27" customFormat="1" ht="51" x14ac:dyDescent="0.2">
      <c r="A235" s="28">
        <v>1</v>
      </c>
      <c r="B235" s="86" t="s">
        <v>677</v>
      </c>
      <c r="C235" s="87" t="s">
        <v>678</v>
      </c>
      <c r="D235" s="87" t="s">
        <v>679</v>
      </c>
      <c r="E235" s="86" t="s">
        <v>680</v>
      </c>
      <c r="F235" s="31" t="s">
        <v>561</v>
      </c>
      <c r="G235" s="33" t="s">
        <v>16</v>
      </c>
      <c r="H235" s="33" t="str">
        <f>+IF(B235&lt;&gt;"",IF(OR(F235="Otro",G235="NO"),"NO","SI"),"")</f>
        <v>SI</v>
      </c>
      <c r="I235" s="424"/>
      <c r="J235" s="424"/>
      <c r="K235" s="424"/>
      <c r="L235" s="425"/>
    </row>
    <row r="236" spans="1:12" s="27" customFormat="1" ht="51" x14ac:dyDescent="0.2">
      <c r="A236" s="38">
        <v>2</v>
      </c>
      <c r="B236" s="39" t="s">
        <v>121</v>
      </c>
      <c r="C236" s="46" t="s">
        <v>681</v>
      </c>
      <c r="D236" s="46" t="s">
        <v>682</v>
      </c>
      <c r="E236" s="39" t="s">
        <v>683</v>
      </c>
      <c r="F236" s="41" t="s">
        <v>561</v>
      </c>
      <c r="G236" s="43" t="s">
        <v>16</v>
      </c>
      <c r="H236" s="43" t="str">
        <f>+IF(B236&lt;&gt;"",IF(OR(F236="Otro",G236="NO"),"NO","SI"),"")</f>
        <v>SI</v>
      </c>
      <c r="I236" s="422"/>
      <c r="J236" s="422"/>
      <c r="K236" s="422"/>
      <c r="L236" s="423"/>
    </row>
    <row r="237" spans="1:12" s="27" customFormat="1" ht="38.25" x14ac:dyDescent="0.2">
      <c r="A237" s="38">
        <v>3</v>
      </c>
      <c r="B237" s="39" t="s">
        <v>361</v>
      </c>
      <c r="C237" s="46" t="s">
        <v>684</v>
      </c>
      <c r="D237" s="46" t="s">
        <v>685</v>
      </c>
      <c r="E237" s="39" t="s">
        <v>686</v>
      </c>
      <c r="F237" s="41" t="s">
        <v>565</v>
      </c>
      <c r="G237" s="43" t="s">
        <v>16</v>
      </c>
      <c r="H237" s="43" t="str">
        <f>+IF(B237&lt;&gt;"",IF(OR(F237="Otro",G237="NO"),"NO","SI"),"")</f>
        <v>SI</v>
      </c>
      <c r="I237" s="422"/>
      <c r="J237" s="422"/>
      <c r="K237" s="422"/>
      <c r="L237" s="423"/>
    </row>
    <row r="238" spans="1:12" s="27" customFormat="1" ht="13.5" thickBot="1" x14ac:dyDescent="0.25">
      <c r="A238" s="47">
        <v>4</v>
      </c>
      <c r="B238" s="230"/>
      <c r="C238" s="231"/>
      <c r="D238" s="231"/>
      <c r="E238" s="230"/>
      <c r="F238" s="232"/>
      <c r="G238" s="233"/>
      <c r="H238" s="233" t="str">
        <f>+IF(B238&lt;&gt;"",IF(OR(F238="Otro",G238="NO"),"NO","SI"),"")</f>
        <v/>
      </c>
      <c r="I238" s="426"/>
      <c r="J238" s="426"/>
      <c r="K238" s="426"/>
      <c r="L238" s="427"/>
    </row>
    <row r="239" spans="1:12" ht="27" customHeight="1" x14ac:dyDescent="0.2">
      <c r="A239" s="197" t="str">
        <f>"D"&amp;A231</f>
        <v>D16</v>
      </c>
      <c r="B239" s="428" t="s">
        <v>538</v>
      </c>
      <c r="C239" s="429"/>
      <c r="D239" s="429"/>
      <c r="E239" s="429"/>
      <c r="F239" s="429"/>
      <c r="G239" s="429"/>
      <c r="H239" s="88" t="s">
        <v>16</v>
      </c>
      <c r="I239" s="424"/>
      <c r="J239" s="424"/>
      <c r="K239" s="424"/>
      <c r="L239" s="425"/>
    </row>
    <row r="240" spans="1:12" ht="27" customHeight="1" x14ac:dyDescent="0.2">
      <c r="A240" s="234"/>
      <c r="B240" s="420" t="s">
        <v>539</v>
      </c>
      <c r="C240" s="421"/>
      <c r="D240" s="421"/>
      <c r="E240" s="421"/>
      <c r="F240" s="421"/>
      <c r="G240" s="421"/>
      <c r="H240" s="239" t="s">
        <v>16</v>
      </c>
      <c r="I240" s="422"/>
      <c r="J240" s="422"/>
      <c r="K240" s="422"/>
      <c r="L240" s="423"/>
    </row>
    <row r="241" spans="1:12" ht="27" customHeight="1" x14ac:dyDescent="0.2">
      <c r="A241" s="197" t="str">
        <f>"F"&amp;A231</f>
        <v>F16</v>
      </c>
      <c r="B241" s="420" t="s">
        <v>540</v>
      </c>
      <c r="C241" s="421"/>
      <c r="D241" s="421"/>
      <c r="E241" s="421"/>
      <c r="F241" s="421"/>
      <c r="G241" s="421" t="s">
        <v>541</v>
      </c>
      <c r="H241" s="235" t="s">
        <v>211</v>
      </c>
      <c r="I241" s="422"/>
      <c r="J241" s="422"/>
      <c r="K241" s="422"/>
      <c r="L241" s="423"/>
    </row>
    <row r="242" spans="1:12" ht="27" customHeight="1" x14ac:dyDescent="0.2">
      <c r="A242" s="57"/>
      <c r="B242" s="420" t="s">
        <v>542</v>
      </c>
      <c r="C242" s="421"/>
      <c r="D242" s="421"/>
      <c r="E242" s="421"/>
      <c r="F242" s="421"/>
      <c r="G242" s="421" t="s">
        <v>543</v>
      </c>
      <c r="H242" s="236" t="str">
        <f>+IF(H231&lt;&gt;0,IF(L231&gt;=8,"SI","NO"),"")</f>
        <v>SI</v>
      </c>
      <c r="I242" s="422"/>
      <c r="J242" s="422"/>
      <c r="K242" s="422"/>
      <c r="L242" s="423"/>
    </row>
    <row r="243" spans="1:12" ht="27" customHeight="1" thickBot="1" x14ac:dyDescent="0.25">
      <c r="A243" s="57"/>
      <c r="B243" s="349" t="s">
        <v>544</v>
      </c>
      <c r="C243" s="350"/>
      <c r="D243" s="350"/>
      <c r="E243" s="350"/>
      <c r="F243" s="350"/>
      <c r="G243" s="350" t="s">
        <v>543</v>
      </c>
      <c r="H243" s="237" t="str">
        <f>+IF(H231&lt;&gt;0,IF(COUNTIF(H235:H238,"SI")&gt;=3,"SI","NO"),"")</f>
        <v>SI</v>
      </c>
      <c r="I243" s="416"/>
      <c r="J243" s="416"/>
      <c r="K243" s="416"/>
      <c r="L243" s="417"/>
    </row>
    <row r="244" spans="1:12" ht="16.5" customHeight="1" thickBot="1" x14ac:dyDescent="0.25">
      <c r="A244" s="197" t="str">
        <f>"E"&amp;A231</f>
        <v>E16</v>
      </c>
      <c r="D244" s="418" t="str">
        <f>+D229</f>
        <v>EL PROFESIONAL OFRECIDO POR EL PROPONENTE CUMPLE CON LOS REQUISITOS MÍNIMOS ESTABLECIDOS EN EL NUMERAL 4.1.2. (no se evalúa simultaneidad de procesos en esta celda)</v>
      </c>
      <c r="E244" s="419"/>
      <c r="F244" s="419"/>
      <c r="G244" s="419"/>
      <c r="H244" s="238" t="str">
        <f>IF(H231&lt;&gt;0,IF(AND(H240="SI",H242="SI",H243="SI"),"SI","NO"),"")</f>
        <v>SI</v>
      </c>
      <c r="J244" s="20"/>
      <c r="K244" s="20"/>
      <c r="L244" s="20"/>
    </row>
    <row r="245" spans="1:12" ht="12" thickBot="1" x14ac:dyDescent="0.25"/>
    <row r="246" spans="1:12" ht="45" x14ac:dyDescent="0.2">
      <c r="A246" s="442">
        <v>17</v>
      </c>
      <c r="B246" s="444" t="s">
        <v>907</v>
      </c>
      <c r="C246" s="444"/>
      <c r="D246" s="444"/>
      <c r="E246" s="444"/>
      <c r="F246" s="444"/>
      <c r="G246" s="446" t="s">
        <v>515</v>
      </c>
      <c r="H246" s="448" t="s">
        <v>949</v>
      </c>
      <c r="I246" s="225" t="s">
        <v>516</v>
      </c>
      <c r="J246" s="226" t="s">
        <v>517</v>
      </c>
      <c r="K246" s="450" t="s">
        <v>518</v>
      </c>
      <c r="L246" s="452">
        <f>+IF(J247&lt;&gt;0,ROUND(($E$4-J247)/360,0),"")</f>
        <v>20</v>
      </c>
    </row>
    <row r="247" spans="1:12" ht="15" thickBot="1" x14ac:dyDescent="0.25">
      <c r="A247" s="443"/>
      <c r="B247" s="445"/>
      <c r="C247" s="445"/>
      <c r="D247" s="445"/>
      <c r="E247" s="445"/>
      <c r="F247" s="445"/>
      <c r="G247" s="447"/>
      <c r="H247" s="449"/>
      <c r="I247" s="227">
        <v>43828454</v>
      </c>
      <c r="J247" s="228">
        <v>36846</v>
      </c>
      <c r="K247" s="451"/>
      <c r="L247" s="453"/>
    </row>
    <row r="248" spans="1:12" ht="11.25" customHeight="1" x14ac:dyDescent="0.2">
      <c r="A248" s="430" t="s">
        <v>171</v>
      </c>
      <c r="B248" s="431" t="s">
        <v>173</v>
      </c>
      <c r="C248" s="432"/>
      <c r="D248" s="432"/>
      <c r="E248" s="433"/>
      <c r="F248" s="434" t="s">
        <v>519</v>
      </c>
      <c r="G248" s="434" t="s">
        <v>520</v>
      </c>
      <c r="H248" s="434" t="s">
        <v>521</v>
      </c>
      <c r="I248" s="436" t="s">
        <v>522</v>
      </c>
      <c r="J248" s="437"/>
      <c r="K248" s="437"/>
      <c r="L248" s="438"/>
    </row>
    <row r="249" spans="1:12" ht="57.75" customHeight="1" thickBot="1" x14ac:dyDescent="0.25">
      <c r="A249" s="430"/>
      <c r="B249" s="26" t="s">
        <v>188</v>
      </c>
      <c r="C249" s="26" t="s">
        <v>189</v>
      </c>
      <c r="D249" s="26" t="s">
        <v>190</v>
      </c>
      <c r="E249" s="26" t="s">
        <v>191</v>
      </c>
      <c r="F249" s="435"/>
      <c r="G249" s="435"/>
      <c r="H249" s="435"/>
      <c r="I249" s="439"/>
      <c r="J249" s="440"/>
      <c r="K249" s="440"/>
      <c r="L249" s="441"/>
    </row>
    <row r="250" spans="1:12" s="27" customFormat="1" ht="51" x14ac:dyDescent="0.2">
      <c r="A250" s="28">
        <v>1</v>
      </c>
      <c r="B250" s="86" t="s">
        <v>687</v>
      </c>
      <c r="C250" s="87" t="s">
        <v>688</v>
      </c>
      <c r="D250" s="87" t="s">
        <v>689</v>
      </c>
      <c r="E250" s="86" t="s">
        <v>690</v>
      </c>
      <c r="F250" s="31" t="s">
        <v>527</v>
      </c>
      <c r="G250" s="33" t="s">
        <v>16</v>
      </c>
      <c r="H250" s="33" t="str">
        <f>+IF(B250&lt;&gt;"",IF(OR(F250="Otro",G250="NO"),"NO","SI"),"")</f>
        <v>SI</v>
      </c>
      <c r="I250" s="424"/>
      <c r="J250" s="424"/>
      <c r="K250" s="424"/>
      <c r="L250" s="425"/>
    </row>
    <row r="251" spans="1:12" s="27" customFormat="1" ht="63.75" x14ac:dyDescent="0.2">
      <c r="A251" s="38">
        <v>2</v>
      </c>
      <c r="B251" s="39" t="s">
        <v>687</v>
      </c>
      <c r="C251" s="46" t="s">
        <v>687</v>
      </c>
      <c r="D251" s="46" t="s">
        <v>691</v>
      </c>
      <c r="E251" s="39" t="s">
        <v>89</v>
      </c>
      <c r="F251" s="41" t="s">
        <v>527</v>
      </c>
      <c r="G251" s="43" t="s">
        <v>16</v>
      </c>
      <c r="H251" s="43" t="str">
        <f>+IF(B251&lt;&gt;"",IF(OR(F251="Otro",G251="NO"),"NO","SI"),"")</f>
        <v>SI</v>
      </c>
      <c r="I251" s="422"/>
      <c r="J251" s="422"/>
      <c r="K251" s="422"/>
      <c r="L251" s="423"/>
    </row>
    <row r="252" spans="1:12" s="27" customFormat="1" ht="63.75" x14ac:dyDescent="0.2">
      <c r="A252" s="38">
        <v>3</v>
      </c>
      <c r="B252" s="39" t="s">
        <v>692</v>
      </c>
      <c r="C252" s="46" t="s">
        <v>693</v>
      </c>
      <c r="D252" s="46" t="s">
        <v>694</v>
      </c>
      <c r="E252" s="39" t="s">
        <v>695</v>
      </c>
      <c r="F252" s="41" t="s">
        <v>527</v>
      </c>
      <c r="G252" s="43" t="s">
        <v>16</v>
      </c>
      <c r="H252" s="43" t="str">
        <f>+IF(B252&lt;&gt;"",IF(OR(F252="Otro",G252="NO"),"NO","SI"),"")</f>
        <v>SI</v>
      </c>
      <c r="I252" s="422"/>
      <c r="J252" s="422"/>
      <c r="K252" s="422"/>
      <c r="L252" s="423"/>
    </row>
    <row r="253" spans="1:12" s="27" customFormat="1" ht="13.5" thickBot="1" x14ac:dyDescent="0.25">
      <c r="A253" s="47">
        <v>4</v>
      </c>
      <c r="B253" s="230"/>
      <c r="C253" s="231"/>
      <c r="D253" s="231"/>
      <c r="E253" s="230"/>
      <c r="F253" s="232"/>
      <c r="G253" s="233"/>
      <c r="H253" s="233" t="str">
        <f>+IF(B253&lt;&gt;"",IF(OR(F253="Otro",G253="NO"),"NO","SI"),"")</f>
        <v/>
      </c>
      <c r="I253" s="426"/>
      <c r="J253" s="426"/>
      <c r="K253" s="426"/>
      <c r="L253" s="427"/>
    </row>
    <row r="254" spans="1:12" ht="27" customHeight="1" x14ac:dyDescent="0.2">
      <c r="A254" s="197" t="str">
        <f>"D"&amp;A246</f>
        <v>D17</v>
      </c>
      <c r="B254" s="428" t="s">
        <v>538</v>
      </c>
      <c r="C254" s="429"/>
      <c r="D254" s="429"/>
      <c r="E254" s="429"/>
      <c r="F254" s="429"/>
      <c r="G254" s="429"/>
      <c r="H254" s="88" t="s">
        <v>16</v>
      </c>
      <c r="I254" s="424"/>
      <c r="J254" s="424"/>
      <c r="K254" s="424"/>
      <c r="L254" s="425"/>
    </row>
    <row r="255" spans="1:12" ht="27" customHeight="1" x14ac:dyDescent="0.2">
      <c r="A255" s="234"/>
      <c r="B255" s="420" t="s">
        <v>539</v>
      </c>
      <c r="C255" s="421"/>
      <c r="D255" s="421"/>
      <c r="E255" s="421"/>
      <c r="F255" s="421"/>
      <c r="G255" s="421"/>
      <c r="H255" s="239" t="s">
        <v>16</v>
      </c>
      <c r="I255" s="422"/>
      <c r="J255" s="422"/>
      <c r="K255" s="422"/>
      <c r="L255" s="423"/>
    </row>
    <row r="256" spans="1:12" ht="27" customHeight="1" x14ac:dyDescent="0.2">
      <c r="A256" s="197" t="str">
        <f>"F"&amp;A246</f>
        <v>F17</v>
      </c>
      <c r="B256" s="420" t="s">
        <v>540</v>
      </c>
      <c r="C256" s="421"/>
      <c r="D256" s="421"/>
      <c r="E256" s="421"/>
      <c r="F256" s="421"/>
      <c r="G256" s="421" t="s">
        <v>541</v>
      </c>
      <c r="H256" s="235" t="s">
        <v>211</v>
      </c>
      <c r="I256" s="422"/>
      <c r="J256" s="422"/>
      <c r="K256" s="422"/>
      <c r="L256" s="423"/>
    </row>
    <row r="257" spans="1:12" ht="27" customHeight="1" x14ac:dyDescent="0.2">
      <c r="A257" s="57"/>
      <c r="B257" s="420" t="s">
        <v>542</v>
      </c>
      <c r="C257" s="421"/>
      <c r="D257" s="421"/>
      <c r="E257" s="421"/>
      <c r="F257" s="421"/>
      <c r="G257" s="421" t="s">
        <v>543</v>
      </c>
      <c r="H257" s="236" t="str">
        <f>+IF(H246&lt;&gt;0,IF(L246&gt;=8,"SI","NO"),"")</f>
        <v>SI</v>
      </c>
      <c r="I257" s="422"/>
      <c r="J257" s="422"/>
      <c r="K257" s="422"/>
      <c r="L257" s="423"/>
    </row>
    <row r="258" spans="1:12" ht="27" customHeight="1" thickBot="1" x14ac:dyDescent="0.25">
      <c r="A258" s="57"/>
      <c r="B258" s="349" t="s">
        <v>544</v>
      </c>
      <c r="C258" s="350"/>
      <c r="D258" s="350"/>
      <c r="E258" s="350"/>
      <c r="F258" s="350"/>
      <c r="G258" s="350" t="s">
        <v>543</v>
      </c>
      <c r="H258" s="237" t="str">
        <f>+IF(H246&lt;&gt;0,IF(COUNTIF(H250:H253,"SI")&gt;=3,"SI","NO"),"")</f>
        <v>SI</v>
      </c>
      <c r="I258" s="416"/>
      <c r="J258" s="416"/>
      <c r="K258" s="416"/>
      <c r="L258" s="417"/>
    </row>
    <row r="259" spans="1:12" ht="16.5" customHeight="1" thickBot="1" x14ac:dyDescent="0.25">
      <c r="A259" s="197" t="str">
        <f>"E"&amp;A246</f>
        <v>E17</v>
      </c>
      <c r="D259" s="418" t="str">
        <f>+D244</f>
        <v>EL PROFESIONAL OFRECIDO POR EL PROPONENTE CUMPLE CON LOS REQUISITOS MÍNIMOS ESTABLECIDOS EN EL NUMERAL 4.1.2. (no se evalúa simultaneidad de procesos en esta celda)</v>
      </c>
      <c r="E259" s="419"/>
      <c r="F259" s="419"/>
      <c r="G259" s="419"/>
      <c r="H259" s="238" t="str">
        <f>IF(H246&lt;&gt;0,IF(AND(H255="SI",H257="SI",H258="SI"),"SI","NO"),"")</f>
        <v>SI</v>
      </c>
      <c r="J259" s="20"/>
      <c r="K259" s="20"/>
      <c r="L259" s="20"/>
    </row>
    <row r="260" spans="1:12" ht="12" thickBot="1" x14ac:dyDescent="0.25"/>
    <row r="261" spans="1:12" ht="45" x14ac:dyDescent="0.2">
      <c r="A261" s="442">
        <v>18</v>
      </c>
      <c r="B261" s="444" t="s">
        <v>909</v>
      </c>
      <c r="C261" s="444"/>
      <c r="D261" s="444"/>
      <c r="E261" s="444"/>
      <c r="F261" s="444"/>
      <c r="G261" s="446" t="s">
        <v>515</v>
      </c>
      <c r="H261" s="448" t="s">
        <v>950</v>
      </c>
      <c r="I261" s="225" t="s">
        <v>516</v>
      </c>
      <c r="J261" s="226" t="s">
        <v>517</v>
      </c>
      <c r="K261" s="450" t="s">
        <v>518</v>
      </c>
      <c r="L261" s="452">
        <f>+IF(J262&lt;&gt;0,ROUND(($E$4-J262)/360,0),"")</f>
        <v>39</v>
      </c>
    </row>
    <row r="262" spans="1:12" ht="15" thickBot="1" x14ac:dyDescent="0.25">
      <c r="A262" s="443"/>
      <c r="B262" s="445"/>
      <c r="C262" s="445"/>
      <c r="D262" s="445"/>
      <c r="E262" s="445"/>
      <c r="F262" s="445"/>
      <c r="G262" s="447"/>
      <c r="H262" s="449"/>
      <c r="I262" s="227">
        <v>16260194</v>
      </c>
      <c r="J262" s="228">
        <v>29994</v>
      </c>
      <c r="K262" s="451"/>
      <c r="L262" s="453"/>
    </row>
    <row r="263" spans="1:12" ht="11.25" customHeight="1" x14ac:dyDescent="0.2">
      <c r="A263" s="430" t="s">
        <v>171</v>
      </c>
      <c r="B263" s="431" t="s">
        <v>173</v>
      </c>
      <c r="C263" s="432"/>
      <c r="D263" s="432"/>
      <c r="E263" s="433"/>
      <c r="F263" s="434" t="s">
        <v>519</v>
      </c>
      <c r="G263" s="434" t="s">
        <v>520</v>
      </c>
      <c r="H263" s="434" t="s">
        <v>521</v>
      </c>
      <c r="I263" s="436" t="s">
        <v>522</v>
      </c>
      <c r="J263" s="437"/>
      <c r="K263" s="437"/>
      <c r="L263" s="438"/>
    </row>
    <row r="264" spans="1:12" ht="57.75" customHeight="1" thickBot="1" x14ac:dyDescent="0.25">
      <c r="A264" s="430"/>
      <c r="B264" s="26" t="s">
        <v>188</v>
      </c>
      <c r="C264" s="26" t="s">
        <v>189</v>
      </c>
      <c r="D264" s="26" t="s">
        <v>190</v>
      </c>
      <c r="E264" s="26" t="s">
        <v>191</v>
      </c>
      <c r="F264" s="435"/>
      <c r="G264" s="435"/>
      <c r="H264" s="435"/>
      <c r="I264" s="439"/>
      <c r="J264" s="440"/>
      <c r="K264" s="440"/>
      <c r="L264" s="441"/>
    </row>
    <row r="265" spans="1:12" s="27" customFormat="1" ht="63.75" x14ac:dyDescent="0.2">
      <c r="A265" s="28">
        <v>1</v>
      </c>
      <c r="B265" s="86" t="s">
        <v>696</v>
      </c>
      <c r="C265" s="87" t="s">
        <v>687</v>
      </c>
      <c r="D265" s="87" t="s">
        <v>697</v>
      </c>
      <c r="E265" s="86" t="s">
        <v>698</v>
      </c>
      <c r="F265" s="31" t="s">
        <v>561</v>
      </c>
      <c r="G265" s="33" t="s">
        <v>16</v>
      </c>
      <c r="H265" s="33" t="str">
        <f>+IF(B265&lt;&gt;"",IF(OR(F265="Otro",G265="NO"),"NO","SI"),"")</f>
        <v>SI</v>
      </c>
      <c r="I265" s="424"/>
      <c r="J265" s="424"/>
      <c r="K265" s="424"/>
      <c r="L265" s="425"/>
    </row>
    <row r="266" spans="1:12" s="27" customFormat="1" ht="38.25" x14ac:dyDescent="0.2">
      <c r="A266" s="38">
        <v>2</v>
      </c>
      <c r="B266" s="39" t="s">
        <v>687</v>
      </c>
      <c r="C266" s="46" t="s">
        <v>687</v>
      </c>
      <c r="D266" s="46" t="s">
        <v>699</v>
      </c>
      <c r="E266" s="39" t="s">
        <v>354</v>
      </c>
      <c r="F266" s="41" t="s">
        <v>565</v>
      </c>
      <c r="G266" s="43" t="s">
        <v>16</v>
      </c>
      <c r="H266" s="43" t="str">
        <f>+IF(B266&lt;&gt;"",IF(OR(F266="Otro",G266="NO"),"NO","SI"),"")</f>
        <v>SI</v>
      </c>
      <c r="I266" s="422"/>
      <c r="J266" s="422"/>
      <c r="K266" s="422"/>
      <c r="L266" s="423"/>
    </row>
    <row r="267" spans="1:12" s="27" customFormat="1" ht="25.5" x14ac:dyDescent="0.2">
      <c r="A267" s="38">
        <v>3</v>
      </c>
      <c r="B267" s="39" t="s">
        <v>687</v>
      </c>
      <c r="C267" s="46" t="s">
        <v>687</v>
      </c>
      <c r="D267" s="46" t="s">
        <v>700</v>
      </c>
      <c r="E267" s="39" t="s">
        <v>354</v>
      </c>
      <c r="F267" s="41" t="s">
        <v>561</v>
      </c>
      <c r="G267" s="43" t="s">
        <v>16</v>
      </c>
      <c r="H267" s="43" t="str">
        <f>+IF(B267&lt;&gt;"",IF(OR(F267="Otro",G267="NO"),"NO","SI"),"")</f>
        <v>SI</v>
      </c>
      <c r="I267" s="422"/>
      <c r="J267" s="422"/>
      <c r="K267" s="422"/>
      <c r="L267" s="423"/>
    </row>
    <row r="268" spans="1:12" s="27" customFormat="1" ht="13.5" thickBot="1" x14ac:dyDescent="0.25">
      <c r="A268" s="47">
        <v>4</v>
      </c>
      <c r="B268" s="230"/>
      <c r="C268" s="231"/>
      <c r="D268" s="231"/>
      <c r="E268" s="230"/>
      <c r="F268" s="232"/>
      <c r="G268" s="233"/>
      <c r="H268" s="233" t="str">
        <f>+IF(B268&lt;&gt;"",IF(OR(F268="Otro",G268="NO"),"NO","SI"),"")</f>
        <v/>
      </c>
      <c r="I268" s="426"/>
      <c r="J268" s="426"/>
      <c r="K268" s="426"/>
      <c r="L268" s="427"/>
    </row>
    <row r="269" spans="1:12" ht="27" customHeight="1" x14ac:dyDescent="0.2">
      <c r="A269" s="197" t="str">
        <f>"D"&amp;A261</f>
        <v>D18</v>
      </c>
      <c r="B269" s="428" t="s">
        <v>538</v>
      </c>
      <c r="C269" s="429"/>
      <c r="D269" s="429"/>
      <c r="E269" s="429"/>
      <c r="F269" s="429"/>
      <c r="G269" s="429"/>
      <c r="H269" s="88" t="s">
        <v>16</v>
      </c>
      <c r="I269" s="424"/>
      <c r="J269" s="424"/>
      <c r="K269" s="424"/>
      <c r="L269" s="425"/>
    </row>
    <row r="270" spans="1:12" ht="27" customHeight="1" x14ac:dyDescent="0.2">
      <c r="A270" s="234"/>
      <c r="B270" s="420" t="s">
        <v>539</v>
      </c>
      <c r="C270" s="421"/>
      <c r="D270" s="421"/>
      <c r="E270" s="421"/>
      <c r="F270" s="421"/>
      <c r="G270" s="421"/>
      <c r="H270" s="239" t="s">
        <v>16</v>
      </c>
      <c r="I270" s="422"/>
      <c r="J270" s="422"/>
      <c r="K270" s="422"/>
      <c r="L270" s="423"/>
    </row>
    <row r="271" spans="1:12" ht="27" customHeight="1" x14ac:dyDescent="0.2">
      <c r="A271" s="197" t="str">
        <f>"F"&amp;A261</f>
        <v>F18</v>
      </c>
      <c r="B271" s="420" t="s">
        <v>540</v>
      </c>
      <c r="C271" s="421"/>
      <c r="D271" s="421"/>
      <c r="E271" s="421"/>
      <c r="F271" s="421"/>
      <c r="G271" s="421" t="s">
        <v>541</v>
      </c>
      <c r="H271" s="235" t="s">
        <v>211</v>
      </c>
      <c r="I271" s="422"/>
      <c r="J271" s="422"/>
      <c r="K271" s="422"/>
      <c r="L271" s="423"/>
    </row>
    <row r="272" spans="1:12" ht="27" customHeight="1" x14ac:dyDescent="0.2">
      <c r="A272" s="57"/>
      <c r="B272" s="420" t="s">
        <v>542</v>
      </c>
      <c r="C272" s="421"/>
      <c r="D272" s="421"/>
      <c r="E272" s="421"/>
      <c r="F272" s="421"/>
      <c r="G272" s="421" t="s">
        <v>543</v>
      </c>
      <c r="H272" s="236" t="str">
        <f>+IF(H261&lt;&gt;0,IF(L261&gt;=8,"SI","NO"),"")</f>
        <v>SI</v>
      </c>
      <c r="I272" s="422"/>
      <c r="J272" s="422"/>
      <c r="K272" s="422"/>
      <c r="L272" s="423"/>
    </row>
    <row r="273" spans="1:12" ht="27" customHeight="1" thickBot="1" x14ac:dyDescent="0.25">
      <c r="A273" s="57"/>
      <c r="B273" s="349" t="s">
        <v>544</v>
      </c>
      <c r="C273" s="350"/>
      <c r="D273" s="350"/>
      <c r="E273" s="350"/>
      <c r="F273" s="350"/>
      <c r="G273" s="350" t="s">
        <v>543</v>
      </c>
      <c r="H273" s="237" t="str">
        <f>+IF(H261&lt;&gt;0,IF(COUNTIF(H265:H268,"SI")&gt;=3,"SI","NO"),"")</f>
        <v>SI</v>
      </c>
      <c r="I273" s="416"/>
      <c r="J273" s="416"/>
      <c r="K273" s="416"/>
      <c r="L273" s="417"/>
    </row>
    <row r="274" spans="1:12" ht="16.5" customHeight="1" thickBot="1" x14ac:dyDescent="0.25">
      <c r="A274" s="197" t="str">
        <f>"E"&amp;A261</f>
        <v>E18</v>
      </c>
      <c r="D274" s="418" t="str">
        <f>+D259</f>
        <v>EL PROFESIONAL OFRECIDO POR EL PROPONENTE CUMPLE CON LOS REQUISITOS MÍNIMOS ESTABLECIDOS EN EL NUMERAL 4.1.2. (no se evalúa simultaneidad de procesos en esta celda)</v>
      </c>
      <c r="E274" s="419"/>
      <c r="F274" s="419"/>
      <c r="G274" s="419"/>
      <c r="H274" s="238" t="str">
        <f>IF(H261&lt;&gt;0,IF(AND(H270="SI",H272="SI",H273="SI"),"SI","NO"),"")</f>
        <v>SI</v>
      </c>
      <c r="J274" s="20"/>
      <c r="K274" s="20"/>
      <c r="L274" s="20"/>
    </row>
    <row r="275" spans="1:12" ht="12" thickBot="1" x14ac:dyDescent="0.25"/>
    <row r="276" spans="1:12" ht="45" x14ac:dyDescent="0.2">
      <c r="A276" s="442">
        <v>19</v>
      </c>
      <c r="B276" s="444" t="s">
        <v>911</v>
      </c>
      <c r="C276" s="444"/>
      <c r="D276" s="444"/>
      <c r="E276" s="444"/>
      <c r="F276" s="444"/>
      <c r="G276" s="446" t="s">
        <v>515</v>
      </c>
      <c r="H276" s="448" t="s">
        <v>951</v>
      </c>
      <c r="I276" s="225" t="s">
        <v>516</v>
      </c>
      <c r="J276" s="226" t="s">
        <v>517</v>
      </c>
      <c r="K276" s="450" t="s">
        <v>518</v>
      </c>
      <c r="L276" s="452">
        <f>+IF(J277&lt;&gt;0,ROUND(($E$4-J277)/360,0),"")</f>
        <v>18</v>
      </c>
    </row>
    <row r="277" spans="1:12" ht="15" thickBot="1" x14ac:dyDescent="0.25">
      <c r="A277" s="443"/>
      <c r="B277" s="445"/>
      <c r="C277" s="445"/>
      <c r="D277" s="445"/>
      <c r="E277" s="445"/>
      <c r="F277" s="445"/>
      <c r="G277" s="447"/>
      <c r="H277" s="449"/>
      <c r="I277" s="227">
        <v>84084498</v>
      </c>
      <c r="J277" s="228">
        <v>37679</v>
      </c>
      <c r="K277" s="451"/>
      <c r="L277" s="453"/>
    </row>
    <row r="278" spans="1:12" ht="11.25" customHeight="1" x14ac:dyDescent="0.2">
      <c r="A278" s="430" t="s">
        <v>171</v>
      </c>
      <c r="B278" s="431" t="s">
        <v>173</v>
      </c>
      <c r="C278" s="432"/>
      <c r="D278" s="432"/>
      <c r="E278" s="433"/>
      <c r="F278" s="434" t="s">
        <v>519</v>
      </c>
      <c r="G278" s="434" t="s">
        <v>520</v>
      </c>
      <c r="H278" s="434" t="s">
        <v>521</v>
      </c>
      <c r="I278" s="436" t="s">
        <v>522</v>
      </c>
      <c r="J278" s="437"/>
      <c r="K278" s="437"/>
      <c r="L278" s="438"/>
    </row>
    <row r="279" spans="1:12" ht="57.75" customHeight="1" thickBot="1" x14ac:dyDescent="0.25">
      <c r="A279" s="430"/>
      <c r="B279" s="26" t="s">
        <v>188</v>
      </c>
      <c r="C279" s="26" t="s">
        <v>189</v>
      </c>
      <c r="D279" s="26" t="s">
        <v>190</v>
      </c>
      <c r="E279" s="26" t="s">
        <v>191</v>
      </c>
      <c r="F279" s="435"/>
      <c r="G279" s="435"/>
      <c r="H279" s="435"/>
      <c r="I279" s="439"/>
      <c r="J279" s="440"/>
      <c r="K279" s="440"/>
      <c r="L279" s="441"/>
    </row>
    <row r="280" spans="1:12" s="27" customFormat="1" ht="53.25" customHeight="1" x14ac:dyDescent="0.2">
      <c r="A280" s="28">
        <v>1</v>
      </c>
      <c r="B280" s="86" t="s">
        <v>222</v>
      </c>
      <c r="C280" s="87" t="s">
        <v>701</v>
      </c>
      <c r="D280" s="87" t="s">
        <v>702</v>
      </c>
      <c r="E280" s="86" t="s">
        <v>369</v>
      </c>
      <c r="F280" s="31" t="s">
        <v>561</v>
      </c>
      <c r="G280" s="33" t="s">
        <v>16</v>
      </c>
      <c r="H280" s="33" t="str">
        <f>+IF(B280&lt;&gt;"",IF(OR(F280="Otro",G280="NO"),"NO","SI"),"")</f>
        <v>SI</v>
      </c>
      <c r="I280" s="424"/>
      <c r="J280" s="424"/>
      <c r="K280" s="424"/>
      <c r="L280" s="425"/>
    </row>
    <row r="281" spans="1:12" s="27" customFormat="1" ht="35.25" customHeight="1" x14ac:dyDescent="0.2">
      <c r="A281" s="38">
        <v>2</v>
      </c>
      <c r="B281" s="39" t="s">
        <v>222</v>
      </c>
      <c r="C281" s="46" t="s">
        <v>703</v>
      </c>
      <c r="D281" s="46" t="s">
        <v>704</v>
      </c>
      <c r="E281" s="39" t="s">
        <v>369</v>
      </c>
      <c r="F281" s="41" t="s">
        <v>561</v>
      </c>
      <c r="G281" s="43" t="s">
        <v>16</v>
      </c>
      <c r="H281" s="43" t="str">
        <f>+IF(B281&lt;&gt;"",IF(OR(F281="Otro",G281="NO"),"NO","SI"),"")</f>
        <v>SI</v>
      </c>
      <c r="I281" s="422"/>
      <c r="J281" s="422"/>
      <c r="K281" s="422"/>
      <c r="L281" s="423"/>
    </row>
    <row r="282" spans="1:12" s="27" customFormat="1" ht="50.25" customHeight="1" x14ac:dyDescent="0.2">
      <c r="A282" s="38">
        <v>3</v>
      </c>
      <c r="B282" s="39" t="s">
        <v>222</v>
      </c>
      <c r="C282" s="46" t="s">
        <v>705</v>
      </c>
      <c r="D282" s="46" t="s">
        <v>706</v>
      </c>
      <c r="E282" s="39" t="s">
        <v>369</v>
      </c>
      <c r="F282" s="41" t="s">
        <v>561</v>
      </c>
      <c r="G282" s="43" t="s">
        <v>16</v>
      </c>
      <c r="H282" s="43" t="str">
        <f>+IF(B282&lt;&gt;"",IF(OR(F282="Otro",G282="NO"),"NO","SI"),"")</f>
        <v>SI</v>
      </c>
      <c r="I282" s="422"/>
      <c r="J282" s="422"/>
      <c r="K282" s="422"/>
      <c r="L282" s="423"/>
    </row>
    <row r="283" spans="1:12" s="27" customFormat="1" ht="13.5" thickBot="1" x14ac:dyDescent="0.25">
      <c r="A283" s="47">
        <v>4</v>
      </c>
      <c r="B283" s="230"/>
      <c r="C283" s="231"/>
      <c r="D283" s="231"/>
      <c r="E283" s="230"/>
      <c r="F283" s="232"/>
      <c r="G283" s="233"/>
      <c r="H283" s="233" t="str">
        <f>+IF(B283&lt;&gt;"",IF(OR(F283="Otro",G283="NO"),"NO","SI"),"")</f>
        <v/>
      </c>
      <c r="I283" s="426"/>
      <c r="J283" s="426"/>
      <c r="K283" s="426"/>
      <c r="L283" s="427"/>
    </row>
    <row r="284" spans="1:12" ht="27" customHeight="1" x14ac:dyDescent="0.2">
      <c r="A284" s="197" t="str">
        <f>"D"&amp;A276</f>
        <v>D19</v>
      </c>
      <c r="B284" s="428" t="s">
        <v>538</v>
      </c>
      <c r="C284" s="429"/>
      <c r="D284" s="429"/>
      <c r="E284" s="429"/>
      <c r="F284" s="429"/>
      <c r="G284" s="429"/>
      <c r="H284" s="88" t="s">
        <v>16</v>
      </c>
      <c r="I284" s="424"/>
      <c r="J284" s="424"/>
      <c r="K284" s="424"/>
      <c r="L284" s="425"/>
    </row>
    <row r="285" spans="1:12" ht="27" customHeight="1" x14ac:dyDescent="0.2">
      <c r="A285" s="234"/>
      <c r="B285" s="420" t="s">
        <v>539</v>
      </c>
      <c r="C285" s="421"/>
      <c r="D285" s="421"/>
      <c r="E285" s="421"/>
      <c r="F285" s="421"/>
      <c r="G285" s="421"/>
      <c r="H285" s="239" t="s">
        <v>16</v>
      </c>
      <c r="I285" s="422"/>
      <c r="J285" s="422"/>
      <c r="K285" s="422"/>
      <c r="L285" s="423"/>
    </row>
    <row r="286" spans="1:12" ht="27" customHeight="1" x14ac:dyDescent="0.2">
      <c r="A286" s="197" t="str">
        <f>"F"&amp;A276</f>
        <v>F19</v>
      </c>
      <c r="B286" s="420" t="s">
        <v>540</v>
      </c>
      <c r="C286" s="421"/>
      <c r="D286" s="421"/>
      <c r="E286" s="421"/>
      <c r="F286" s="421"/>
      <c r="G286" s="421" t="s">
        <v>541</v>
      </c>
      <c r="H286" s="235" t="s">
        <v>211</v>
      </c>
      <c r="I286" s="422"/>
      <c r="J286" s="422"/>
      <c r="K286" s="422"/>
      <c r="L286" s="423"/>
    </row>
    <row r="287" spans="1:12" ht="27" customHeight="1" x14ac:dyDescent="0.2">
      <c r="A287" s="57"/>
      <c r="B287" s="420" t="s">
        <v>542</v>
      </c>
      <c r="C287" s="421"/>
      <c r="D287" s="421"/>
      <c r="E287" s="421"/>
      <c r="F287" s="421"/>
      <c r="G287" s="421" t="s">
        <v>543</v>
      </c>
      <c r="H287" s="236" t="str">
        <f>+IF(H276&lt;&gt;0,IF(L276&gt;=8,"SI","NO"),"")</f>
        <v>SI</v>
      </c>
      <c r="I287" s="422"/>
      <c r="J287" s="422"/>
      <c r="K287" s="422"/>
      <c r="L287" s="423"/>
    </row>
    <row r="288" spans="1:12" ht="27" customHeight="1" thickBot="1" x14ac:dyDescent="0.25">
      <c r="A288" s="57"/>
      <c r="B288" s="349" t="s">
        <v>544</v>
      </c>
      <c r="C288" s="350"/>
      <c r="D288" s="350"/>
      <c r="E288" s="350"/>
      <c r="F288" s="350"/>
      <c r="G288" s="350" t="s">
        <v>543</v>
      </c>
      <c r="H288" s="237" t="str">
        <f>+IF(H276&lt;&gt;0,IF(COUNTIF(H280:H283,"SI")&gt;=3,"SI","NO"),"")</f>
        <v>SI</v>
      </c>
      <c r="I288" s="416"/>
      <c r="J288" s="416"/>
      <c r="K288" s="416"/>
      <c r="L288" s="417"/>
    </row>
    <row r="289" spans="1:12" ht="16.5" customHeight="1" thickBot="1" x14ac:dyDescent="0.25">
      <c r="A289" s="197" t="str">
        <f>"E"&amp;A276</f>
        <v>E19</v>
      </c>
      <c r="D289" s="418" t="str">
        <f>+D274</f>
        <v>EL PROFESIONAL OFRECIDO POR EL PROPONENTE CUMPLE CON LOS REQUISITOS MÍNIMOS ESTABLECIDOS EN EL NUMERAL 4.1.2. (no se evalúa simultaneidad de procesos en esta celda)</v>
      </c>
      <c r="E289" s="419"/>
      <c r="F289" s="419"/>
      <c r="G289" s="419"/>
      <c r="H289" s="238" t="str">
        <f>IF(H276&lt;&gt;0,IF(AND(H285="SI",H287="SI",H288="SI"),"SI","NO"),"")</f>
        <v>SI</v>
      </c>
      <c r="J289" s="20"/>
      <c r="K289" s="20"/>
      <c r="L289" s="20"/>
    </row>
    <row r="290" spans="1:12" ht="12" thickBot="1" x14ac:dyDescent="0.25"/>
    <row r="291" spans="1:12" ht="45" x14ac:dyDescent="0.2">
      <c r="A291" s="442">
        <v>20</v>
      </c>
      <c r="B291" s="444" t="s">
        <v>913</v>
      </c>
      <c r="C291" s="444"/>
      <c r="D291" s="444"/>
      <c r="E291" s="444"/>
      <c r="F291" s="444"/>
      <c r="G291" s="446" t="s">
        <v>515</v>
      </c>
      <c r="H291" s="448" t="s">
        <v>952</v>
      </c>
      <c r="I291" s="225" t="s">
        <v>516</v>
      </c>
      <c r="J291" s="226" t="s">
        <v>517</v>
      </c>
      <c r="K291" s="450" t="s">
        <v>518</v>
      </c>
      <c r="L291" s="452">
        <f>+IF(J292&lt;&gt;0,ROUND(($E$4-J292)/360,0),"")</f>
        <v>43</v>
      </c>
    </row>
    <row r="292" spans="1:12" ht="15" thickBot="1" x14ac:dyDescent="0.25">
      <c r="A292" s="443"/>
      <c r="B292" s="445"/>
      <c r="C292" s="445"/>
      <c r="D292" s="445"/>
      <c r="E292" s="445"/>
      <c r="F292" s="445"/>
      <c r="G292" s="447"/>
      <c r="H292" s="449"/>
      <c r="I292" s="227">
        <v>6757420</v>
      </c>
      <c r="J292" s="228">
        <v>28549</v>
      </c>
      <c r="K292" s="451"/>
      <c r="L292" s="453"/>
    </row>
    <row r="293" spans="1:12" ht="11.25" customHeight="1" x14ac:dyDescent="0.2">
      <c r="A293" s="430" t="s">
        <v>171</v>
      </c>
      <c r="B293" s="431" t="s">
        <v>173</v>
      </c>
      <c r="C293" s="432"/>
      <c r="D293" s="432"/>
      <c r="E293" s="433"/>
      <c r="F293" s="434" t="s">
        <v>519</v>
      </c>
      <c r="G293" s="434" t="s">
        <v>520</v>
      </c>
      <c r="H293" s="434" t="s">
        <v>521</v>
      </c>
      <c r="I293" s="436" t="s">
        <v>522</v>
      </c>
      <c r="J293" s="437"/>
      <c r="K293" s="437"/>
      <c r="L293" s="438"/>
    </row>
    <row r="294" spans="1:12" ht="57.75" customHeight="1" thickBot="1" x14ac:dyDescent="0.25">
      <c r="A294" s="430"/>
      <c r="B294" s="26" t="s">
        <v>188</v>
      </c>
      <c r="C294" s="26" t="s">
        <v>189</v>
      </c>
      <c r="D294" s="26" t="s">
        <v>190</v>
      </c>
      <c r="E294" s="26" t="s">
        <v>191</v>
      </c>
      <c r="F294" s="435"/>
      <c r="G294" s="435"/>
      <c r="H294" s="435"/>
      <c r="I294" s="439"/>
      <c r="J294" s="440"/>
      <c r="K294" s="440"/>
      <c r="L294" s="441"/>
    </row>
    <row r="295" spans="1:12" s="27" customFormat="1" ht="38.25" x14ac:dyDescent="0.2">
      <c r="A295" s="28">
        <v>1</v>
      </c>
      <c r="B295" s="86" t="s">
        <v>305</v>
      </c>
      <c r="C295" s="87" t="s">
        <v>707</v>
      </c>
      <c r="D295" s="87" t="s">
        <v>708</v>
      </c>
      <c r="E295" s="86" t="s">
        <v>709</v>
      </c>
      <c r="F295" s="31" t="s">
        <v>527</v>
      </c>
      <c r="G295" s="33" t="s">
        <v>16</v>
      </c>
      <c r="H295" s="33" t="str">
        <f>+IF(B295&lt;&gt;"",IF(OR(F295="Otro",G295="NO"),"NO","SI"),"")</f>
        <v>SI</v>
      </c>
      <c r="I295" s="458"/>
      <c r="J295" s="458"/>
      <c r="K295" s="458"/>
      <c r="L295" s="459"/>
    </row>
    <row r="296" spans="1:12" s="27" customFormat="1" ht="38.25" x14ac:dyDescent="0.2">
      <c r="A296" s="38">
        <v>2</v>
      </c>
      <c r="B296" s="39" t="s">
        <v>305</v>
      </c>
      <c r="C296" s="46" t="s">
        <v>710</v>
      </c>
      <c r="D296" s="46" t="s">
        <v>711</v>
      </c>
      <c r="E296" s="39" t="s">
        <v>712</v>
      </c>
      <c r="F296" s="41" t="s">
        <v>527</v>
      </c>
      <c r="G296" s="43" t="s">
        <v>16</v>
      </c>
      <c r="H296" s="43" t="str">
        <f>+IF(B296&lt;&gt;"",IF(OR(F296="Otro",G296="NO"),"NO","SI"),"")</f>
        <v>SI</v>
      </c>
      <c r="I296" s="422"/>
      <c r="J296" s="422"/>
      <c r="K296" s="422"/>
      <c r="L296" s="423"/>
    </row>
    <row r="297" spans="1:12" s="27" customFormat="1" ht="63.75" x14ac:dyDescent="0.2">
      <c r="A297" s="38">
        <v>3</v>
      </c>
      <c r="B297" s="39" t="s">
        <v>288</v>
      </c>
      <c r="C297" s="46" t="s">
        <v>713</v>
      </c>
      <c r="D297" s="46" t="s">
        <v>714</v>
      </c>
      <c r="E297" s="39" t="s">
        <v>439</v>
      </c>
      <c r="F297" s="41" t="s">
        <v>527</v>
      </c>
      <c r="G297" s="43" t="s">
        <v>16</v>
      </c>
      <c r="H297" s="43" t="str">
        <f>+IF(B297&lt;&gt;"",IF(OR(F297="Otro",G297="NO"),"NO","SI"),"")</f>
        <v>SI</v>
      </c>
      <c r="I297" s="422"/>
      <c r="J297" s="422"/>
      <c r="K297" s="422"/>
      <c r="L297" s="423"/>
    </row>
    <row r="298" spans="1:12" s="27" customFormat="1" ht="13.5" thickBot="1" x14ac:dyDescent="0.25">
      <c r="A298" s="47">
        <v>4</v>
      </c>
      <c r="B298" s="48"/>
      <c r="C298" s="49"/>
      <c r="D298" s="49"/>
      <c r="E298" s="48"/>
      <c r="F298" s="51"/>
      <c r="G298" s="52"/>
      <c r="H298" s="52" t="str">
        <f>+IF(B298&lt;&gt;"",IF(OR(F298="Otro",G298="NO"),"NO","SI"),"")</f>
        <v/>
      </c>
      <c r="I298" s="416"/>
      <c r="J298" s="416"/>
      <c r="K298" s="416"/>
      <c r="L298" s="417"/>
    </row>
    <row r="299" spans="1:12" ht="27" customHeight="1" x14ac:dyDescent="0.2">
      <c r="A299" s="197" t="str">
        <f>"D"&amp;A291</f>
        <v>D20</v>
      </c>
      <c r="B299" s="428" t="s">
        <v>538</v>
      </c>
      <c r="C299" s="429"/>
      <c r="D299" s="429"/>
      <c r="E299" s="429"/>
      <c r="F299" s="429"/>
      <c r="G299" s="429"/>
      <c r="H299" s="88" t="s">
        <v>16</v>
      </c>
      <c r="I299" s="424"/>
      <c r="J299" s="424"/>
      <c r="K299" s="424"/>
      <c r="L299" s="425"/>
    </row>
    <row r="300" spans="1:12" ht="27" customHeight="1" x14ac:dyDescent="0.2">
      <c r="A300" s="234"/>
      <c r="B300" s="420" t="s">
        <v>539</v>
      </c>
      <c r="C300" s="421"/>
      <c r="D300" s="421"/>
      <c r="E300" s="421"/>
      <c r="F300" s="421"/>
      <c r="G300" s="421"/>
      <c r="H300" s="239" t="s">
        <v>16</v>
      </c>
      <c r="I300" s="422"/>
      <c r="J300" s="422"/>
      <c r="K300" s="422"/>
      <c r="L300" s="423"/>
    </row>
    <row r="301" spans="1:12" ht="27" customHeight="1" x14ac:dyDescent="0.2">
      <c r="A301" s="197" t="str">
        <f>"F"&amp;A291</f>
        <v>F20</v>
      </c>
      <c r="B301" s="420" t="s">
        <v>540</v>
      </c>
      <c r="C301" s="421"/>
      <c r="D301" s="421"/>
      <c r="E301" s="421"/>
      <c r="F301" s="421"/>
      <c r="G301" s="421" t="s">
        <v>541</v>
      </c>
      <c r="H301" s="235" t="s">
        <v>211</v>
      </c>
      <c r="I301" s="422"/>
      <c r="J301" s="422"/>
      <c r="K301" s="422"/>
      <c r="L301" s="423"/>
    </row>
    <row r="302" spans="1:12" ht="27" customHeight="1" x14ac:dyDescent="0.2">
      <c r="A302" s="57"/>
      <c r="B302" s="420" t="s">
        <v>542</v>
      </c>
      <c r="C302" s="421"/>
      <c r="D302" s="421"/>
      <c r="E302" s="421"/>
      <c r="F302" s="421"/>
      <c r="G302" s="421" t="s">
        <v>543</v>
      </c>
      <c r="H302" s="236" t="str">
        <f>+IF(H291&lt;&gt;0,IF(L291&gt;=8,"SI","NO"),"")</f>
        <v>SI</v>
      </c>
      <c r="I302" s="422"/>
      <c r="J302" s="422"/>
      <c r="K302" s="422"/>
      <c r="L302" s="423"/>
    </row>
    <row r="303" spans="1:12" ht="27" customHeight="1" thickBot="1" x14ac:dyDescent="0.25">
      <c r="A303" s="57"/>
      <c r="B303" s="349" t="s">
        <v>544</v>
      </c>
      <c r="C303" s="350"/>
      <c r="D303" s="350"/>
      <c r="E303" s="350"/>
      <c r="F303" s="350"/>
      <c r="G303" s="350" t="s">
        <v>543</v>
      </c>
      <c r="H303" s="237" t="str">
        <f>+IF(H291&lt;&gt;0,IF(COUNTIF(H295:H298,"SI")&gt;=3,"SI","NO"),"")</f>
        <v>SI</v>
      </c>
      <c r="I303" s="416"/>
      <c r="J303" s="416"/>
      <c r="K303" s="416"/>
      <c r="L303" s="417"/>
    </row>
    <row r="304" spans="1:12" ht="16.5" customHeight="1" thickBot="1" x14ac:dyDescent="0.25">
      <c r="A304" s="197" t="str">
        <f>"E"&amp;A291</f>
        <v>E20</v>
      </c>
      <c r="D304" s="418" t="str">
        <f>+D289</f>
        <v>EL PROFESIONAL OFRECIDO POR EL PROPONENTE CUMPLE CON LOS REQUISITOS MÍNIMOS ESTABLECIDOS EN EL NUMERAL 4.1.2. (no se evalúa simultaneidad de procesos en esta celda)</v>
      </c>
      <c r="E304" s="419"/>
      <c r="F304" s="419"/>
      <c r="G304" s="419"/>
      <c r="H304" s="238" t="str">
        <f>IF(H291&lt;&gt;0,IF(AND(H300="SI",H302="SI",H303="SI"),"SI","NO"),"")</f>
        <v>SI</v>
      </c>
      <c r="J304" s="20"/>
      <c r="K304" s="20"/>
      <c r="L304" s="20"/>
    </row>
    <row r="305" spans="1:12" ht="12" thickBot="1" x14ac:dyDescent="0.25"/>
    <row r="306" spans="1:12" ht="45" x14ac:dyDescent="0.2">
      <c r="A306" s="442">
        <v>21</v>
      </c>
      <c r="B306" s="444" t="s">
        <v>915</v>
      </c>
      <c r="C306" s="444"/>
      <c r="D306" s="444"/>
      <c r="E306" s="444"/>
      <c r="F306" s="444"/>
      <c r="G306" s="446" t="s">
        <v>515</v>
      </c>
      <c r="H306" s="448" t="s">
        <v>953</v>
      </c>
      <c r="I306" s="225" t="s">
        <v>516</v>
      </c>
      <c r="J306" s="226" t="s">
        <v>517</v>
      </c>
      <c r="K306" s="450" t="s">
        <v>518</v>
      </c>
      <c r="L306" s="452">
        <f>+IF(J307&lt;&gt;0,ROUND(($E$4-J307)/360,0),"")</f>
        <v>17</v>
      </c>
    </row>
    <row r="307" spans="1:12" ht="15" thickBot="1" x14ac:dyDescent="0.25">
      <c r="A307" s="443"/>
      <c r="B307" s="445"/>
      <c r="C307" s="445"/>
      <c r="D307" s="445"/>
      <c r="E307" s="445"/>
      <c r="F307" s="445"/>
      <c r="G307" s="447"/>
      <c r="H307" s="449"/>
      <c r="I307" s="227">
        <v>72007216</v>
      </c>
      <c r="J307" s="228">
        <v>37735</v>
      </c>
      <c r="K307" s="451"/>
      <c r="L307" s="453"/>
    </row>
    <row r="308" spans="1:12" ht="11.25" customHeight="1" x14ac:dyDescent="0.2">
      <c r="A308" s="430" t="s">
        <v>171</v>
      </c>
      <c r="B308" s="431" t="s">
        <v>173</v>
      </c>
      <c r="C308" s="432"/>
      <c r="D308" s="432"/>
      <c r="E308" s="433"/>
      <c r="F308" s="434" t="s">
        <v>519</v>
      </c>
      <c r="G308" s="434" t="s">
        <v>520</v>
      </c>
      <c r="H308" s="434" t="s">
        <v>521</v>
      </c>
      <c r="I308" s="436" t="s">
        <v>522</v>
      </c>
      <c r="J308" s="437"/>
      <c r="K308" s="437"/>
      <c r="L308" s="438"/>
    </row>
    <row r="309" spans="1:12" ht="57.75" customHeight="1" thickBot="1" x14ac:dyDescent="0.25">
      <c r="A309" s="430"/>
      <c r="B309" s="26" t="s">
        <v>188</v>
      </c>
      <c r="C309" s="26" t="s">
        <v>189</v>
      </c>
      <c r="D309" s="26" t="s">
        <v>190</v>
      </c>
      <c r="E309" s="26" t="s">
        <v>191</v>
      </c>
      <c r="F309" s="435"/>
      <c r="G309" s="435"/>
      <c r="H309" s="435"/>
      <c r="I309" s="439"/>
      <c r="J309" s="440"/>
      <c r="K309" s="440"/>
      <c r="L309" s="441"/>
    </row>
    <row r="310" spans="1:12" s="27" customFormat="1" ht="76.5" x14ac:dyDescent="0.2">
      <c r="A310" s="28">
        <v>1</v>
      </c>
      <c r="B310" s="86" t="s">
        <v>715</v>
      </c>
      <c r="C310" s="87" t="s">
        <v>716</v>
      </c>
      <c r="D310" s="87" t="s">
        <v>717</v>
      </c>
      <c r="E310" s="86" t="s">
        <v>718</v>
      </c>
      <c r="F310" s="31" t="s">
        <v>527</v>
      </c>
      <c r="G310" s="33" t="s">
        <v>211</v>
      </c>
      <c r="H310" s="33" t="str">
        <f>+IF(B310&lt;&gt;"",IF(OR(F310="Otro",G310="NO"),"NO","SI"),"")</f>
        <v>NO</v>
      </c>
      <c r="I310" s="473" t="s">
        <v>719</v>
      </c>
      <c r="J310" s="473"/>
      <c r="K310" s="473"/>
      <c r="L310" s="474"/>
    </row>
    <row r="311" spans="1:12" s="27" customFormat="1" ht="178.5" x14ac:dyDescent="0.2">
      <c r="A311" s="38">
        <v>2</v>
      </c>
      <c r="B311" s="39" t="s">
        <v>715</v>
      </c>
      <c r="C311" s="46" t="s">
        <v>720</v>
      </c>
      <c r="D311" s="46" t="s">
        <v>721</v>
      </c>
      <c r="E311" s="39" t="s">
        <v>722</v>
      </c>
      <c r="F311" s="41" t="s">
        <v>527</v>
      </c>
      <c r="G311" s="43" t="s">
        <v>16</v>
      </c>
      <c r="H311" s="43" t="str">
        <f>+IF(B311&lt;&gt;"",IF(OR(F311="Otro",G311="NO"),"NO","SI"),"")</f>
        <v>SI</v>
      </c>
      <c r="I311" s="422"/>
      <c r="J311" s="422"/>
      <c r="K311" s="422"/>
      <c r="L311" s="423"/>
    </row>
    <row r="312" spans="1:12" s="27" customFormat="1" ht="63.75" x14ac:dyDescent="0.2">
      <c r="A312" s="38">
        <v>3</v>
      </c>
      <c r="B312" s="39" t="s">
        <v>723</v>
      </c>
      <c r="C312" s="46" t="s">
        <v>241</v>
      </c>
      <c r="D312" s="46" t="s">
        <v>724</v>
      </c>
      <c r="E312" s="39" t="s">
        <v>725</v>
      </c>
      <c r="F312" s="41" t="s">
        <v>527</v>
      </c>
      <c r="G312" s="43" t="s">
        <v>16</v>
      </c>
      <c r="H312" s="43" t="str">
        <f>+IF(B312&lt;&gt;"",IF(OR(F312="Otro",G312="NO"),"NO","SI"),"")</f>
        <v>SI</v>
      </c>
      <c r="I312" s="422"/>
      <c r="J312" s="422"/>
      <c r="K312" s="422"/>
      <c r="L312" s="423"/>
    </row>
    <row r="313" spans="1:12" s="27" customFormat="1" ht="13.5" thickBot="1" x14ac:dyDescent="0.25">
      <c r="A313" s="47">
        <v>4</v>
      </c>
      <c r="B313" s="230"/>
      <c r="C313" s="231"/>
      <c r="D313" s="231"/>
      <c r="E313" s="230"/>
      <c r="F313" s="232"/>
      <c r="G313" s="233"/>
      <c r="H313" s="233" t="str">
        <f>+IF(B313&lt;&gt;"",IF(OR(F313="Otro",G313="NO"),"NO","SI"),"")</f>
        <v/>
      </c>
      <c r="I313" s="426"/>
      <c r="J313" s="426"/>
      <c r="K313" s="426"/>
      <c r="L313" s="427"/>
    </row>
    <row r="314" spans="1:12" ht="27" customHeight="1" x14ac:dyDescent="0.2">
      <c r="A314" s="197" t="str">
        <f>"D"&amp;A306</f>
        <v>D21</v>
      </c>
      <c r="B314" s="428" t="s">
        <v>538</v>
      </c>
      <c r="C314" s="429"/>
      <c r="D314" s="429"/>
      <c r="E314" s="429"/>
      <c r="F314" s="429"/>
      <c r="G314" s="429"/>
      <c r="H314" s="88" t="s">
        <v>16</v>
      </c>
      <c r="I314" s="424"/>
      <c r="J314" s="424"/>
      <c r="K314" s="424"/>
      <c r="L314" s="425"/>
    </row>
    <row r="315" spans="1:12" ht="27" customHeight="1" x14ac:dyDescent="0.2">
      <c r="A315" s="234"/>
      <c r="B315" s="420" t="s">
        <v>539</v>
      </c>
      <c r="C315" s="421"/>
      <c r="D315" s="421"/>
      <c r="E315" s="421"/>
      <c r="F315" s="421"/>
      <c r="G315" s="421"/>
      <c r="H315" s="239" t="s">
        <v>16</v>
      </c>
      <c r="I315" s="422"/>
      <c r="J315" s="422"/>
      <c r="K315" s="422"/>
      <c r="L315" s="423"/>
    </row>
    <row r="316" spans="1:12" ht="27" customHeight="1" x14ac:dyDescent="0.2">
      <c r="A316" s="197" t="str">
        <f>"F"&amp;A306</f>
        <v>F21</v>
      </c>
      <c r="B316" s="420" t="s">
        <v>540</v>
      </c>
      <c r="C316" s="421"/>
      <c r="D316" s="421"/>
      <c r="E316" s="421"/>
      <c r="F316" s="421"/>
      <c r="G316" s="421" t="s">
        <v>541</v>
      </c>
      <c r="H316" s="235" t="s">
        <v>211</v>
      </c>
      <c r="I316" s="422"/>
      <c r="J316" s="422"/>
      <c r="K316" s="422"/>
      <c r="L316" s="423"/>
    </row>
    <row r="317" spans="1:12" ht="27" customHeight="1" x14ac:dyDescent="0.2">
      <c r="A317" s="57"/>
      <c r="B317" s="420" t="s">
        <v>542</v>
      </c>
      <c r="C317" s="421"/>
      <c r="D317" s="421"/>
      <c r="E317" s="421"/>
      <c r="F317" s="421"/>
      <c r="G317" s="421" t="s">
        <v>543</v>
      </c>
      <c r="H317" s="236" t="str">
        <f>+IF(H306&lt;&gt;0,IF(L306&gt;=8,"SI","NO"),"")</f>
        <v>SI</v>
      </c>
      <c r="I317" s="422"/>
      <c r="J317" s="422"/>
      <c r="K317" s="422"/>
      <c r="L317" s="423"/>
    </row>
    <row r="318" spans="1:12" ht="27" customHeight="1" thickBot="1" x14ac:dyDescent="0.25">
      <c r="A318" s="57"/>
      <c r="B318" s="349" t="s">
        <v>544</v>
      </c>
      <c r="C318" s="350"/>
      <c r="D318" s="350"/>
      <c r="E318" s="350"/>
      <c r="F318" s="350"/>
      <c r="G318" s="350" t="s">
        <v>543</v>
      </c>
      <c r="H318" s="237" t="str">
        <f>+IF(H306&lt;&gt;0,IF(COUNTIF(H310:H313,"SI")&gt;=3,"SI","NO"),"")</f>
        <v>NO</v>
      </c>
      <c r="I318" s="416"/>
      <c r="J318" s="416"/>
      <c r="K318" s="416"/>
      <c r="L318" s="417"/>
    </row>
    <row r="319" spans="1:12" ht="16.5" customHeight="1" thickBot="1" x14ac:dyDescent="0.25">
      <c r="A319" s="197" t="str">
        <f>"E"&amp;A306</f>
        <v>E21</v>
      </c>
      <c r="D319" s="418" t="str">
        <f>+D304</f>
        <v>EL PROFESIONAL OFRECIDO POR EL PROPONENTE CUMPLE CON LOS REQUISITOS MÍNIMOS ESTABLECIDOS EN EL NUMERAL 4.1.2. (no se evalúa simultaneidad de procesos en esta celda)</v>
      </c>
      <c r="E319" s="419"/>
      <c r="F319" s="419"/>
      <c r="G319" s="419"/>
      <c r="H319" s="238" t="str">
        <f>IF(H306&lt;&gt;0,IF(AND(H315="SI",H317="SI",H318="SI"),"SI","NO"),"")</f>
        <v>NO</v>
      </c>
      <c r="J319" s="20"/>
      <c r="K319" s="20"/>
      <c r="L319" s="20"/>
    </row>
    <row r="320" spans="1:12" ht="12" thickBot="1" x14ac:dyDescent="0.25"/>
    <row r="321" spans="1:12" ht="45" x14ac:dyDescent="0.2">
      <c r="A321" s="442">
        <v>22</v>
      </c>
      <c r="B321" s="444" t="s">
        <v>917</v>
      </c>
      <c r="C321" s="444"/>
      <c r="D321" s="444"/>
      <c r="E321" s="444"/>
      <c r="F321" s="444"/>
      <c r="G321" s="446" t="s">
        <v>515</v>
      </c>
      <c r="H321" s="448" t="s">
        <v>729</v>
      </c>
      <c r="I321" s="225" t="s">
        <v>516</v>
      </c>
      <c r="J321" s="226" t="s">
        <v>517</v>
      </c>
      <c r="K321" s="450" t="s">
        <v>518</v>
      </c>
      <c r="L321" s="452">
        <f>+IF(J322&lt;&gt;0,ROUND(($E$4-J322)/360,0),"")</f>
        <v>29</v>
      </c>
    </row>
    <row r="322" spans="1:12" ht="15" thickBot="1" x14ac:dyDescent="0.25">
      <c r="A322" s="443"/>
      <c r="B322" s="445"/>
      <c r="C322" s="445"/>
      <c r="D322" s="445"/>
      <c r="E322" s="445"/>
      <c r="F322" s="445"/>
      <c r="G322" s="447"/>
      <c r="H322" s="449"/>
      <c r="I322" s="227">
        <v>7556478</v>
      </c>
      <c r="J322" s="228">
        <v>33689</v>
      </c>
      <c r="K322" s="451"/>
      <c r="L322" s="453"/>
    </row>
    <row r="323" spans="1:12" ht="11.25" customHeight="1" x14ac:dyDescent="0.2">
      <c r="A323" s="430" t="s">
        <v>171</v>
      </c>
      <c r="B323" s="431" t="s">
        <v>173</v>
      </c>
      <c r="C323" s="432"/>
      <c r="D323" s="432"/>
      <c r="E323" s="433"/>
      <c r="F323" s="434" t="s">
        <v>519</v>
      </c>
      <c r="G323" s="434" t="s">
        <v>520</v>
      </c>
      <c r="H323" s="434" t="s">
        <v>521</v>
      </c>
      <c r="I323" s="436" t="s">
        <v>522</v>
      </c>
      <c r="J323" s="437"/>
      <c r="K323" s="437"/>
      <c r="L323" s="438"/>
    </row>
    <row r="324" spans="1:12" ht="57.75" customHeight="1" thickBot="1" x14ac:dyDescent="0.25">
      <c r="A324" s="430"/>
      <c r="B324" s="26" t="s">
        <v>188</v>
      </c>
      <c r="C324" s="26" t="s">
        <v>189</v>
      </c>
      <c r="D324" s="26" t="s">
        <v>190</v>
      </c>
      <c r="E324" s="26" t="s">
        <v>191</v>
      </c>
      <c r="F324" s="435"/>
      <c r="G324" s="435"/>
      <c r="H324" s="435"/>
      <c r="I324" s="439"/>
      <c r="J324" s="440"/>
      <c r="K324" s="440"/>
      <c r="L324" s="441"/>
    </row>
    <row r="325" spans="1:12" s="27" customFormat="1" ht="63.75" x14ac:dyDescent="0.2">
      <c r="A325" s="241">
        <v>1</v>
      </c>
      <c r="B325" s="242" t="s">
        <v>726</v>
      </c>
      <c r="C325" s="243" t="s">
        <v>727</v>
      </c>
      <c r="D325" s="243" t="s">
        <v>728</v>
      </c>
      <c r="E325" s="242" t="s">
        <v>729</v>
      </c>
      <c r="F325" s="244" t="s">
        <v>527</v>
      </c>
      <c r="G325" s="245" t="s">
        <v>16</v>
      </c>
      <c r="H325" s="245" t="str">
        <f>+IF(B325&lt;&gt;"",IF(OR(F325="Otro",G325="NO"),"NO","SI"),"")</f>
        <v>SI</v>
      </c>
      <c r="I325" s="469"/>
      <c r="J325" s="469"/>
      <c r="K325" s="469"/>
      <c r="L325" s="470"/>
    </row>
    <row r="326" spans="1:12" s="27" customFormat="1" ht="51" x14ac:dyDescent="0.2">
      <c r="A326" s="246">
        <v>2</v>
      </c>
      <c r="B326" s="39" t="s">
        <v>730</v>
      </c>
      <c r="C326" s="46" t="s">
        <v>731</v>
      </c>
      <c r="D326" s="46" t="s">
        <v>732</v>
      </c>
      <c r="E326" s="39" t="s">
        <v>729</v>
      </c>
      <c r="F326" s="41" t="s">
        <v>527</v>
      </c>
      <c r="G326" s="43" t="s">
        <v>16</v>
      </c>
      <c r="H326" s="43" t="str">
        <f>+IF(B326&lt;&gt;"",IF(OR(F326="Otro",G326="NO"),"NO","SI"),"")</f>
        <v>SI</v>
      </c>
      <c r="I326" s="422"/>
      <c r="J326" s="422"/>
      <c r="K326" s="422"/>
      <c r="L326" s="471"/>
    </row>
    <row r="327" spans="1:12" s="27" customFormat="1" ht="76.5" x14ac:dyDescent="0.2">
      <c r="A327" s="246">
        <v>3</v>
      </c>
      <c r="B327" s="39" t="s">
        <v>733</v>
      </c>
      <c r="C327" s="46" t="s">
        <v>734</v>
      </c>
      <c r="D327" s="46" t="s">
        <v>735</v>
      </c>
      <c r="E327" s="39" t="s">
        <v>736</v>
      </c>
      <c r="F327" s="41" t="s">
        <v>561</v>
      </c>
      <c r="G327" s="43" t="s">
        <v>16</v>
      </c>
      <c r="H327" s="43" t="str">
        <f>+IF(B327&lt;&gt;"",IF(OR(F327="Otro",G327="NO"),"NO","SI"),"")</f>
        <v>SI</v>
      </c>
      <c r="I327" s="422"/>
      <c r="J327" s="422"/>
      <c r="K327" s="422"/>
      <c r="L327" s="471"/>
    </row>
    <row r="328" spans="1:12" s="27" customFormat="1" ht="13.5" thickBot="1" x14ac:dyDescent="0.25">
      <c r="A328" s="247">
        <v>4</v>
      </c>
      <c r="B328" s="248"/>
      <c r="C328" s="249"/>
      <c r="D328" s="249"/>
      <c r="E328" s="248"/>
      <c r="F328" s="250"/>
      <c r="G328" s="251"/>
      <c r="H328" s="251" t="str">
        <f>+IF(B328&lt;&gt;"",IF(OR(F328="Otro",G328="NO"),"NO","SI"),"")</f>
        <v/>
      </c>
      <c r="I328" s="467"/>
      <c r="J328" s="467"/>
      <c r="K328" s="467"/>
      <c r="L328" s="468"/>
    </row>
    <row r="329" spans="1:12" ht="27" customHeight="1" x14ac:dyDescent="0.2">
      <c r="A329" s="197" t="str">
        <f>"D"&amp;A321</f>
        <v>D22</v>
      </c>
      <c r="B329" s="428" t="s">
        <v>538</v>
      </c>
      <c r="C329" s="429"/>
      <c r="D329" s="429"/>
      <c r="E329" s="429"/>
      <c r="F329" s="429"/>
      <c r="G329" s="429"/>
      <c r="H329" s="240" t="s">
        <v>16</v>
      </c>
      <c r="I329" s="456"/>
      <c r="J329" s="456"/>
      <c r="K329" s="456"/>
      <c r="L329" s="457"/>
    </row>
    <row r="330" spans="1:12" ht="27" customHeight="1" x14ac:dyDescent="0.2">
      <c r="A330" s="234"/>
      <c r="B330" s="420" t="s">
        <v>539</v>
      </c>
      <c r="C330" s="421"/>
      <c r="D330" s="421"/>
      <c r="E330" s="421"/>
      <c r="F330" s="421"/>
      <c r="G330" s="421"/>
      <c r="H330" s="239" t="s">
        <v>16</v>
      </c>
      <c r="I330" s="422"/>
      <c r="J330" s="422"/>
      <c r="K330" s="422"/>
      <c r="L330" s="423"/>
    </row>
    <row r="331" spans="1:12" ht="27" customHeight="1" x14ac:dyDescent="0.2">
      <c r="A331" s="197" t="str">
        <f>"F"&amp;A321</f>
        <v>F22</v>
      </c>
      <c r="B331" s="420" t="s">
        <v>540</v>
      </c>
      <c r="C331" s="421"/>
      <c r="D331" s="421"/>
      <c r="E331" s="421"/>
      <c r="F331" s="421"/>
      <c r="G331" s="421" t="s">
        <v>541</v>
      </c>
      <c r="H331" s="235" t="s">
        <v>211</v>
      </c>
      <c r="I331" s="422"/>
      <c r="J331" s="422"/>
      <c r="K331" s="422"/>
      <c r="L331" s="423"/>
    </row>
    <row r="332" spans="1:12" ht="27" customHeight="1" x14ac:dyDescent="0.2">
      <c r="A332" s="57"/>
      <c r="B332" s="420" t="s">
        <v>542</v>
      </c>
      <c r="C332" s="421"/>
      <c r="D332" s="421"/>
      <c r="E332" s="421"/>
      <c r="F332" s="421"/>
      <c r="G332" s="421" t="s">
        <v>543</v>
      </c>
      <c r="H332" s="236" t="str">
        <f>+IF(H321&lt;&gt;0,IF(L321&gt;=8,"SI","NO"),"")</f>
        <v>SI</v>
      </c>
      <c r="I332" s="422"/>
      <c r="J332" s="422"/>
      <c r="K332" s="422"/>
      <c r="L332" s="423"/>
    </row>
    <row r="333" spans="1:12" ht="27" customHeight="1" thickBot="1" x14ac:dyDescent="0.25">
      <c r="A333" s="57"/>
      <c r="B333" s="349" t="s">
        <v>544</v>
      </c>
      <c r="C333" s="350"/>
      <c r="D333" s="350"/>
      <c r="E333" s="350"/>
      <c r="F333" s="350"/>
      <c r="G333" s="350" t="s">
        <v>543</v>
      </c>
      <c r="H333" s="237" t="str">
        <f>+IF(H321&lt;&gt;0,IF(COUNTIF(H325:H328,"SI")&gt;=3,"SI","NO"),"")</f>
        <v>SI</v>
      </c>
      <c r="I333" s="416"/>
      <c r="J333" s="416"/>
      <c r="K333" s="416"/>
      <c r="L333" s="417"/>
    </row>
    <row r="334" spans="1:12" ht="16.5" customHeight="1" thickBot="1" x14ac:dyDescent="0.25">
      <c r="A334" s="197" t="str">
        <f>"E"&amp;A321</f>
        <v>E22</v>
      </c>
      <c r="D334" s="418" t="str">
        <f>+D319</f>
        <v>EL PROFESIONAL OFRECIDO POR EL PROPONENTE CUMPLE CON LOS REQUISITOS MÍNIMOS ESTABLECIDOS EN EL NUMERAL 4.1.2. (no se evalúa simultaneidad de procesos en esta celda)</v>
      </c>
      <c r="E334" s="419"/>
      <c r="F334" s="419"/>
      <c r="G334" s="419"/>
      <c r="H334" s="238" t="str">
        <f>IF(H321&lt;&gt;0,IF(AND(H330="SI",H332="SI",H333="SI"),"SI","NO"),"")</f>
        <v>SI</v>
      </c>
      <c r="J334" s="20"/>
      <c r="K334" s="20"/>
      <c r="L334" s="20"/>
    </row>
    <row r="335" spans="1:12" ht="12" thickBot="1" x14ac:dyDescent="0.25"/>
    <row r="336" spans="1:12" ht="45" x14ac:dyDescent="0.2">
      <c r="A336" s="442">
        <v>23</v>
      </c>
      <c r="B336" s="444" t="s">
        <v>919</v>
      </c>
      <c r="C336" s="444"/>
      <c r="D336" s="444"/>
      <c r="E336" s="444"/>
      <c r="F336" s="444"/>
      <c r="G336" s="446" t="s">
        <v>515</v>
      </c>
      <c r="H336" s="448" t="s">
        <v>954</v>
      </c>
      <c r="I336" s="225" t="s">
        <v>516</v>
      </c>
      <c r="J336" s="226" t="s">
        <v>517</v>
      </c>
      <c r="K336" s="450" t="s">
        <v>518</v>
      </c>
      <c r="L336" s="452">
        <f>+IF(J337&lt;&gt;0,ROUND(($E$4-J337)/360,0),"")</f>
        <v>13</v>
      </c>
    </row>
    <row r="337" spans="1:12" ht="15" thickBot="1" x14ac:dyDescent="0.25">
      <c r="A337" s="443"/>
      <c r="B337" s="445"/>
      <c r="C337" s="445"/>
      <c r="D337" s="445"/>
      <c r="E337" s="445"/>
      <c r="F337" s="445"/>
      <c r="G337" s="447"/>
      <c r="H337" s="449"/>
      <c r="I337" s="227">
        <v>7316132</v>
      </c>
      <c r="J337" s="228">
        <v>39173</v>
      </c>
      <c r="K337" s="451"/>
      <c r="L337" s="453"/>
    </row>
    <row r="338" spans="1:12" ht="11.25" customHeight="1" x14ac:dyDescent="0.2">
      <c r="A338" s="430" t="s">
        <v>171</v>
      </c>
      <c r="B338" s="431" t="s">
        <v>173</v>
      </c>
      <c r="C338" s="432"/>
      <c r="D338" s="432"/>
      <c r="E338" s="433"/>
      <c r="F338" s="434" t="s">
        <v>519</v>
      </c>
      <c r="G338" s="434" t="s">
        <v>520</v>
      </c>
      <c r="H338" s="434" t="s">
        <v>521</v>
      </c>
      <c r="I338" s="436" t="s">
        <v>522</v>
      </c>
      <c r="J338" s="437"/>
      <c r="K338" s="437"/>
      <c r="L338" s="438"/>
    </row>
    <row r="339" spans="1:12" ht="57.75" customHeight="1" thickBot="1" x14ac:dyDescent="0.25">
      <c r="A339" s="430"/>
      <c r="B339" s="26" t="s">
        <v>188</v>
      </c>
      <c r="C339" s="26" t="s">
        <v>189</v>
      </c>
      <c r="D339" s="26" t="s">
        <v>190</v>
      </c>
      <c r="E339" s="26" t="s">
        <v>191</v>
      </c>
      <c r="F339" s="435"/>
      <c r="G339" s="435"/>
      <c r="H339" s="435"/>
      <c r="I339" s="439"/>
      <c r="J339" s="440"/>
      <c r="K339" s="440"/>
      <c r="L339" s="441"/>
    </row>
    <row r="340" spans="1:12" s="27" customFormat="1" ht="51" x14ac:dyDescent="0.2">
      <c r="A340" s="28">
        <v>1</v>
      </c>
      <c r="B340" s="86" t="s">
        <v>43</v>
      </c>
      <c r="C340" s="87" t="s">
        <v>737</v>
      </c>
      <c r="D340" s="87" t="s">
        <v>738</v>
      </c>
      <c r="E340" s="86" t="s">
        <v>739</v>
      </c>
      <c r="F340" s="31" t="s">
        <v>565</v>
      </c>
      <c r="G340" s="33" t="s">
        <v>16</v>
      </c>
      <c r="H340" s="33" t="str">
        <f>+IF(B340&lt;&gt;"",IF(OR(F340="Otro",G340="NO"),"NO","SI"),"")</f>
        <v>SI</v>
      </c>
      <c r="I340" s="458"/>
      <c r="J340" s="458"/>
      <c r="K340" s="458"/>
      <c r="L340" s="459"/>
    </row>
    <row r="341" spans="1:12" s="27" customFormat="1" ht="51" x14ac:dyDescent="0.2">
      <c r="A341" s="38">
        <v>2</v>
      </c>
      <c r="B341" s="39" t="s">
        <v>43</v>
      </c>
      <c r="C341" s="46" t="s">
        <v>740</v>
      </c>
      <c r="D341" s="46" t="s">
        <v>741</v>
      </c>
      <c r="E341" s="39" t="s">
        <v>742</v>
      </c>
      <c r="F341" s="41" t="s">
        <v>565</v>
      </c>
      <c r="G341" s="43" t="s">
        <v>16</v>
      </c>
      <c r="H341" s="43" t="str">
        <f>+IF(B341&lt;&gt;"",IF(OR(F341="Otro",G341="NO"),"NO","SI"),"")</f>
        <v>SI</v>
      </c>
      <c r="I341" s="422"/>
      <c r="J341" s="422"/>
      <c r="K341" s="422"/>
      <c r="L341" s="423"/>
    </row>
    <row r="342" spans="1:12" s="27" customFormat="1" ht="63.75" x14ac:dyDescent="0.2">
      <c r="A342" s="38">
        <v>3</v>
      </c>
      <c r="B342" s="39" t="s">
        <v>43</v>
      </c>
      <c r="C342" s="46" t="s">
        <v>743</v>
      </c>
      <c r="D342" s="46" t="s">
        <v>744</v>
      </c>
      <c r="E342" s="39" t="s">
        <v>399</v>
      </c>
      <c r="F342" s="41" t="s">
        <v>565</v>
      </c>
      <c r="G342" s="43" t="s">
        <v>16</v>
      </c>
      <c r="H342" s="43" t="str">
        <f>+IF(B342&lt;&gt;"",IF(OR(F342="Otro",G342="NO"),"NO","SI"),"")</f>
        <v>SI</v>
      </c>
      <c r="I342" s="460"/>
      <c r="J342" s="460"/>
      <c r="K342" s="460"/>
      <c r="L342" s="461"/>
    </row>
    <row r="343" spans="1:12" s="27" customFormat="1" ht="13.5" thickBot="1" x14ac:dyDescent="0.25">
      <c r="A343" s="47">
        <v>4</v>
      </c>
      <c r="B343" s="48"/>
      <c r="C343" s="49"/>
      <c r="D343" s="49"/>
      <c r="E343" s="48"/>
      <c r="F343" s="51"/>
      <c r="G343" s="52"/>
      <c r="H343" s="52" t="str">
        <f>+IF(B343&lt;&gt;"",IF(OR(F343="Otro",G343="NO"),"NO","SI"),"")</f>
        <v/>
      </c>
      <c r="I343" s="416"/>
      <c r="J343" s="416"/>
      <c r="K343" s="416"/>
      <c r="L343" s="417"/>
    </row>
    <row r="344" spans="1:12" ht="27" customHeight="1" x14ac:dyDescent="0.2">
      <c r="A344" s="197" t="str">
        <f>"D"&amp;A336</f>
        <v>D23</v>
      </c>
      <c r="B344" s="428" t="s">
        <v>538</v>
      </c>
      <c r="C344" s="429"/>
      <c r="D344" s="429"/>
      <c r="E344" s="429"/>
      <c r="F344" s="429"/>
      <c r="G344" s="429"/>
      <c r="H344" s="240" t="s">
        <v>16</v>
      </c>
      <c r="I344" s="456"/>
      <c r="J344" s="456"/>
      <c r="K344" s="456"/>
      <c r="L344" s="457"/>
    </row>
    <row r="345" spans="1:12" ht="27" customHeight="1" x14ac:dyDescent="0.2">
      <c r="A345" s="234"/>
      <c r="B345" s="420" t="s">
        <v>539</v>
      </c>
      <c r="C345" s="421"/>
      <c r="D345" s="421"/>
      <c r="E345" s="421"/>
      <c r="F345" s="421"/>
      <c r="G345" s="421"/>
      <c r="H345" s="239" t="s">
        <v>16</v>
      </c>
      <c r="I345" s="422"/>
      <c r="J345" s="422"/>
      <c r="K345" s="422"/>
      <c r="L345" s="423"/>
    </row>
    <row r="346" spans="1:12" ht="27" customHeight="1" x14ac:dyDescent="0.2">
      <c r="A346" s="197" t="str">
        <f>"F"&amp;A336</f>
        <v>F23</v>
      </c>
      <c r="B346" s="420" t="s">
        <v>540</v>
      </c>
      <c r="C346" s="421"/>
      <c r="D346" s="421"/>
      <c r="E346" s="421"/>
      <c r="F346" s="421"/>
      <c r="G346" s="421" t="s">
        <v>541</v>
      </c>
      <c r="H346" s="235" t="s">
        <v>211</v>
      </c>
      <c r="I346" s="422"/>
      <c r="J346" s="422"/>
      <c r="K346" s="422"/>
      <c r="L346" s="423"/>
    </row>
    <row r="347" spans="1:12" ht="27" customHeight="1" x14ac:dyDescent="0.2">
      <c r="A347" s="57"/>
      <c r="B347" s="420" t="s">
        <v>542</v>
      </c>
      <c r="C347" s="421"/>
      <c r="D347" s="421"/>
      <c r="E347" s="421"/>
      <c r="F347" s="421"/>
      <c r="G347" s="421" t="s">
        <v>543</v>
      </c>
      <c r="H347" s="236" t="str">
        <f>+IF(H336&lt;&gt;0,IF(L336&gt;=8,"SI","NO"),"")</f>
        <v>SI</v>
      </c>
      <c r="I347" s="422"/>
      <c r="J347" s="422"/>
      <c r="K347" s="422"/>
      <c r="L347" s="423"/>
    </row>
    <row r="348" spans="1:12" ht="27" customHeight="1" thickBot="1" x14ac:dyDescent="0.25">
      <c r="A348" s="57"/>
      <c r="B348" s="349" t="s">
        <v>544</v>
      </c>
      <c r="C348" s="350"/>
      <c r="D348" s="350"/>
      <c r="E348" s="350"/>
      <c r="F348" s="350"/>
      <c r="G348" s="350" t="s">
        <v>543</v>
      </c>
      <c r="H348" s="237" t="str">
        <f>+IF(H336&lt;&gt;0,IF(COUNTIF(H340:H343,"SI")&gt;=3,"SI","NO"),"")</f>
        <v>SI</v>
      </c>
      <c r="I348" s="416"/>
      <c r="J348" s="416"/>
      <c r="K348" s="416"/>
      <c r="L348" s="417"/>
    </row>
    <row r="349" spans="1:12" ht="16.5" customHeight="1" thickBot="1" x14ac:dyDescent="0.25">
      <c r="A349" s="197" t="str">
        <f>"E"&amp;A336</f>
        <v>E23</v>
      </c>
      <c r="D349" s="418" t="str">
        <f>+D334</f>
        <v>EL PROFESIONAL OFRECIDO POR EL PROPONENTE CUMPLE CON LOS REQUISITOS MÍNIMOS ESTABLECIDOS EN EL NUMERAL 4.1.2. (no se evalúa simultaneidad de procesos en esta celda)</v>
      </c>
      <c r="E349" s="419"/>
      <c r="F349" s="419"/>
      <c r="G349" s="419"/>
      <c r="H349" s="238" t="str">
        <f>IF(H336&lt;&gt;0,IF(AND(H345="SI",H347="SI",H348="SI"),"SI","NO"),"")</f>
        <v>SI</v>
      </c>
      <c r="J349" s="20"/>
      <c r="K349" s="20"/>
      <c r="L349" s="20"/>
    </row>
    <row r="350" spans="1:12" ht="12" thickBot="1" x14ac:dyDescent="0.25"/>
    <row r="351" spans="1:12" ht="45" x14ac:dyDescent="0.2">
      <c r="A351" s="442">
        <v>24</v>
      </c>
      <c r="B351" s="444" t="s">
        <v>120</v>
      </c>
      <c r="C351" s="444"/>
      <c r="D351" s="444"/>
      <c r="E351" s="444"/>
      <c r="F351" s="444"/>
      <c r="G351" s="446" t="s">
        <v>515</v>
      </c>
      <c r="H351" s="448" t="s">
        <v>955</v>
      </c>
      <c r="I351" s="225" t="s">
        <v>516</v>
      </c>
      <c r="J351" s="226" t="s">
        <v>517</v>
      </c>
      <c r="K351" s="450" t="s">
        <v>518</v>
      </c>
      <c r="L351" s="452">
        <f>+IF(J352&lt;&gt;0,ROUND(($E$4-J352)/360,0),"")</f>
        <v>28</v>
      </c>
    </row>
    <row r="352" spans="1:12" ht="15" thickBot="1" x14ac:dyDescent="0.25">
      <c r="A352" s="443"/>
      <c r="B352" s="445"/>
      <c r="C352" s="445"/>
      <c r="D352" s="445"/>
      <c r="E352" s="445"/>
      <c r="F352" s="445"/>
      <c r="G352" s="447"/>
      <c r="H352" s="449"/>
      <c r="I352" s="227">
        <v>79442657</v>
      </c>
      <c r="J352" s="228">
        <v>34046</v>
      </c>
      <c r="K352" s="451"/>
      <c r="L352" s="453"/>
    </row>
    <row r="353" spans="1:12" ht="11.25" customHeight="1" x14ac:dyDescent="0.2">
      <c r="A353" s="430" t="s">
        <v>171</v>
      </c>
      <c r="B353" s="431" t="s">
        <v>173</v>
      </c>
      <c r="C353" s="432"/>
      <c r="D353" s="432"/>
      <c r="E353" s="433"/>
      <c r="F353" s="434" t="s">
        <v>519</v>
      </c>
      <c r="G353" s="434" t="s">
        <v>520</v>
      </c>
      <c r="H353" s="434" t="s">
        <v>521</v>
      </c>
      <c r="I353" s="436" t="s">
        <v>522</v>
      </c>
      <c r="J353" s="437"/>
      <c r="K353" s="437"/>
      <c r="L353" s="438"/>
    </row>
    <row r="354" spans="1:12" ht="57.75" customHeight="1" thickBot="1" x14ac:dyDescent="0.25">
      <c r="A354" s="430"/>
      <c r="B354" s="26" t="s">
        <v>188</v>
      </c>
      <c r="C354" s="26" t="s">
        <v>189</v>
      </c>
      <c r="D354" s="26" t="s">
        <v>190</v>
      </c>
      <c r="E354" s="26" t="s">
        <v>191</v>
      </c>
      <c r="F354" s="435"/>
      <c r="G354" s="435"/>
      <c r="H354" s="435"/>
      <c r="I354" s="439"/>
      <c r="J354" s="440"/>
      <c r="K354" s="440"/>
      <c r="L354" s="441"/>
    </row>
    <row r="355" spans="1:12" s="27" customFormat="1" ht="89.25" x14ac:dyDescent="0.2">
      <c r="A355" s="28">
        <v>1</v>
      </c>
      <c r="B355" s="86" t="s">
        <v>108</v>
      </c>
      <c r="C355" s="87" t="s">
        <v>745</v>
      </c>
      <c r="D355" s="87" t="s">
        <v>746</v>
      </c>
      <c r="E355" s="86" t="s">
        <v>747</v>
      </c>
      <c r="F355" s="31" t="s">
        <v>527</v>
      </c>
      <c r="G355" s="33" t="s">
        <v>211</v>
      </c>
      <c r="H355" s="33" t="str">
        <f>+IF(B355&lt;&gt;"",IF(OR(F355="Otro",G355="NO"),"NO","SI"),"")</f>
        <v>NO</v>
      </c>
      <c r="I355" s="473" t="s">
        <v>748</v>
      </c>
      <c r="J355" s="473"/>
      <c r="K355" s="473"/>
      <c r="L355" s="474"/>
    </row>
    <row r="356" spans="1:12" s="27" customFormat="1" ht="76.5" customHeight="1" x14ac:dyDescent="0.2">
      <c r="A356" s="38">
        <v>2</v>
      </c>
      <c r="B356" s="39" t="s">
        <v>108</v>
      </c>
      <c r="C356" s="46" t="s">
        <v>749</v>
      </c>
      <c r="D356" s="46" t="s">
        <v>750</v>
      </c>
      <c r="E356" s="39" t="s">
        <v>747</v>
      </c>
      <c r="F356" s="41" t="s">
        <v>527</v>
      </c>
      <c r="G356" s="43" t="s">
        <v>211</v>
      </c>
      <c r="H356" s="43" t="str">
        <f>+IF(B356&lt;&gt;"",IF(OR(F356="Otro",G356="NO"),"NO","SI"),"")</f>
        <v>NO</v>
      </c>
      <c r="I356" s="475" t="s">
        <v>748</v>
      </c>
      <c r="J356" s="475"/>
      <c r="K356" s="475"/>
      <c r="L356" s="476"/>
    </row>
    <row r="357" spans="1:12" s="27" customFormat="1" ht="89.25" x14ac:dyDescent="0.2">
      <c r="A357" s="38">
        <v>3</v>
      </c>
      <c r="B357" s="39" t="s">
        <v>108</v>
      </c>
      <c r="C357" s="46" t="s">
        <v>751</v>
      </c>
      <c r="D357" s="46" t="s">
        <v>752</v>
      </c>
      <c r="E357" s="39" t="s">
        <v>747</v>
      </c>
      <c r="F357" s="41" t="s">
        <v>527</v>
      </c>
      <c r="G357" s="43" t="s">
        <v>211</v>
      </c>
      <c r="H357" s="43" t="str">
        <f>+IF(B357&lt;&gt;"",IF(OR(F357="Otro",G357="NO"),"NO","SI"),"")</f>
        <v>NO</v>
      </c>
      <c r="I357" s="475" t="s">
        <v>748</v>
      </c>
      <c r="J357" s="475"/>
      <c r="K357" s="475"/>
      <c r="L357" s="476"/>
    </row>
    <row r="358" spans="1:12" s="27" customFormat="1" ht="13.5" thickBot="1" x14ac:dyDescent="0.25">
      <c r="A358" s="47">
        <v>4</v>
      </c>
      <c r="B358" s="230"/>
      <c r="C358" s="231"/>
      <c r="D358" s="231"/>
      <c r="E358" s="230"/>
      <c r="F358" s="232"/>
      <c r="G358" s="233"/>
      <c r="H358" s="233" t="str">
        <f>+IF(B358&lt;&gt;"",IF(OR(F358="Otro",G358="NO"),"NO","SI"),"")</f>
        <v/>
      </c>
      <c r="I358" s="426"/>
      <c r="J358" s="426"/>
      <c r="K358" s="426"/>
      <c r="L358" s="427"/>
    </row>
    <row r="359" spans="1:12" ht="27" customHeight="1" x14ac:dyDescent="0.2">
      <c r="A359" s="197" t="str">
        <f>"D"&amp;A351</f>
        <v>D24</v>
      </c>
      <c r="B359" s="428" t="s">
        <v>538</v>
      </c>
      <c r="C359" s="429"/>
      <c r="D359" s="429"/>
      <c r="E359" s="429"/>
      <c r="F359" s="429"/>
      <c r="G359" s="429"/>
      <c r="H359" s="88" t="s">
        <v>16</v>
      </c>
      <c r="I359" s="424"/>
      <c r="J359" s="424"/>
      <c r="K359" s="424"/>
      <c r="L359" s="425"/>
    </row>
    <row r="360" spans="1:12" ht="27" customHeight="1" x14ac:dyDescent="0.2">
      <c r="A360" s="234"/>
      <c r="B360" s="420" t="s">
        <v>539</v>
      </c>
      <c r="C360" s="421"/>
      <c r="D360" s="421"/>
      <c r="E360" s="421"/>
      <c r="F360" s="421"/>
      <c r="G360" s="421"/>
      <c r="H360" s="239" t="s">
        <v>16</v>
      </c>
      <c r="I360" s="422"/>
      <c r="J360" s="422"/>
      <c r="K360" s="422"/>
      <c r="L360" s="423"/>
    </row>
    <row r="361" spans="1:12" ht="27" customHeight="1" x14ac:dyDescent="0.2">
      <c r="A361" s="197" t="str">
        <f>"F"&amp;A351</f>
        <v>F24</v>
      </c>
      <c r="B361" s="420" t="s">
        <v>540</v>
      </c>
      <c r="C361" s="421"/>
      <c r="D361" s="421"/>
      <c r="E361" s="421"/>
      <c r="F361" s="421"/>
      <c r="G361" s="421" t="s">
        <v>541</v>
      </c>
      <c r="H361" s="235" t="s">
        <v>211</v>
      </c>
      <c r="I361" s="422"/>
      <c r="J361" s="422"/>
      <c r="K361" s="422"/>
      <c r="L361" s="423"/>
    </row>
    <row r="362" spans="1:12" ht="27" customHeight="1" x14ac:dyDescent="0.2">
      <c r="A362" s="57"/>
      <c r="B362" s="420" t="s">
        <v>542</v>
      </c>
      <c r="C362" s="421"/>
      <c r="D362" s="421"/>
      <c r="E362" s="421"/>
      <c r="F362" s="421"/>
      <c r="G362" s="421" t="s">
        <v>543</v>
      </c>
      <c r="H362" s="236" t="str">
        <f>+IF(H351&lt;&gt;0,IF(L351&gt;=8,"SI","NO"),"")</f>
        <v>SI</v>
      </c>
      <c r="I362" s="422"/>
      <c r="J362" s="422"/>
      <c r="K362" s="422"/>
      <c r="L362" s="423"/>
    </row>
    <row r="363" spans="1:12" ht="27" customHeight="1" thickBot="1" x14ac:dyDescent="0.25">
      <c r="A363" s="57"/>
      <c r="B363" s="349" t="s">
        <v>544</v>
      </c>
      <c r="C363" s="350"/>
      <c r="D363" s="350"/>
      <c r="E363" s="350"/>
      <c r="F363" s="350"/>
      <c r="G363" s="350" t="s">
        <v>543</v>
      </c>
      <c r="H363" s="237" t="str">
        <f>+IF(H351&lt;&gt;0,IF(COUNTIF(H355:H358,"SI")&gt;=3,"SI","NO"),"")</f>
        <v>NO</v>
      </c>
      <c r="I363" s="416"/>
      <c r="J363" s="416"/>
      <c r="K363" s="416"/>
      <c r="L363" s="417"/>
    </row>
    <row r="364" spans="1:12" ht="16.5" customHeight="1" thickBot="1" x14ac:dyDescent="0.25">
      <c r="A364" s="197" t="str">
        <f>"E"&amp;A351</f>
        <v>E24</v>
      </c>
      <c r="D364" s="418" t="str">
        <f>+D349</f>
        <v>EL PROFESIONAL OFRECIDO POR EL PROPONENTE CUMPLE CON LOS REQUISITOS MÍNIMOS ESTABLECIDOS EN EL NUMERAL 4.1.2. (no se evalúa simultaneidad de procesos en esta celda)</v>
      </c>
      <c r="E364" s="419"/>
      <c r="F364" s="419"/>
      <c r="G364" s="419"/>
      <c r="H364" s="238" t="str">
        <f>IF(H351&lt;&gt;0,IF(AND(H360="SI",H362="SI",H363="SI"),"SI","NO"),"")</f>
        <v>NO</v>
      </c>
      <c r="J364" s="20"/>
      <c r="K364" s="20"/>
      <c r="L364" s="20"/>
    </row>
    <row r="365" spans="1:12" ht="12" thickBot="1" x14ac:dyDescent="0.25"/>
    <row r="366" spans="1:12" ht="45" x14ac:dyDescent="0.2">
      <c r="A366" s="442">
        <v>25</v>
      </c>
      <c r="B366" s="444" t="s">
        <v>125</v>
      </c>
      <c r="C366" s="444"/>
      <c r="D366" s="444"/>
      <c r="E366" s="444"/>
      <c r="F366" s="444"/>
      <c r="G366" s="446" t="s">
        <v>515</v>
      </c>
      <c r="H366" s="448" t="s">
        <v>956</v>
      </c>
      <c r="I366" s="225" t="s">
        <v>516</v>
      </c>
      <c r="J366" s="226" t="s">
        <v>517</v>
      </c>
      <c r="K366" s="450" t="s">
        <v>518</v>
      </c>
      <c r="L366" s="452">
        <f>+IF(J367&lt;&gt;0,ROUND(($E$4-J367)/360,0),"")</f>
        <v>16</v>
      </c>
    </row>
    <row r="367" spans="1:12" ht="15" thickBot="1" x14ac:dyDescent="0.25">
      <c r="A367" s="443"/>
      <c r="B367" s="445"/>
      <c r="C367" s="445"/>
      <c r="D367" s="445"/>
      <c r="E367" s="445"/>
      <c r="F367" s="445"/>
      <c r="G367" s="447"/>
      <c r="H367" s="449"/>
      <c r="I367" s="227">
        <v>10772157</v>
      </c>
      <c r="J367" s="228">
        <v>38218</v>
      </c>
      <c r="K367" s="451"/>
      <c r="L367" s="453"/>
    </row>
    <row r="368" spans="1:12" ht="11.25" customHeight="1" x14ac:dyDescent="0.2">
      <c r="A368" s="430" t="s">
        <v>171</v>
      </c>
      <c r="B368" s="431" t="s">
        <v>173</v>
      </c>
      <c r="C368" s="432"/>
      <c r="D368" s="432"/>
      <c r="E368" s="433"/>
      <c r="F368" s="434" t="s">
        <v>519</v>
      </c>
      <c r="G368" s="434" t="s">
        <v>520</v>
      </c>
      <c r="H368" s="434" t="s">
        <v>521</v>
      </c>
      <c r="I368" s="436" t="s">
        <v>522</v>
      </c>
      <c r="J368" s="437"/>
      <c r="K368" s="437"/>
      <c r="L368" s="438"/>
    </row>
    <row r="369" spans="1:12" ht="57.75" customHeight="1" thickBot="1" x14ac:dyDescent="0.25">
      <c r="A369" s="430"/>
      <c r="B369" s="26" t="s">
        <v>188</v>
      </c>
      <c r="C369" s="26" t="s">
        <v>189</v>
      </c>
      <c r="D369" s="26" t="s">
        <v>190</v>
      </c>
      <c r="E369" s="26" t="s">
        <v>191</v>
      </c>
      <c r="F369" s="435"/>
      <c r="G369" s="435"/>
      <c r="H369" s="435"/>
      <c r="I369" s="439"/>
      <c r="J369" s="440"/>
      <c r="K369" s="440"/>
      <c r="L369" s="441"/>
    </row>
    <row r="370" spans="1:12" s="27" customFormat="1" ht="60" customHeight="1" x14ac:dyDescent="0.2">
      <c r="A370" s="28">
        <v>1</v>
      </c>
      <c r="B370" s="86" t="s">
        <v>753</v>
      </c>
      <c r="C370" s="87" t="s">
        <v>754</v>
      </c>
      <c r="D370" s="87" t="s">
        <v>755</v>
      </c>
      <c r="E370" s="86" t="s">
        <v>756</v>
      </c>
      <c r="F370" s="31" t="s">
        <v>561</v>
      </c>
      <c r="G370" s="33" t="s">
        <v>16</v>
      </c>
      <c r="H370" s="33" t="str">
        <f>+IF(B370&lt;&gt;"",IF(OR(F370="Otro",G370="NO"),"NO","SI"),"")</f>
        <v>SI</v>
      </c>
      <c r="I370" s="424"/>
      <c r="J370" s="424"/>
      <c r="K370" s="424"/>
      <c r="L370" s="425"/>
    </row>
    <row r="371" spans="1:12" s="27" customFormat="1" ht="66.75" customHeight="1" x14ac:dyDescent="0.2">
      <c r="A371" s="38">
        <v>2</v>
      </c>
      <c r="B371" s="39" t="s">
        <v>757</v>
      </c>
      <c r="C371" s="46" t="s">
        <v>758</v>
      </c>
      <c r="D371" s="46" t="s">
        <v>759</v>
      </c>
      <c r="E371" s="39" t="s">
        <v>760</v>
      </c>
      <c r="F371" s="41" t="s">
        <v>527</v>
      </c>
      <c r="G371" s="43" t="s">
        <v>211</v>
      </c>
      <c r="H371" s="43" t="str">
        <f>+IF(B371&lt;&gt;"",IF(OR(F371="Otro",G371="NO"),"NO","SI"),"")</f>
        <v>NO</v>
      </c>
      <c r="I371" s="475" t="s">
        <v>761</v>
      </c>
      <c r="J371" s="475"/>
      <c r="K371" s="475"/>
      <c r="L371" s="476"/>
    </row>
    <row r="372" spans="1:12" s="27" customFormat="1" ht="66.75" customHeight="1" x14ac:dyDescent="0.2">
      <c r="A372" s="38">
        <v>3</v>
      </c>
      <c r="B372" s="39" t="s">
        <v>762</v>
      </c>
      <c r="C372" s="46" t="s">
        <v>763</v>
      </c>
      <c r="D372" s="46" t="s">
        <v>764</v>
      </c>
      <c r="E372" s="39" t="s">
        <v>765</v>
      </c>
      <c r="F372" s="41" t="s">
        <v>527</v>
      </c>
      <c r="G372" s="43" t="s">
        <v>211</v>
      </c>
      <c r="H372" s="43" t="str">
        <f>+IF(B372&lt;&gt;"",IF(OR(F372="Otro",G372="NO"),"NO","SI"),"")</f>
        <v>NO</v>
      </c>
      <c r="I372" s="475" t="s">
        <v>761</v>
      </c>
      <c r="J372" s="475"/>
      <c r="K372" s="475"/>
      <c r="L372" s="476"/>
    </row>
    <row r="373" spans="1:12" s="27" customFormat="1" ht="13.5" thickBot="1" x14ac:dyDescent="0.25">
      <c r="A373" s="47">
        <v>4</v>
      </c>
      <c r="B373" s="230"/>
      <c r="C373" s="231"/>
      <c r="D373" s="231"/>
      <c r="E373" s="230"/>
      <c r="F373" s="232"/>
      <c r="G373" s="233"/>
      <c r="H373" s="233" t="str">
        <f>+IF(B373&lt;&gt;"",IF(OR(F373="Otro",G373="NO"),"NO","SI"),"")</f>
        <v/>
      </c>
      <c r="I373" s="426"/>
      <c r="J373" s="426"/>
      <c r="K373" s="426"/>
      <c r="L373" s="427"/>
    </row>
    <row r="374" spans="1:12" ht="27" customHeight="1" x14ac:dyDescent="0.2">
      <c r="A374" s="197" t="str">
        <f>"D"&amp;A366</f>
        <v>D25</v>
      </c>
      <c r="B374" s="428" t="s">
        <v>538</v>
      </c>
      <c r="C374" s="429"/>
      <c r="D374" s="429"/>
      <c r="E374" s="429"/>
      <c r="F374" s="429"/>
      <c r="G374" s="429"/>
      <c r="H374" s="88" t="s">
        <v>16</v>
      </c>
      <c r="I374" s="424"/>
      <c r="J374" s="424"/>
      <c r="K374" s="424"/>
      <c r="L374" s="425"/>
    </row>
    <row r="375" spans="1:12" ht="27" customHeight="1" x14ac:dyDescent="0.2">
      <c r="A375" s="234"/>
      <c r="B375" s="420" t="s">
        <v>539</v>
      </c>
      <c r="C375" s="421"/>
      <c r="D375" s="421"/>
      <c r="E375" s="421"/>
      <c r="F375" s="421"/>
      <c r="G375" s="421"/>
      <c r="H375" s="239" t="s">
        <v>16</v>
      </c>
      <c r="I375" s="422"/>
      <c r="J375" s="422"/>
      <c r="K375" s="422"/>
      <c r="L375" s="423"/>
    </row>
    <row r="376" spans="1:12" ht="27" customHeight="1" x14ac:dyDescent="0.2">
      <c r="A376" s="197" t="str">
        <f>"F"&amp;A366</f>
        <v>F25</v>
      </c>
      <c r="B376" s="420" t="s">
        <v>540</v>
      </c>
      <c r="C376" s="421"/>
      <c r="D376" s="421"/>
      <c r="E376" s="421"/>
      <c r="F376" s="421"/>
      <c r="G376" s="421" t="s">
        <v>541</v>
      </c>
      <c r="H376" s="235" t="s">
        <v>211</v>
      </c>
      <c r="I376" s="422"/>
      <c r="J376" s="422"/>
      <c r="K376" s="422"/>
      <c r="L376" s="423"/>
    </row>
    <row r="377" spans="1:12" ht="27" customHeight="1" x14ac:dyDescent="0.2">
      <c r="A377" s="57"/>
      <c r="B377" s="420" t="s">
        <v>542</v>
      </c>
      <c r="C377" s="421"/>
      <c r="D377" s="421"/>
      <c r="E377" s="421"/>
      <c r="F377" s="421"/>
      <c r="G377" s="421" t="s">
        <v>543</v>
      </c>
      <c r="H377" s="236" t="str">
        <f>+IF(H366&lt;&gt;0,IF(L366&gt;=8,"SI","NO"),"")</f>
        <v>SI</v>
      </c>
      <c r="I377" s="422"/>
      <c r="J377" s="422"/>
      <c r="K377" s="422"/>
      <c r="L377" s="423"/>
    </row>
    <row r="378" spans="1:12" ht="27" customHeight="1" thickBot="1" x14ac:dyDescent="0.25">
      <c r="A378" s="57"/>
      <c r="B378" s="349" t="s">
        <v>544</v>
      </c>
      <c r="C378" s="350"/>
      <c r="D378" s="350"/>
      <c r="E378" s="350"/>
      <c r="F378" s="350"/>
      <c r="G378" s="350" t="s">
        <v>543</v>
      </c>
      <c r="H378" s="237" t="str">
        <f>+IF(H366&lt;&gt;0,IF(COUNTIF(H370:H373,"SI")&gt;=3,"SI","NO"),"")</f>
        <v>NO</v>
      </c>
      <c r="I378" s="416"/>
      <c r="J378" s="416"/>
      <c r="K378" s="416"/>
      <c r="L378" s="417"/>
    </row>
    <row r="379" spans="1:12" ht="16.5" customHeight="1" thickBot="1" x14ac:dyDescent="0.25">
      <c r="A379" s="197" t="str">
        <f>"E"&amp;A366</f>
        <v>E25</v>
      </c>
      <c r="D379" s="418" t="str">
        <f>+D364</f>
        <v>EL PROFESIONAL OFRECIDO POR EL PROPONENTE CUMPLE CON LOS REQUISITOS MÍNIMOS ESTABLECIDOS EN EL NUMERAL 4.1.2. (no se evalúa simultaneidad de procesos en esta celda)</v>
      </c>
      <c r="E379" s="419"/>
      <c r="F379" s="419"/>
      <c r="G379" s="419"/>
      <c r="H379" s="238" t="str">
        <f>IF(H366&lt;&gt;0,IF(AND(H375="SI",H377="SI",H378="SI"),"SI","NO"),"")</f>
        <v>NO</v>
      </c>
      <c r="J379" s="20"/>
      <c r="K379" s="20"/>
      <c r="L379" s="20"/>
    </row>
    <row r="380" spans="1:12" ht="12" thickBot="1" x14ac:dyDescent="0.25"/>
    <row r="381" spans="1:12" ht="45" x14ac:dyDescent="0.2">
      <c r="A381" s="442">
        <v>26</v>
      </c>
      <c r="B381" s="444" t="s">
        <v>921</v>
      </c>
      <c r="C381" s="444"/>
      <c r="D381" s="444"/>
      <c r="E381" s="444"/>
      <c r="F381" s="444"/>
      <c r="G381" s="446" t="s">
        <v>515</v>
      </c>
      <c r="H381" s="448" t="s">
        <v>957</v>
      </c>
      <c r="I381" s="225" t="s">
        <v>516</v>
      </c>
      <c r="J381" s="226" t="s">
        <v>517</v>
      </c>
      <c r="K381" s="450" t="s">
        <v>518</v>
      </c>
      <c r="L381" s="452">
        <f>+IF(J382&lt;&gt;0,ROUND(($E$4-J382)/360,0),"")</f>
        <v>25</v>
      </c>
    </row>
    <row r="382" spans="1:12" ht="15" thickBot="1" x14ac:dyDescent="0.25">
      <c r="A382" s="443"/>
      <c r="B382" s="445"/>
      <c r="C382" s="445"/>
      <c r="D382" s="445"/>
      <c r="E382" s="445"/>
      <c r="F382" s="445"/>
      <c r="G382" s="447"/>
      <c r="H382" s="449"/>
      <c r="I382" s="227">
        <v>17646378</v>
      </c>
      <c r="J382" s="228">
        <v>35040</v>
      </c>
      <c r="K382" s="451"/>
      <c r="L382" s="453"/>
    </row>
    <row r="383" spans="1:12" ht="11.25" customHeight="1" x14ac:dyDescent="0.2">
      <c r="A383" s="430" t="s">
        <v>171</v>
      </c>
      <c r="B383" s="431" t="s">
        <v>173</v>
      </c>
      <c r="C383" s="432"/>
      <c r="D383" s="432"/>
      <c r="E383" s="433"/>
      <c r="F383" s="434" t="s">
        <v>519</v>
      </c>
      <c r="G383" s="434" t="s">
        <v>520</v>
      </c>
      <c r="H383" s="434" t="s">
        <v>521</v>
      </c>
      <c r="I383" s="436" t="s">
        <v>522</v>
      </c>
      <c r="J383" s="437"/>
      <c r="K383" s="437"/>
      <c r="L383" s="438"/>
    </row>
    <row r="384" spans="1:12" ht="57.75" customHeight="1" thickBot="1" x14ac:dyDescent="0.25">
      <c r="A384" s="430"/>
      <c r="B384" s="26" t="s">
        <v>188</v>
      </c>
      <c r="C384" s="26" t="s">
        <v>189</v>
      </c>
      <c r="D384" s="26" t="s">
        <v>190</v>
      </c>
      <c r="E384" s="26" t="s">
        <v>191</v>
      </c>
      <c r="F384" s="435"/>
      <c r="G384" s="435"/>
      <c r="H384" s="435"/>
      <c r="I384" s="439"/>
      <c r="J384" s="440"/>
      <c r="K384" s="440"/>
      <c r="L384" s="441"/>
    </row>
    <row r="385" spans="1:13" s="27" customFormat="1" ht="72.75" customHeight="1" x14ac:dyDescent="0.2">
      <c r="A385" s="28">
        <v>1</v>
      </c>
      <c r="B385" s="86" t="s">
        <v>766</v>
      </c>
      <c r="C385" s="87" t="s">
        <v>767</v>
      </c>
      <c r="D385" s="87" t="s">
        <v>768</v>
      </c>
      <c r="E385" s="86" t="s">
        <v>769</v>
      </c>
      <c r="F385" s="31" t="s">
        <v>561</v>
      </c>
      <c r="G385" s="33" t="s">
        <v>211</v>
      </c>
      <c r="H385" s="33" t="str">
        <f>+IF(B385&lt;&gt;"",IF(OR(F385="Otro",G385="NO"),"NO","SI"),"")</f>
        <v>NO</v>
      </c>
      <c r="I385" s="473" t="s">
        <v>770</v>
      </c>
      <c r="J385" s="473"/>
      <c r="K385" s="473"/>
      <c r="L385" s="474"/>
      <c r="M385" s="205"/>
    </row>
    <row r="386" spans="1:13" s="27" customFormat="1" ht="72" customHeight="1" x14ac:dyDescent="0.2">
      <c r="A386" s="38">
        <v>2</v>
      </c>
      <c r="B386" s="39" t="s">
        <v>493</v>
      </c>
      <c r="C386" s="46" t="s">
        <v>771</v>
      </c>
      <c r="D386" s="46" t="s">
        <v>772</v>
      </c>
      <c r="E386" s="39" t="s">
        <v>773</v>
      </c>
      <c r="F386" s="41" t="s">
        <v>561</v>
      </c>
      <c r="G386" s="43" t="s">
        <v>211</v>
      </c>
      <c r="H386" s="43" t="str">
        <f>+IF(B386&lt;&gt;"",IF(OR(F386="Otro",G386="NO"),"NO","SI"),"")</f>
        <v>NO</v>
      </c>
      <c r="I386" s="475" t="s">
        <v>774</v>
      </c>
      <c r="J386" s="475"/>
      <c r="K386" s="475"/>
      <c r="L386" s="476"/>
      <c r="M386" s="205"/>
    </row>
    <row r="387" spans="1:13" s="27" customFormat="1" ht="76.5" customHeight="1" x14ac:dyDescent="0.2">
      <c r="A387" s="38">
        <v>3</v>
      </c>
      <c r="B387" s="39" t="s">
        <v>43</v>
      </c>
      <c r="C387" s="46" t="s">
        <v>775</v>
      </c>
      <c r="D387" s="46" t="s">
        <v>776</v>
      </c>
      <c r="E387" s="39" t="s">
        <v>777</v>
      </c>
      <c r="F387" s="41" t="s">
        <v>565</v>
      </c>
      <c r="G387" s="43" t="s">
        <v>211</v>
      </c>
      <c r="H387" s="43" t="str">
        <f>+IF(B387&lt;&gt;"",IF(OR(F387="Otro",G387="NO"),"NO","SI"),"")</f>
        <v>NO</v>
      </c>
      <c r="I387" s="475" t="s">
        <v>774</v>
      </c>
      <c r="J387" s="475"/>
      <c r="K387" s="475"/>
      <c r="L387" s="476"/>
      <c r="M387" s="205"/>
    </row>
    <row r="388" spans="1:13" s="27" customFormat="1" ht="13.5" thickBot="1" x14ac:dyDescent="0.25">
      <c r="A388" s="47">
        <v>4</v>
      </c>
      <c r="B388" s="230"/>
      <c r="C388" s="231"/>
      <c r="D388" s="231"/>
      <c r="E388" s="230"/>
      <c r="F388" s="232"/>
      <c r="G388" s="233"/>
      <c r="H388" s="233" t="str">
        <f>+IF(B388&lt;&gt;"",IF(OR(F388="Otro",G388="NO"),"NO","SI"),"")</f>
        <v/>
      </c>
      <c r="I388" s="426"/>
      <c r="J388" s="426"/>
      <c r="K388" s="426"/>
      <c r="L388" s="427"/>
    </row>
    <row r="389" spans="1:13" ht="27" customHeight="1" x14ac:dyDescent="0.2">
      <c r="A389" s="197" t="str">
        <f>"D"&amp;A381</f>
        <v>D26</v>
      </c>
      <c r="B389" s="428" t="s">
        <v>538</v>
      </c>
      <c r="C389" s="429"/>
      <c r="D389" s="429"/>
      <c r="E389" s="429"/>
      <c r="F389" s="429"/>
      <c r="G389" s="429"/>
      <c r="H389" s="88" t="s">
        <v>16</v>
      </c>
      <c r="I389" s="424"/>
      <c r="J389" s="424"/>
      <c r="K389" s="424"/>
      <c r="L389" s="425"/>
    </row>
    <row r="390" spans="1:13" ht="27" customHeight="1" x14ac:dyDescent="0.2">
      <c r="A390" s="234"/>
      <c r="B390" s="420" t="s">
        <v>539</v>
      </c>
      <c r="C390" s="421"/>
      <c r="D390" s="421"/>
      <c r="E390" s="421"/>
      <c r="F390" s="421"/>
      <c r="G390" s="421"/>
      <c r="H390" s="239" t="s">
        <v>16</v>
      </c>
      <c r="I390" s="422"/>
      <c r="J390" s="422"/>
      <c r="K390" s="422"/>
      <c r="L390" s="423"/>
    </row>
    <row r="391" spans="1:13" ht="27" customHeight="1" x14ac:dyDescent="0.2">
      <c r="A391" s="197" t="str">
        <f>"F"&amp;A381</f>
        <v>F26</v>
      </c>
      <c r="B391" s="420" t="s">
        <v>540</v>
      </c>
      <c r="C391" s="421"/>
      <c r="D391" s="421"/>
      <c r="E391" s="421"/>
      <c r="F391" s="421"/>
      <c r="G391" s="421" t="s">
        <v>541</v>
      </c>
      <c r="H391" s="235" t="s">
        <v>211</v>
      </c>
      <c r="I391" s="422"/>
      <c r="J391" s="422"/>
      <c r="K391" s="422"/>
      <c r="L391" s="423"/>
    </row>
    <row r="392" spans="1:13" ht="27" customHeight="1" x14ac:dyDescent="0.2">
      <c r="A392" s="57"/>
      <c r="B392" s="420" t="s">
        <v>542</v>
      </c>
      <c r="C392" s="421"/>
      <c r="D392" s="421"/>
      <c r="E392" s="421"/>
      <c r="F392" s="421"/>
      <c r="G392" s="421" t="s">
        <v>543</v>
      </c>
      <c r="H392" s="236" t="str">
        <f>+IF(H381&lt;&gt;0,IF(L381&gt;=8,"SI","NO"),"")</f>
        <v>SI</v>
      </c>
      <c r="I392" s="422"/>
      <c r="J392" s="422"/>
      <c r="K392" s="422"/>
      <c r="L392" s="423"/>
    </row>
    <row r="393" spans="1:13" ht="27" customHeight="1" thickBot="1" x14ac:dyDescent="0.25">
      <c r="A393" s="57"/>
      <c r="B393" s="349" t="s">
        <v>544</v>
      </c>
      <c r="C393" s="350"/>
      <c r="D393" s="350"/>
      <c r="E393" s="350"/>
      <c r="F393" s="350"/>
      <c r="G393" s="350" t="s">
        <v>543</v>
      </c>
      <c r="H393" s="237" t="str">
        <f>+IF(H381&lt;&gt;0,IF(COUNTIF(H385:H388,"SI")&gt;=3,"SI","NO"),"")</f>
        <v>NO</v>
      </c>
      <c r="I393" s="416"/>
      <c r="J393" s="416"/>
      <c r="K393" s="416"/>
      <c r="L393" s="417"/>
    </row>
    <row r="394" spans="1:13" ht="16.5" customHeight="1" thickBot="1" x14ac:dyDescent="0.25">
      <c r="A394" s="197" t="str">
        <f>"E"&amp;A381</f>
        <v>E26</v>
      </c>
      <c r="D394" s="418" t="str">
        <f>+D379</f>
        <v>EL PROFESIONAL OFRECIDO POR EL PROPONENTE CUMPLE CON LOS REQUISITOS MÍNIMOS ESTABLECIDOS EN EL NUMERAL 4.1.2. (no se evalúa simultaneidad de procesos en esta celda)</v>
      </c>
      <c r="E394" s="419"/>
      <c r="F394" s="419"/>
      <c r="G394" s="419"/>
      <c r="H394" s="238" t="str">
        <f>IF(H381&lt;&gt;0,IF(AND(H390="SI",H392="SI",H393="SI"),"SI","NO"),"")</f>
        <v>NO</v>
      </c>
      <c r="J394" s="20"/>
      <c r="K394" s="20"/>
      <c r="L394" s="20"/>
    </row>
    <row r="395" spans="1:13" ht="12" thickBot="1" x14ac:dyDescent="0.25"/>
    <row r="396" spans="1:13" ht="45" x14ac:dyDescent="0.2">
      <c r="A396" s="442">
        <v>27</v>
      </c>
      <c r="B396" s="444" t="s">
        <v>134</v>
      </c>
      <c r="C396" s="444"/>
      <c r="D396" s="444"/>
      <c r="E396" s="444"/>
      <c r="F396" s="444"/>
      <c r="G396" s="446" t="s">
        <v>515</v>
      </c>
      <c r="H396" s="448" t="s">
        <v>958</v>
      </c>
      <c r="I396" s="225" t="s">
        <v>516</v>
      </c>
      <c r="J396" s="226" t="s">
        <v>517</v>
      </c>
      <c r="K396" s="450" t="s">
        <v>518</v>
      </c>
      <c r="L396" s="452">
        <f>+IF(J397&lt;&gt;0,ROUND(($E$4-J397)/360,0),"")</f>
        <v>20</v>
      </c>
    </row>
    <row r="397" spans="1:13" ht="15" thickBot="1" x14ac:dyDescent="0.25">
      <c r="A397" s="443"/>
      <c r="B397" s="445"/>
      <c r="C397" s="445"/>
      <c r="D397" s="445"/>
      <c r="E397" s="445"/>
      <c r="F397" s="445"/>
      <c r="G397" s="447"/>
      <c r="H397" s="449"/>
      <c r="I397" s="227">
        <v>91297471</v>
      </c>
      <c r="J397" s="228">
        <v>36818</v>
      </c>
      <c r="K397" s="451"/>
      <c r="L397" s="453"/>
    </row>
    <row r="398" spans="1:13" ht="11.25" customHeight="1" x14ac:dyDescent="0.2">
      <c r="A398" s="430" t="s">
        <v>171</v>
      </c>
      <c r="B398" s="431" t="s">
        <v>173</v>
      </c>
      <c r="C398" s="432"/>
      <c r="D398" s="432"/>
      <c r="E398" s="433"/>
      <c r="F398" s="434" t="s">
        <v>519</v>
      </c>
      <c r="G398" s="434" t="s">
        <v>520</v>
      </c>
      <c r="H398" s="434" t="s">
        <v>521</v>
      </c>
      <c r="I398" s="436" t="s">
        <v>522</v>
      </c>
      <c r="J398" s="437"/>
      <c r="K398" s="437"/>
      <c r="L398" s="438"/>
    </row>
    <row r="399" spans="1:13" ht="57.75" customHeight="1" thickBot="1" x14ac:dyDescent="0.25">
      <c r="A399" s="430"/>
      <c r="B399" s="26" t="s">
        <v>188</v>
      </c>
      <c r="C399" s="26" t="s">
        <v>189</v>
      </c>
      <c r="D399" s="26" t="s">
        <v>190</v>
      </c>
      <c r="E399" s="26" t="s">
        <v>191</v>
      </c>
      <c r="F399" s="435"/>
      <c r="G399" s="435"/>
      <c r="H399" s="435"/>
      <c r="I399" s="439"/>
      <c r="J399" s="440"/>
      <c r="K399" s="440"/>
      <c r="L399" s="441"/>
    </row>
    <row r="400" spans="1:13" s="27" customFormat="1" ht="65.25" customHeight="1" x14ac:dyDescent="0.2">
      <c r="A400" s="28">
        <v>1</v>
      </c>
      <c r="B400" s="86" t="s">
        <v>778</v>
      </c>
      <c r="C400" s="87" t="s">
        <v>779</v>
      </c>
      <c r="D400" s="87" t="s">
        <v>780</v>
      </c>
      <c r="E400" s="86" t="s">
        <v>781</v>
      </c>
      <c r="F400" s="31" t="s">
        <v>527</v>
      </c>
      <c r="G400" s="33" t="s">
        <v>211</v>
      </c>
      <c r="H400" s="33" t="str">
        <f>+IF(B400&lt;&gt;"",IF(OR(F400="Otro",G400="NO"),"NO","SI"),"")</f>
        <v>NO</v>
      </c>
      <c r="I400" s="473" t="s">
        <v>774</v>
      </c>
      <c r="J400" s="473"/>
      <c r="K400" s="473"/>
      <c r="L400" s="474"/>
    </row>
    <row r="401" spans="1:12" s="27" customFormat="1" ht="51" x14ac:dyDescent="0.2">
      <c r="A401" s="38">
        <v>2</v>
      </c>
      <c r="B401" s="39" t="s">
        <v>782</v>
      </c>
      <c r="C401" s="46" t="s">
        <v>783</v>
      </c>
      <c r="D401" s="46" t="s">
        <v>784</v>
      </c>
      <c r="E401" s="39" t="s">
        <v>785</v>
      </c>
      <c r="F401" s="41" t="s">
        <v>527</v>
      </c>
      <c r="G401" s="43" t="s">
        <v>16</v>
      </c>
      <c r="H401" s="43" t="str">
        <f>+IF(B401&lt;&gt;"",IF(OR(F401="Otro",G401="NO"),"NO","SI"),"")</f>
        <v>SI</v>
      </c>
      <c r="I401" s="422"/>
      <c r="J401" s="422"/>
      <c r="K401" s="422"/>
      <c r="L401" s="423"/>
    </row>
    <row r="402" spans="1:12" s="27" customFormat="1" ht="76.5" customHeight="1" x14ac:dyDescent="0.2">
      <c r="A402" s="38">
        <v>3</v>
      </c>
      <c r="B402" s="39" t="s">
        <v>778</v>
      </c>
      <c r="C402" s="46" t="s">
        <v>524</v>
      </c>
      <c r="D402" s="46" t="s">
        <v>786</v>
      </c>
      <c r="E402" s="39" t="s">
        <v>787</v>
      </c>
      <c r="F402" s="41" t="s">
        <v>527</v>
      </c>
      <c r="G402" s="43" t="s">
        <v>211</v>
      </c>
      <c r="H402" s="43" t="str">
        <f>+IF(B402&lt;&gt;"",IF(OR(F402="Otro",G402="NO"),"NO","SI"),"")</f>
        <v>NO</v>
      </c>
      <c r="I402" s="475" t="s">
        <v>774</v>
      </c>
      <c r="J402" s="475"/>
      <c r="K402" s="475"/>
      <c r="L402" s="476"/>
    </row>
    <row r="403" spans="1:12" s="27" customFormat="1" ht="13.5" thickBot="1" x14ac:dyDescent="0.25">
      <c r="A403" s="47">
        <v>4</v>
      </c>
      <c r="B403" s="230"/>
      <c r="C403" s="231"/>
      <c r="D403" s="231"/>
      <c r="E403" s="230"/>
      <c r="F403" s="232"/>
      <c r="G403" s="233"/>
      <c r="H403" s="233" t="str">
        <f>+IF(B403&lt;&gt;"",IF(OR(F403="Otro",G403="NO"),"NO","SI"),"")</f>
        <v/>
      </c>
      <c r="I403" s="426"/>
      <c r="J403" s="426"/>
      <c r="K403" s="426"/>
      <c r="L403" s="427"/>
    </row>
    <row r="404" spans="1:12" ht="27" customHeight="1" x14ac:dyDescent="0.2">
      <c r="A404" s="197" t="str">
        <f>"D"&amp;A396</f>
        <v>D27</v>
      </c>
      <c r="B404" s="428" t="s">
        <v>538</v>
      </c>
      <c r="C404" s="429"/>
      <c r="D404" s="429"/>
      <c r="E404" s="429"/>
      <c r="F404" s="429"/>
      <c r="G404" s="429"/>
      <c r="H404" s="255" t="s">
        <v>16</v>
      </c>
      <c r="I404" s="424"/>
      <c r="J404" s="424"/>
      <c r="K404" s="424"/>
      <c r="L404" s="425"/>
    </row>
    <row r="405" spans="1:12" ht="27" customHeight="1" x14ac:dyDescent="0.2">
      <c r="A405" s="234"/>
      <c r="B405" s="420" t="s">
        <v>539</v>
      </c>
      <c r="C405" s="421"/>
      <c r="D405" s="421"/>
      <c r="E405" s="421"/>
      <c r="F405" s="421"/>
      <c r="G405" s="421"/>
      <c r="H405" s="239" t="s">
        <v>16</v>
      </c>
      <c r="I405" s="422"/>
      <c r="J405" s="422"/>
      <c r="K405" s="422"/>
      <c r="L405" s="423"/>
    </row>
    <row r="406" spans="1:12" ht="27" customHeight="1" x14ac:dyDescent="0.2">
      <c r="A406" s="197" t="str">
        <f>"F"&amp;A396</f>
        <v>F27</v>
      </c>
      <c r="B406" s="420" t="s">
        <v>540</v>
      </c>
      <c r="C406" s="421"/>
      <c r="D406" s="421"/>
      <c r="E406" s="421"/>
      <c r="F406" s="421"/>
      <c r="G406" s="421" t="s">
        <v>541</v>
      </c>
      <c r="H406" s="235" t="s">
        <v>211</v>
      </c>
      <c r="I406" s="422"/>
      <c r="J406" s="422"/>
      <c r="K406" s="422"/>
      <c r="L406" s="423"/>
    </row>
    <row r="407" spans="1:12" ht="27" customHeight="1" x14ac:dyDescent="0.2">
      <c r="A407" s="57"/>
      <c r="B407" s="420" t="s">
        <v>542</v>
      </c>
      <c r="C407" s="421"/>
      <c r="D407" s="421"/>
      <c r="E407" s="421"/>
      <c r="F407" s="421"/>
      <c r="G407" s="421" t="s">
        <v>543</v>
      </c>
      <c r="H407" s="236" t="str">
        <f>+IF(H396&lt;&gt;0,IF(L396&gt;=8,"SI","NO"),"")</f>
        <v>SI</v>
      </c>
      <c r="I407" s="422"/>
      <c r="J407" s="422"/>
      <c r="K407" s="422"/>
      <c r="L407" s="423"/>
    </row>
    <row r="408" spans="1:12" ht="27" customHeight="1" thickBot="1" x14ac:dyDescent="0.25">
      <c r="A408" s="57"/>
      <c r="B408" s="349" t="s">
        <v>544</v>
      </c>
      <c r="C408" s="350"/>
      <c r="D408" s="350"/>
      <c r="E408" s="350"/>
      <c r="F408" s="350"/>
      <c r="G408" s="350" t="s">
        <v>543</v>
      </c>
      <c r="H408" s="237" t="str">
        <f>+IF(H396&lt;&gt;0,IF(COUNTIF(H400:H403,"SI")&gt;=3,"SI","NO"),"")</f>
        <v>NO</v>
      </c>
      <c r="I408" s="416"/>
      <c r="J408" s="416"/>
      <c r="K408" s="416"/>
      <c r="L408" s="417"/>
    </row>
    <row r="409" spans="1:12" ht="16.5" customHeight="1" thickBot="1" x14ac:dyDescent="0.25">
      <c r="A409" s="197" t="str">
        <f>"E"&amp;A396</f>
        <v>E27</v>
      </c>
      <c r="D409" s="418" t="str">
        <f>+D394</f>
        <v>EL PROFESIONAL OFRECIDO POR EL PROPONENTE CUMPLE CON LOS REQUISITOS MÍNIMOS ESTABLECIDOS EN EL NUMERAL 4.1.2. (no se evalúa simultaneidad de procesos en esta celda)</v>
      </c>
      <c r="E409" s="419"/>
      <c r="F409" s="419"/>
      <c r="G409" s="419"/>
      <c r="H409" s="238" t="str">
        <f>IF(H396&lt;&gt;0,IF(AND(H405="SI",H407="SI",H408="SI"),"SI","NO"),"")</f>
        <v>NO</v>
      </c>
      <c r="J409" s="20"/>
      <c r="K409" s="20"/>
      <c r="L409" s="20"/>
    </row>
    <row r="410" spans="1:12" ht="12" thickBot="1" x14ac:dyDescent="0.25"/>
    <row r="411" spans="1:12" ht="45" x14ac:dyDescent="0.2">
      <c r="A411" s="442">
        <v>28</v>
      </c>
      <c r="B411" s="444" t="s">
        <v>924</v>
      </c>
      <c r="C411" s="444"/>
      <c r="D411" s="444"/>
      <c r="E411" s="444"/>
      <c r="F411" s="444"/>
      <c r="G411" s="446" t="s">
        <v>515</v>
      </c>
      <c r="H411" s="448" t="s">
        <v>792</v>
      </c>
      <c r="I411" s="225" t="s">
        <v>516</v>
      </c>
      <c r="J411" s="226" t="s">
        <v>517</v>
      </c>
      <c r="K411" s="450" t="s">
        <v>518</v>
      </c>
      <c r="L411" s="452">
        <f>+IF(J412&lt;&gt;0,ROUND(($E$4-J412)/360,0),"")</f>
        <v>32</v>
      </c>
    </row>
    <row r="412" spans="1:12" ht="15" thickBot="1" x14ac:dyDescent="0.25">
      <c r="A412" s="443"/>
      <c r="B412" s="445"/>
      <c r="C412" s="445"/>
      <c r="D412" s="445"/>
      <c r="E412" s="445"/>
      <c r="F412" s="445"/>
      <c r="G412" s="447"/>
      <c r="H412" s="449"/>
      <c r="I412" s="227">
        <v>15025471</v>
      </c>
      <c r="J412" s="228">
        <v>32454</v>
      </c>
      <c r="K412" s="451"/>
      <c r="L412" s="453"/>
    </row>
    <row r="413" spans="1:12" ht="11.25" customHeight="1" x14ac:dyDescent="0.2">
      <c r="A413" s="430" t="s">
        <v>171</v>
      </c>
      <c r="B413" s="431" t="s">
        <v>173</v>
      </c>
      <c r="C413" s="432"/>
      <c r="D413" s="432"/>
      <c r="E413" s="433"/>
      <c r="F413" s="434" t="s">
        <v>519</v>
      </c>
      <c r="G413" s="434" t="s">
        <v>520</v>
      </c>
      <c r="H413" s="434" t="s">
        <v>521</v>
      </c>
      <c r="I413" s="436" t="s">
        <v>522</v>
      </c>
      <c r="J413" s="437"/>
      <c r="K413" s="437"/>
      <c r="L413" s="438"/>
    </row>
    <row r="414" spans="1:12" ht="57.75" customHeight="1" thickBot="1" x14ac:dyDescent="0.25">
      <c r="A414" s="430"/>
      <c r="B414" s="26" t="s">
        <v>188</v>
      </c>
      <c r="C414" s="26" t="s">
        <v>189</v>
      </c>
      <c r="D414" s="26" t="s">
        <v>190</v>
      </c>
      <c r="E414" s="26" t="s">
        <v>191</v>
      </c>
      <c r="F414" s="435"/>
      <c r="G414" s="435"/>
      <c r="H414" s="435"/>
      <c r="I414" s="439"/>
      <c r="J414" s="440"/>
      <c r="K414" s="440"/>
      <c r="L414" s="441"/>
    </row>
    <row r="415" spans="1:12" s="27" customFormat="1" ht="38.25" x14ac:dyDescent="0.2">
      <c r="A415" s="28">
        <v>1</v>
      </c>
      <c r="B415" s="86" t="s">
        <v>788</v>
      </c>
      <c r="C415" s="87" t="s">
        <v>449</v>
      </c>
      <c r="D415" s="87" t="s">
        <v>450</v>
      </c>
      <c r="E415" s="86" t="s">
        <v>451</v>
      </c>
      <c r="F415" s="31" t="s">
        <v>527</v>
      </c>
      <c r="G415" s="33" t="s">
        <v>16</v>
      </c>
      <c r="H415" s="33" t="str">
        <f>+IF(B415&lt;&gt;"",IF(OR(F415="Otro",G415="NO"),"NO","SI"),"")</f>
        <v>SI</v>
      </c>
      <c r="I415" s="424"/>
      <c r="J415" s="424"/>
      <c r="K415" s="424"/>
      <c r="L415" s="425"/>
    </row>
    <row r="416" spans="1:12" s="27" customFormat="1" ht="38.25" x14ac:dyDescent="0.2">
      <c r="A416" s="38">
        <v>2</v>
      </c>
      <c r="B416" s="39" t="s">
        <v>789</v>
      </c>
      <c r="C416" s="46" t="s">
        <v>790</v>
      </c>
      <c r="D416" s="46" t="s">
        <v>791</v>
      </c>
      <c r="E416" s="39" t="s">
        <v>792</v>
      </c>
      <c r="F416" s="41" t="s">
        <v>527</v>
      </c>
      <c r="G416" s="43" t="s">
        <v>16</v>
      </c>
      <c r="H416" s="43" t="str">
        <f>+IF(B416&lt;&gt;"",IF(OR(F416="Otro",G416="NO"),"NO","SI"),"")</f>
        <v>SI</v>
      </c>
      <c r="I416" s="422"/>
      <c r="J416" s="422"/>
      <c r="K416" s="422"/>
      <c r="L416" s="423"/>
    </row>
    <row r="417" spans="1:12" s="27" customFormat="1" ht="51" x14ac:dyDescent="0.2">
      <c r="A417" s="38">
        <v>3</v>
      </c>
      <c r="B417" s="39" t="s">
        <v>43</v>
      </c>
      <c r="C417" s="46" t="s">
        <v>793</v>
      </c>
      <c r="D417" s="46" t="s">
        <v>794</v>
      </c>
      <c r="E417" s="39" t="s">
        <v>795</v>
      </c>
      <c r="F417" s="41" t="s">
        <v>527</v>
      </c>
      <c r="G417" s="43" t="s">
        <v>16</v>
      </c>
      <c r="H417" s="43" t="str">
        <f>+IF(B417&lt;&gt;"",IF(OR(F417="Otro",G417="NO"),"NO","SI"),"")</f>
        <v>SI</v>
      </c>
      <c r="I417" s="422"/>
      <c r="J417" s="422"/>
      <c r="K417" s="422"/>
      <c r="L417" s="423"/>
    </row>
    <row r="418" spans="1:12" s="27" customFormat="1" ht="13.5" thickBot="1" x14ac:dyDescent="0.25">
      <c r="A418" s="47">
        <v>4</v>
      </c>
      <c r="B418" s="230"/>
      <c r="C418" s="231"/>
      <c r="D418" s="231"/>
      <c r="E418" s="230"/>
      <c r="F418" s="232"/>
      <c r="G418" s="233"/>
      <c r="H418" s="233" t="str">
        <f>+IF(B418&lt;&gt;"",IF(OR(F418="Otro",G418="NO"),"NO","SI"),"")</f>
        <v/>
      </c>
      <c r="I418" s="426"/>
      <c r="J418" s="426"/>
      <c r="K418" s="426"/>
      <c r="L418" s="427"/>
    </row>
    <row r="419" spans="1:12" ht="28.5" customHeight="1" x14ac:dyDescent="0.2">
      <c r="A419" s="197" t="str">
        <f>"D"&amp;A411</f>
        <v>D28</v>
      </c>
      <c r="B419" s="428" t="s">
        <v>538</v>
      </c>
      <c r="C419" s="429"/>
      <c r="D419" s="429"/>
      <c r="E419" s="429"/>
      <c r="F419" s="429"/>
      <c r="G419" s="429"/>
      <c r="H419" s="88" t="s">
        <v>16</v>
      </c>
      <c r="I419" s="424"/>
      <c r="J419" s="424"/>
      <c r="K419" s="424"/>
      <c r="L419" s="425"/>
    </row>
    <row r="420" spans="1:12" ht="28.5" customHeight="1" x14ac:dyDescent="0.2">
      <c r="A420" s="234"/>
      <c r="B420" s="420" t="s">
        <v>539</v>
      </c>
      <c r="C420" s="421"/>
      <c r="D420" s="421"/>
      <c r="E420" s="421"/>
      <c r="F420" s="421"/>
      <c r="G420" s="421"/>
      <c r="H420" s="239" t="s">
        <v>16</v>
      </c>
      <c r="I420" s="422"/>
      <c r="J420" s="422"/>
      <c r="K420" s="422"/>
      <c r="L420" s="423"/>
    </row>
    <row r="421" spans="1:12" ht="27" customHeight="1" x14ac:dyDescent="0.2">
      <c r="A421" s="197" t="str">
        <f>"F"&amp;A411</f>
        <v>F28</v>
      </c>
      <c r="B421" s="420" t="s">
        <v>540</v>
      </c>
      <c r="C421" s="421"/>
      <c r="D421" s="421"/>
      <c r="E421" s="421"/>
      <c r="F421" s="421"/>
      <c r="G421" s="421" t="s">
        <v>541</v>
      </c>
      <c r="H421" s="235" t="s">
        <v>211</v>
      </c>
      <c r="I421" s="422"/>
      <c r="J421" s="422"/>
      <c r="K421" s="422"/>
      <c r="L421" s="423"/>
    </row>
    <row r="422" spans="1:12" ht="27" customHeight="1" x14ac:dyDescent="0.2">
      <c r="A422" s="57"/>
      <c r="B422" s="420" t="s">
        <v>542</v>
      </c>
      <c r="C422" s="421"/>
      <c r="D422" s="421"/>
      <c r="E422" s="421"/>
      <c r="F422" s="421"/>
      <c r="G422" s="421" t="s">
        <v>543</v>
      </c>
      <c r="H422" s="236" t="str">
        <f>+IF(H411&lt;&gt;0,IF(L411&gt;=8,"SI","NO"),"")</f>
        <v>SI</v>
      </c>
      <c r="I422" s="422"/>
      <c r="J422" s="422"/>
      <c r="K422" s="422"/>
      <c r="L422" s="423"/>
    </row>
    <row r="423" spans="1:12" ht="27" customHeight="1" thickBot="1" x14ac:dyDescent="0.25">
      <c r="A423" s="57"/>
      <c r="B423" s="349" t="s">
        <v>544</v>
      </c>
      <c r="C423" s="350"/>
      <c r="D423" s="350"/>
      <c r="E423" s="350"/>
      <c r="F423" s="350"/>
      <c r="G423" s="350" t="s">
        <v>543</v>
      </c>
      <c r="H423" s="237" t="str">
        <f>+IF(H411&lt;&gt;0,IF(COUNTIF(H415:H418,"SI")&gt;=3,"SI","NO"),"")</f>
        <v>SI</v>
      </c>
      <c r="I423" s="416"/>
      <c r="J423" s="416"/>
      <c r="K423" s="416"/>
      <c r="L423" s="417"/>
    </row>
    <row r="424" spans="1:12" ht="16.5" customHeight="1" thickBot="1" x14ac:dyDescent="0.25">
      <c r="A424" s="197" t="str">
        <f>"E"&amp;A411</f>
        <v>E28</v>
      </c>
      <c r="D424" s="418" t="str">
        <f>+D409</f>
        <v>EL PROFESIONAL OFRECIDO POR EL PROPONENTE CUMPLE CON LOS REQUISITOS MÍNIMOS ESTABLECIDOS EN EL NUMERAL 4.1.2. (no se evalúa simultaneidad de procesos en esta celda)</v>
      </c>
      <c r="E424" s="419"/>
      <c r="F424" s="419"/>
      <c r="G424" s="419"/>
      <c r="H424" s="238" t="str">
        <f>IF(H411&lt;&gt;0,IF(AND(H420="SI",H422="SI",H423="SI"),"SI","NO"),"")</f>
        <v>SI</v>
      </c>
      <c r="J424" s="20"/>
      <c r="K424" s="20"/>
      <c r="L424" s="20"/>
    </row>
    <row r="425" spans="1:12" ht="12" thickBot="1" x14ac:dyDescent="0.25"/>
    <row r="426" spans="1:12" ht="45" x14ac:dyDescent="0.2">
      <c r="A426" s="442">
        <v>29</v>
      </c>
      <c r="B426" s="444" t="s">
        <v>926</v>
      </c>
      <c r="C426" s="444"/>
      <c r="D426" s="444"/>
      <c r="E426" s="444"/>
      <c r="F426" s="444"/>
      <c r="G426" s="446" t="s">
        <v>515</v>
      </c>
      <c r="H426" s="448" t="s">
        <v>959</v>
      </c>
      <c r="I426" s="225" t="s">
        <v>516</v>
      </c>
      <c r="J426" s="226" t="s">
        <v>517</v>
      </c>
      <c r="K426" s="450" t="s">
        <v>518</v>
      </c>
      <c r="L426" s="452">
        <f>+IF(J427&lt;&gt;0,ROUND(($E$4-J427)/360,0),"")</f>
        <v>15</v>
      </c>
    </row>
    <row r="427" spans="1:12" ht="15" thickBot="1" x14ac:dyDescent="0.25">
      <c r="A427" s="443"/>
      <c r="B427" s="445"/>
      <c r="C427" s="445"/>
      <c r="D427" s="445"/>
      <c r="E427" s="445"/>
      <c r="F427" s="445"/>
      <c r="G427" s="447"/>
      <c r="H427" s="449"/>
      <c r="I427" s="227">
        <v>14139339</v>
      </c>
      <c r="J427" s="228">
        <v>38764</v>
      </c>
      <c r="K427" s="451"/>
      <c r="L427" s="453"/>
    </row>
    <row r="428" spans="1:12" ht="11.25" customHeight="1" x14ac:dyDescent="0.2">
      <c r="A428" s="430" t="s">
        <v>171</v>
      </c>
      <c r="B428" s="431" t="s">
        <v>173</v>
      </c>
      <c r="C428" s="432"/>
      <c r="D428" s="432"/>
      <c r="E428" s="433"/>
      <c r="F428" s="434" t="s">
        <v>519</v>
      </c>
      <c r="G428" s="434" t="s">
        <v>520</v>
      </c>
      <c r="H428" s="434" t="s">
        <v>521</v>
      </c>
      <c r="I428" s="436" t="s">
        <v>522</v>
      </c>
      <c r="J428" s="437"/>
      <c r="K428" s="437"/>
      <c r="L428" s="438"/>
    </row>
    <row r="429" spans="1:12" ht="57.75" customHeight="1" thickBot="1" x14ac:dyDescent="0.25">
      <c r="A429" s="430"/>
      <c r="B429" s="26" t="s">
        <v>188</v>
      </c>
      <c r="C429" s="26" t="s">
        <v>189</v>
      </c>
      <c r="D429" s="26" t="s">
        <v>190</v>
      </c>
      <c r="E429" s="26" t="s">
        <v>191</v>
      </c>
      <c r="F429" s="435"/>
      <c r="G429" s="435"/>
      <c r="H429" s="435"/>
      <c r="I429" s="439"/>
      <c r="J429" s="440"/>
      <c r="K429" s="440"/>
      <c r="L429" s="441"/>
    </row>
    <row r="430" spans="1:12" s="27" customFormat="1" ht="38.25" x14ac:dyDescent="0.2">
      <c r="A430" s="28">
        <v>1</v>
      </c>
      <c r="B430" s="86" t="s">
        <v>43</v>
      </c>
      <c r="C430" s="87" t="s">
        <v>796</v>
      </c>
      <c r="D430" s="87" t="s">
        <v>797</v>
      </c>
      <c r="E430" s="86" t="s">
        <v>798</v>
      </c>
      <c r="F430" s="31" t="s">
        <v>561</v>
      </c>
      <c r="G430" s="33" t="s">
        <v>16</v>
      </c>
      <c r="H430" s="33" t="str">
        <f>+IF(B430&lt;&gt;"",IF(OR(F430="Otro",G430="NO"),"NO","SI"),"")</f>
        <v>SI</v>
      </c>
      <c r="I430" s="424"/>
      <c r="J430" s="424"/>
      <c r="K430" s="424"/>
      <c r="L430" s="425"/>
    </row>
    <row r="431" spans="1:12" s="27" customFormat="1" ht="76.5" x14ac:dyDescent="0.2">
      <c r="A431" s="38">
        <v>2</v>
      </c>
      <c r="B431" s="39" t="s">
        <v>799</v>
      </c>
      <c r="C431" s="46" t="s">
        <v>800</v>
      </c>
      <c r="D431" s="46" t="s">
        <v>801</v>
      </c>
      <c r="E431" s="39" t="s">
        <v>802</v>
      </c>
      <c r="F431" s="41" t="s">
        <v>527</v>
      </c>
      <c r="G431" s="43" t="s">
        <v>16</v>
      </c>
      <c r="H431" s="43" t="str">
        <f>+IF(B431&lt;&gt;"",IF(OR(F431="Otro",G431="NO"),"NO","SI"),"")</f>
        <v>SI</v>
      </c>
      <c r="I431" s="472"/>
      <c r="J431" s="422"/>
      <c r="K431" s="422"/>
      <c r="L431" s="423"/>
    </row>
    <row r="432" spans="1:12" s="27" customFormat="1" ht="51" x14ac:dyDescent="0.2">
      <c r="A432" s="38">
        <v>3</v>
      </c>
      <c r="B432" s="39" t="s">
        <v>803</v>
      </c>
      <c r="C432" s="46" t="s">
        <v>804</v>
      </c>
      <c r="D432" s="46" t="s">
        <v>805</v>
      </c>
      <c r="E432" s="39" t="s">
        <v>806</v>
      </c>
      <c r="F432" s="41" t="s">
        <v>527</v>
      </c>
      <c r="G432" s="43" t="s">
        <v>16</v>
      </c>
      <c r="H432" s="43" t="str">
        <f>+IF(B432&lt;&gt;"",IF(OR(F432="Otro",G432="NO"),"NO","SI"),"")</f>
        <v>SI</v>
      </c>
      <c r="I432" s="422"/>
      <c r="J432" s="422"/>
      <c r="K432" s="422"/>
      <c r="L432" s="423"/>
    </row>
    <row r="433" spans="1:12" s="27" customFormat="1" ht="13.5" thickBot="1" x14ac:dyDescent="0.25">
      <c r="A433" s="47">
        <v>4</v>
      </c>
      <c r="B433" s="230"/>
      <c r="C433" s="231"/>
      <c r="D433" s="231"/>
      <c r="E433" s="230"/>
      <c r="F433" s="232"/>
      <c r="G433" s="233"/>
      <c r="H433" s="233" t="str">
        <f>+IF(B433&lt;&gt;"",IF(OR(F433="Otro",G433="NO"),"NO","SI"),"")</f>
        <v/>
      </c>
      <c r="I433" s="426"/>
      <c r="J433" s="426"/>
      <c r="K433" s="426"/>
      <c r="L433" s="427"/>
    </row>
    <row r="434" spans="1:12" ht="27" customHeight="1" x14ac:dyDescent="0.2">
      <c r="A434" s="197" t="str">
        <f>"D"&amp;A426</f>
        <v>D29</v>
      </c>
      <c r="B434" s="428" t="s">
        <v>538</v>
      </c>
      <c r="C434" s="429"/>
      <c r="D434" s="429"/>
      <c r="E434" s="429"/>
      <c r="F434" s="429"/>
      <c r="G434" s="429"/>
      <c r="H434" s="255" t="s">
        <v>16</v>
      </c>
      <c r="I434" s="424"/>
      <c r="J434" s="424"/>
      <c r="K434" s="424"/>
      <c r="L434" s="425"/>
    </row>
    <row r="435" spans="1:12" ht="27" customHeight="1" x14ac:dyDescent="0.2">
      <c r="A435" s="234"/>
      <c r="B435" s="420" t="s">
        <v>539</v>
      </c>
      <c r="C435" s="421"/>
      <c r="D435" s="421"/>
      <c r="E435" s="421"/>
      <c r="F435" s="421"/>
      <c r="G435" s="421"/>
      <c r="H435" s="239" t="s">
        <v>16</v>
      </c>
      <c r="I435" s="422"/>
      <c r="J435" s="422"/>
      <c r="K435" s="422"/>
      <c r="L435" s="423"/>
    </row>
    <row r="436" spans="1:12" ht="27" customHeight="1" x14ac:dyDescent="0.2">
      <c r="A436" s="197" t="str">
        <f>"F"&amp;A426</f>
        <v>F29</v>
      </c>
      <c r="B436" s="420" t="s">
        <v>540</v>
      </c>
      <c r="C436" s="421"/>
      <c r="D436" s="421"/>
      <c r="E436" s="421"/>
      <c r="F436" s="421"/>
      <c r="G436" s="421" t="s">
        <v>541</v>
      </c>
      <c r="H436" s="235" t="s">
        <v>211</v>
      </c>
      <c r="I436" s="422"/>
      <c r="J436" s="422"/>
      <c r="K436" s="422"/>
      <c r="L436" s="423"/>
    </row>
    <row r="437" spans="1:12" ht="27" customHeight="1" x14ac:dyDescent="0.2">
      <c r="A437" s="57"/>
      <c r="B437" s="420" t="s">
        <v>542</v>
      </c>
      <c r="C437" s="421"/>
      <c r="D437" s="421"/>
      <c r="E437" s="421"/>
      <c r="F437" s="421"/>
      <c r="G437" s="421" t="s">
        <v>543</v>
      </c>
      <c r="H437" s="236" t="str">
        <f>+IF(H426&lt;&gt;0,IF(L426&gt;=8,"SI","NO"),"")</f>
        <v>SI</v>
      </c>
      <c r="I437" s="422"/>
      <c r="J437" s="422"/>
      <c r="K437" s="422"/>
      <c r="L437" s="423"/>
    </row>
    <row r="438" spans="1:12" ht="27" customHeight="1" thickBot="1" x14ac:dyDescent="0.25">
      <c r="A438" s="57"/>
      <c r="B438" s="349" t="s">
        <v>544</v>
      </c>
      <c r="C438" s="350"/>
      <c r="D438" s="350"/>
      <c r="E438" s="350"/>
      <c r="F438" s="350"/>
      <c r="G438" s="350" t="s">
        <v>543</v>
      </c>
      <c r="H438" s="237" t="str">
        <f>+IF(H426&lt;&gt;0,IF(COUNTIF(H430:H433,"SI")&gt;=3,"SI","NO"),"")</f>
        <v>SI</v>
      </c>
      <c r="I438" s="416"/>
      <c r="J438" s="416"/>
      <c r="K438" s="416"/>
      <c r="L438" s="417"/>
    </row>
    <row r="439" spans="1:12" ht="16.5" customHeight="1" thickBot="1" x14ac:dyDescent="0.25">
      <c r="A439" s="197" t="str">
        <f>"E"&amp;A426</f>
        <v>E29</v>
      </c>
      <c r="D439" s="418" t="str">
        <f>+D424</f>
        <v>EL PROFESIONAL OFRECIDO POR EL PROPONENTE CUMPLE CON LOS REQUISITOS MÍNIMOS ESTABLECIDOS EN EL NUMERAL 4.1.2. (no se evalúa simultaneidad de procesos en esta celda)</v>
      </c>
      <c r="E439" s="419"/>
      <c r="F439" s="419"/>
      <c r="G439" s="419"/>
      <c r="H439" s="238" t="str">
        <f>IF(H426&lt;&gt;0,IF(AND(H435="SI",H437="SI",H438="SI"),"SI","NO"),"")</f>
        <v>SI</v>
      </c>
      <c r="J439" s="20"/>
      <c r="K439" s="20"/>
      <c r="L439" s="20"/>
    </row>
    <row r="440" spans="1:12" ht="12" thickBot="1" x14ac:dyDescent="0.25"/>
    <row r="441" spans="1:12" ht="45" x14ac:dyDescent="0.2">
      <c r="A441" s="442">
        <v>30</v>
      </c>
      <c r="B441" s="444" t="s">
        <v>928</v>
      </c>
      <c r="C441" s="444"/>
      <c r="D441" s="444"/>
      <c r="E441" s="444"/>
      <c r="F441" s="444"/>
      <c r="G441" s="446" t="s">
        <v>515</v>
      </c>
      <c r="H441" s="448" t="s">
        <v>810</v>
      </c>
      <c r="I441" s="225" t="s">
        <v>516</v>
      </c>
      <c r="J441" s="226" t="s">
        <v>517</v>
      </c>
      <c r="K441" s="450" t="s">
        <v>518</v>
      </c>
      <c r="L441" s="452">
        <f>+IF(J442&lt;&gt;0,ROUND(($E$4-J442)/360,0),"")</f>
        <v>52</v>
      </c>
    </row>
    <row r="442" spans="1:12" ht="15" thickBot="1" x14ac:dyDescent="0.25">
      <c r="A442" s="443"/>
      <c r="B442" s="445"/>
      <c r="C442" s="445"/>
      <c r="D442" s="445"/>
      <c r="E442" s="445"/>
      <c r="F442" s="445"/>
      <c r="G442" s="447"/>
      <c r="H442" s="449"/>
      <c r="I442" s="227">
        <v>10516743</v>
      </c>
      <c r="J442" s="228">
        <v>25401</v>
      </c>
      <c r="K442" s="451"/>
      <c r="L442" s="453"/>
    </row>
    <row r="443" spans="1:12" ht="11.25" customHeight="1" x14ac:dyDescent="0.2">
      <c r="A443" s="430" t="s">
        <v>171</v>
      </c>
      <c r="B443" s="431" t="s">
        <v>173</v>
      </c>
      <c r="C443" s="432"/>
      <c r="D443" s="432"/>
      <c r="E443" s="433"/>
      <c r="F443" s="434" t="s">
        <v>519</v>
      </c>
      <c r="G443" s="434" t="s">
        <v>520</v>
      </c>
      <c r="H443" s="434" t="s">
        <v>521</v>
      </c>
      <c r="I443" s="436" t="s">
        <v>522</v>
      </c>
      <c r="J443" s="437"/>
      <c r="K443" s="437"/>
      <c r="L443" s="438"/>
    </row>
    <row r="444" spans="1:12" ht="57.75" customHeight="1" thickBot="1" x14ac:dyDescent="0.25">
      <c r="A444" s="430"/>
      <c r="B444" s="26" t="s">
        <v>188</v>
      </c>
      <c r="C444" s="26" t="s">
        <v>189</v>
      </c>
      <c r="D444" s="26" t="s">
        <v>190</v>
      </c>
      <c r="E444" s="26" t="s">
        <v>191</v>
      </c>
      <c r="F444" s="435"/>
      <c r="G444" s="435"/>
      <c r="H444" s="435"/>
      <c r="I444" s="439"/>
      <c r="J444" s="440"/>
      <c r="K444" s="440"/>
      <c r="L444" s="441"/>
    </row>
    <row r="445" spans="1:12" s="27" customFormat="1" ht="38.25" x14ac:dyDescent="0.2">
      <c r="A445" s="28">
        <v>1</v>
      </c>
      <c r="B445" s="86" t="s">
        <v>807</v>
      </c>
      <c r="C445" s="87" t="s">
        <v>808</v>
      </c>
      <c r="D445" s="87" t="s">
        <v>809</v>
      </c>
      <c r="E445" s="86" t="s">
        <v>810</v>
      </c>
      <c r="F445" s="31" t="s">
        <v>527</v>
      </c>
      <c r="G445" s="33" t="s">
        <v>16</v>
      </c>
      <c r="H445" s="33" t="str">
        <f>+IF(B445&lt;&gt;"",IF(OR(F445="Otro",G445="NO"),"NO","SI"),"")</f>
        <v>SI</v>
      </c>
      <c r="I445" s="424"/>
      <c r="J445" s="424"/>
      <c r="K445" s="424"/>
      <c r="L445" s="425"/>
    </row>
    <row r="446" spans="1:12" s="27" customFormat="1" ht="51" x14ac:dyDescent="0.2">
      <c r="A446" s="38">
        <v>2</v>
      </c>
      <c r="B446" s="39" t="s">
        <v>811</v>
      </c>
      <c r="C446" s="46" t="s">
        <v>812</v>
      </c>
      <c r="D446" s="46" t="s">
        <v>813</v>
      </c>
      <c r="E446" s="39" t="s">
        <v>814</v>
      </c>
      <c r="F446" s="41" t="s">
        <v>527</v>
      </c>
      <c r="G446" s="43" t="s">
        <v>16</v>
      </c>
      <c r="H446" s="43" t="str">
        <f>+IF(B446&lt;&gt;"",IF(OR(F446="Otro",G446="NO"),"NO","SI"),"")</f>
        <v>SI</v>
      </c>
      <c r="I446" s="422"/>
      <c r="J446" s="422"/>
      <c r="K446" s="422"/>
      <c r="L446" s="423"/>
    </row>
    <row r="447" spans="1:12" s="27" customFormat="1" ht="51" x14ac:dyDescent="0.2">
      <c r="A447" s="38">
        <v>3</v>
      </c>
      <c r="B447" s="39" t="s">
        <v>815</v>
      </c>
      <c r="C447" s="46" t="s">
        <v>816</v>
      </c>
      <c r="D447" s="46" t="s">
        <v>817</v>
      </c>
      <c r="E447" s="39" t="s">
        <v>818</v>
      </c>
      <c r="F447" s="41" t="s">
        <v>527</v>
      </c>
      <c r="G447" s="43" t="s">
        <v>16</v>
      </c>
      <c r="H447" s="43" t="str">
        <f>+IF(B447&lt;&gt;"",IF(OR(F447="Otro",G447="NO"),"NO","SI"),"")</f>
        <v>SI</v>
      </c>
      <c r="I447" s="422"/>
      <c r="J447" s="422"/>
      <c r="K447" s="422"/>
      <c r="L447" s="423"/>
    </row>
    <row r="448" spans="1:12" s="27" customFormat="1" ht="13.5" thickBot="1" x14ac:dyDescent="0.25">
      <c r="A448" s="47">
        <v>4</v>
      </c>
      <c r="B448" s="230"/>
      <c r="C448" s="231"/>
      <c r="D448" s="231"/>
      <c r="E448" s="230"/>
      <c r="F448" s="232"/>
      <c r="G448" s="233"/>
      <c r="H448" s="233" t="str">
        <f>+IF(B448&lt;&gt;"",IF(OR(F448="Otro",G448="NO"),"NO","SI"),"")</f>
        <v/>
      </c>
      <c r="I448" s="426"/>
      <c r="J448" s="426"/>
      <c r="K448" s="426"/>
      <c r="L448" s="427"/>
    </row>
    <row r="449" spans="1:12" ht="27" customHeight="1" x14ac:dyDescent="0.2">
      <c r="A449" s="197" t="str">
        <f>"D"&amp;A441</f>
        <v>D30</v>
      </c>
      <c r="B449" s="428" t="s">
        <v>538</v>
      </c>
      <c r="C449" s="429"/>
      <c r="D449" s="429"/>
      <c r="E449" s="429"/>
      <c r="F449" s="429"/>
      <c r="G449" s="429"/>
      <c r="H449" s="88" t="s">
        <v>16</v>
      </c>
      <c r="I449" s="424"/>
      <c r="J449" s="424"/>
      <c r="K449" s="424"/>
      <c r="L449" s="425"/>
    </row>
    <row r="450" spans="1:12" ht="27" customHeight="1" x14ac:dyDescent="0.2">
      <c r="A450" s="234"/>
      <c r="B450" s="420" t="s">
        <v>539</v>
      </c>
      <c r="C450" s="421"/>
      <c r="D450" s="421"/>
      <c r="E450" s="421"/>
      <c r="F450" s="421"/>
      <c r="G450" s="421"/>
      <c r="H450" s="239" t="s">
        <v>16</v>
      </c>
      <c r="I450" s="422"/>
      <c r="J450" s="422"/>
      <c r="K450" s="422"/>
      <c r="L450" s="423"/>
    </row>
    <row r="451" spans="1:12" ht="27" customHeight="1" x14ac:dyDescent="0.2">
      <c r="A451" s="197" t="str">
        <f>"F"&amp;A441</f>
        <v>F30</v>
      </c>
      <c r="B451" s="420" t="s">
        <v>540</v>
      </c>
      <c r="C451" s="421"/>
      <c r="D451" s="421"/>
      <c r="E451" s="421"/>
      <c r="F451" s="421"/>
      <c r="G451" s="421" t="s">
        <v>541</v>
      </c>
      <c r="H451" s="235" t="s">
        <v>211</v>
      </c>
      <c r="I451" s="422"/>
      <c r="J451" s="422"/>
      <c r="K451" s="422"/>
      <c r="L451" s="423"/>
    </row>
    <row r="452" spans="1:12" ht="27" customHeight="1" x14ac:dyDescent="0.2">
      <c r="A452" s="57"/>
      <c r="B452" s="420" t="s">
        <v>542</v>
      </c>
      <c r="C452" s="421"/>
      <c r="D452" s="421"/>
      <c r="E452" s="421"/>
      <c r="F452" s="421"/>
      <c r="G452" s="421" t="s">
        <v>543</v>
      </c>
      <c r="H452" s="236" t="str">
        <f>+IF(H441&lt;&gt;0,IF(L441&gt;=8,"SI","NO"),"")</f>
        <v>SI</v>
      </c>
      <c r="I452" s="422"/>
      <c r="J452" s="422"/>
      <c r="K452" s="422"/>
      <c r="L452" s="423"/>
    </row>
    <row r="453" spans="1:12" ht="27" customHeight="1" thickBot="1" x14ac:dyDescent="0.25">
      <c r="A453" s="57"/>
      <c r="B453" s="349" t="s">
        <v>544</v>
      </c>
      <c r="C453" s="350"/>
      <c r="D453" s="350"/>
      <c r="E453" s="350"/>
      <c r="F453" s="350"/>
      <c r="G453" s="350" t="s">
        <v>543</v>
      </c>
      <c r="H453" s="237" t="str">
        <f>+IF(H441&lt;&gt;0,IF(COUNTIF(H445:H448,"SI")&gt;=3,"SI","NO"),"")</f>
        <v>SI</v>
      </c>
      <c r="I453" s="416"/>
      <c r="J453" s="416"/>
      <c r="K453" s="416"/>
      <c r="L453" s="417"/>
    </row>
    <row r="454" spans="1:12" ht="16.5" customHeight="1" thickBot="1" x14ac:dyDescent="0.25">
      <c r="A454" s="197" t="str">
        <f>"E"&amp;A441</f>
        <v>E30</v>
      </c>
      <c r="D454" s="418" t="str">
        <f>+D439</f>
        <v>EL PROFESIONAL OFRECIDO POR EL PROPONENTE CUMPLE CON LOS REQUISITOS MÍNIMOS ESTABLECIDOS EN EL NUMERAL 4.1.2. (no se evalúa simultaneidad de procesos en esta celda)</v>
      </c>
      <c r="E454" s="419"/>
      <c r="F454" s="419"/>
      <c r="G454" s="419"/>
      <c r="H454" s="238" t="str">
        <f>IF(H441&lt;&gt;0,IF(AND(H450="SI",H452="SI",H453="SI"),"SI","NO"),"")</f>
        <v>SI</v>
      </c>
      <c r="J454" s="20"/>
      <c r="K454" s="20"/>
      <c r="L454" s="20"/>
    </row>
    <row r="455" spans="1:12" ht="12" thickBot="1" x14ac:dyDescent="0.25"/>
    <row r="456" spans="1:12" ht="45" x14ac:dyDescent="0.2">
      <c r="A456" s="442">
        <v>31</v>
      </c>
      <c r="B456" s="444" t="s">
        <v>150</v>
      </c>
      <c r="C456" s="444"/>
      <c r="D456" s="444"/>
      <c r="E456" s="444"/>
      <c r="F456" s="444"/>
      <c r="G456" s="446" t="s">
        <v>515</v>
      </c>
      <c r="H456" s="448" t="s">
        <v>960</v>
      </c>
      <c r="I456" s="225" t="s">
        <v>516</v>
      </c>
      <c r="J456" s="226" t="s">
        <v>517</v>
      </c>
      <c r="K456" s="450" t="s">
        <v>518</v>
      </c>
      <c r="L456" s="452">
        <f>+IF(J457&lt;&gt;0,ROUND(($E$4-J457)/360,0),"")</f>
        <v>24</v>
      </c>
    </row>
    <row r="457" spans="1:12" ht="15" thickBot="1" x14ac:dyDescent="0.25">
      <c r="A457" s="443"/>
      <c r="B457" s="445"/>
      <c r="C457" s="445"/>
      <c r="D457" s="445"/>
      <c r="E457" s="445"/>
      <c r="F457" s="445"/>
      <c r="G457" s="447"/>
      <c r="H457" s="449"/>
      <c r="I457" s="227">
        <v>7685694</v>
      </c>
      <c r="J457" s="228">
        <v>35355</v>
      </c>
      <c r="K457" s="451"/>
      <c r="L457" s="453"/>
    </row>
    <row r="458" spans="1:12" ht="11.25" customHeight="1" x14ac:dyDescent="0.2">
      <c r="A458" s="430" t="s">
        <v>171</v>
      </c>
      <c r="B458" s="431" t="s">
        <v>173</v>
      </c>
      <c r="C458" s="432"/>
      <c r="D458" s="432"/>
      <c r="E458" s="433"/>
      <c r="F458" s="434" t="s">
        <v>519</v>
      </c>
      <c r="G458" s="434" t="s">
        <v>520</v>
      </c>
      <c r="H458" s="434" t="s">
        <v>521</v>
      </c>
      <c r="I458" s="436" t="s">
        <v>522</v>
      </c>
      <c r="J458" s="437"/>
      <c r="K458" s="437"/>
      <c r="L458" s="438"/>
    </row>
    <row r="459" spans="1:12" ht="57.75" customHeight="1" thickBot="1" x14ac:dyDescent="0.25">
      <c r="A459" s="430"/>
      <c r="B459" s="26" t="s">
        <v>188</v>
      </c>
      <c r="C459" s="26" t="s">
        <v>189</v>
      </c>
      <c r="D459" s="26" t="s">
        <v>190</v>
      </c>
      <c r="E459" s="26" t="s">
        <v>191</v>
      </c>
      <c r="F459" s="435"/>
      <c r="G459" s="435"/>
      <c r="H459" s="435"/>
      <c r="I459" s="439"/>
      <c r="J459" s="440"/>
      <c r="K459" s="440"/>
      <c r="L459" s="441"/>
    </row>
    <row r="460" spans="1:12" s="27" customFormat="1" ht="63.75" x14ac:dyDescent="0.2">
      <c r="A460" s="28">
        <v>1</v>
      </c>
      <c r="B460" s="86" t="s">
        <v>819</v>
      </c>
      <c r="C460" s="87" t="s">
        <v>820</v>
      </c>
      <c r="D460" s="87" t="s">
        <v>821</v>
      </c>
      <c r="E460" s="86" t="s">
        <v>822</v>
      </c>
      <c r="F460" s="31" t="s">
        <v>565</v>
      </c>
      <c r="G460" s="33" t="s">
        <v>16</v>
      </c>
      <c r="H460" s="33" t="str">
        <f>+IF(B460&lt;&gt;"",IF(OR(F460="Otro",G460="NO"),"NO","SI"),"")</f>
        <v>SI</v>
      </c>
      <c r="I460" s="424"/>
      <c r="J460" s="424"/>
      <c r="K460" s="424"/>
      <c r="L460" s="425"/>
    </row>
    <row r="461" spans="1:12" s="27" customFormat="1" ht="51" x14ac:dyDescent="0.2">
      <c r="A461" s="38">
        <v>2</v>
      </c>
      <c r="B461" s="39" t="s">
        <v>823</v>
      </c>
      <c r="C461" s="46" t="s">
        <v>824</v>
      </c>
      <c r="D461" s="46" t="s">
        <v>825</v>
      </c>
      <c r="E461" s="39" t="s">
        <v>822</v>
      </c>
      <c r="F461" s="41" t="s">
        <v>565</v>
      </c>
      <c r="G461" s="43" t="s">
        <v>16</v>
      </c>
      <c r="H461" s="43" t="str">
        <f>+IF(B461&lt;&gt;"",IF(OR(F461="Otro",G461="NO"),"NO","SI"),"")</f>
        <v>SI</v>
      </c>
      <c r="I461" s="422"/>
      <c r="J461" s="422"/>
      <c r="K461" s="422"/>
      <c r="L461" s="423"/>
    </row>
    <row r="462" spans="1:12" s="27" customFormat="1" ht="63.75" x14ac:dyDescent="0.2">
      <c r="A462" s="38">
        <v>3</v>
      </c>
      <c r="B462" s="39" t="s">
        <v>819</v>
      </c>
      <c r="C462" s="46" t="s">
        <v>826</v>
      </c>
      <c r="D462" s="46" t="s">
        <v>827</v>
      </c>
      <c r="E462" s="39" t="s">
        <v>822</v>
      </c>
      <c r="F462" s="41" t="s">
        <v>565</v>
      </c>
      <c r="G462" s="43" t="s">
        <v>16</v>
      </c>
      <c r="H462" s="43" t="str">
        <f>+IF(B462&lt;&gt;"",IF(OR(F462="Otro",G462="NO"),"NO","SI"),"")</f>
        <v>SI</v>
      </c>
      <c r="I462" s="422"/>
      <c r="J462" s="422"/>
      <c r="K462" s="422"/>
      <c r="L462" s="423"/>
    </row>
    <row r="463" spans="1:12" s="27" customFormat="1" ht="13.5" thickBot="1" x14ac:dyDescent="0.25">
      <c r="A463" s="47">
        <v>4</v>
      </c>
      <c r="B463" s="230"/>
      <c r="C463" s="231"/>
      <c r="D463" s="231"/>
      <c r="E463" s="230"/>
      <c r="F463" s="232"/>
      <c r="G463" s="233"/>
      <c r="H463" s="233" t="str">
        <f>+IF(B463&lt;&gt;"",IF(OR(F463="Otro",G463="NO"),"NO","SI"),"")</f>
        <v/>
      </c>
      <c r="I463" s="426"/>
      <c r="J463" s="426"/>
      <c r="K463" s="426"/>
      <c r="L463" s="427"/>
    </row>
    <row r="464" spans="1:12" ht="27" customHeight="1" x14ac:dyDescent="0.2">
      <c r="A464" s="197" t="str">
        <f>"D"&amp;A456</f>
        <v>D31</v>
      </c>
      <c r="B464" s="428" t="s">
        <v>538</v>
      </c>
      <c r="C464" s="429"/>
      <c r="D464" s="429"/>
      <c r="E464" s="429"/>
      <c r="F464" s="429"/>
      <c r="G464" s="429"/>
      <c r="H464" s="255" t="s">
        <v>16</v>
      </c>
      <c r="I464" s="424"/>
      <c r="J464" s="424"/>
      <c r="K464" s="424"/>
      <c r="L464" s="425"/>
    </row>
    <row r="465" spans="1:13" ht="27" customHeight="1" x14ac:dyDescent="0.2">
      <c r="A465" s="234"/>
      <c r="B465" s="420" t="s">
        <v>539</v>
      </c>
      <c r="C465" s="421"/>
      <c r="D465" s="421"/>
      <c r="E465" s="421"/>
      <c r="F465" s="421"/>
      <c r="G465" s="421"/>
      <c r="H465" s="239" t="s">
        <v>16</v>
      </c>
      <c r="I465" s="422"/>
      <c r="J465" s="422"/>
      <c r="K465" s="422"/>
      <c r="L465" s="423"/>
    </row>
    <row r="466" spans="1:13" ht="27" customHeight="1" x14ac:dyDescent="0.2">
      <c r="A466" s="197" t="str">
        <f>"F"&amp;A456</f>
        <v>F31</v>
      </c>
      <c r="B466" s="420" t="s">
        <v>540</v>
      </c>
      <c r="C466" s="421"/>
      <c r="D466" s="421"/>
      <c r="E466" s="421"/>
      <c r="F466" s="421"/>
      <c r="G466" s="421" t="s">
        <v>541</v>
      </c>
      <c r="H466" s="235" t="s">
        <v>211</v>
      </c>
      <c r="I466" s="422"/>
      <c r="J466" s="422"/>
      <c r="K466" s="422"/>
      <c r="L466" s="423"/>
    </row>
    <row r="467" spans="1:13" ht="27" customHeight="1" x14ac:dyDescent="0.2">
      <c r="A467" s="57"/>
      <c r="B467" s="420" t="s">
        <v>542</v>
      </c>
      <c r="C467" s="421"/>
      <c r="D467" s="421"/>
      <c r="E467" s="421"/>
      <c r="F467" s="421"/>
      <c r="G467" s="421" t="s">
        <v>543</v>
      </c>
      <c r="H467" s="236" t="str">
        <f>+IF(H456&lt;&gt;0,IF(L456&gt;=8,"SI","NO"),"")</f>
        <v>SI</v>
      </c>
      <c r="I467" s="422"/>
      <c r="J467" s="422"/>
      <c r="K467" s="422"/>
      <c r="L467" s="423"/>
    </row>
    <row r="468" spans="1:13" ht="27" customHeight="1" thickBot="1" x14ac:dyDescent="0.25">
      <c r="A468" s="57"/>
      <c r="B468" s="349" t="s">
        <v>544</v>
      </c>
      <c r="C468" s="350"/>
      <c r="D468" s="350"/>
      <c r="E468" s="350"/>
      <c r="F468" s="350"/>
      <c r="G468" s="350" t="s">
        <v>543</v>
      </c>
      <c r="H468" s="237" t="str">
        <f>+IF(H456&lt;&gt;0,IF(COUNTIF(H460:H463,"SI")&gt;=3,"SI","NO"),"")</f>
        <v>SI</v>
      </c>
      <c r="I468" s="416"/>
      <c r="J468" s="416"/>
      <c r="K468" s="416"/>
      <c r="L468" s="417"/>
    </row>
    <row r="469" spans="1:13" ht="16.5" customHeight="1" thickBot="1" x14ac:dyDescent="0.25">
      <c r="A469" s="197" t="str">
        <f>"E"&amp;A456</f>
        <v>E31</v>
      </c>
      <c r="D469" s="418" t="str">
        <f>+D454</f>
        <v>EL PROFESIONAL OFRECIDO POR EL PROPONENTE CUMPLE CON LOS REQUISITOS MÍNIMOS ESTABLECIDOS EN EL NUMERAL 4.1.2. (no se evalúa simultaneidad de procesos en esta celda)</v>
      </c>
      <c r="E469" s="419"/>
      <c r="F469" s="419"/>
      <c r="G469" s="419"/>
      <c r="H469" s="238" t="str">
        <f>IF(H456&lt;&gt;0,IF(AND(H465="SI",H467="SI",H468="SI"),"SI","NO"),"")</f>
        <v>SI</v>
      </c>
      <c r="J469" s="20"/>
      <c r="K469" s="20"/>
      <c r="L469" s="20"/>
    </row>
    <row r="470" spans="1:13" ht="12" thickBot="1" x14ac:dyDescent="0.25"/>
    <row r="471" spans="1:13" ht="45" x14ac:dyDescent="0.2">
      <c r="A471" s="442">
        <v>32</v>
      </c>
      <c r="B471" s="444" t="s">
        <v>930</v>
      </c>
      <c r="C471" s="444"/>
      <c r="D471" s="444"/>
      <c r="E471" s="444"/>
      <c r="F471" s="444"/>
      <c r="G471" s="446" t="s">
        <v>515</v>
      </c>
      <c r="H471" s="448" t="s">
        <v>961</v>
      </c>
      <c r="I471" s="225" t="s">
        <v>516</v>
      </c>
      <c r="J471" s="226" t="s">
        <v>517</v>
      </c>
      <c r="K471" s="450" t="s">
        <v>518</v>
      </c>
      <c r="L471" s="452">
        <f>+IF(J472&lt;&gt;0,ROUND(($E$4-J472)/360,0),"")</f>
        <v>30</v>
      </c>
    </row>
    <row r="472" spans="1:13" ht="15" thickBot="1" x14ac:dyDescent="0.25">
      <c r="A472" s="443"/>
      <c r="B472" s="445"/>
      <c r="C472" s="445"/>
      <c r="D472" s="445"/>
      <c r="E472" s="445"/>
      <c r="F472" s="445"/>
      <c r="G472" s="447"/>
      <c r="H472" s="449"/>
      <c r="I472" s="227">
        <v>76305233</v>
      </c>
      <c r="J472" s="228">
        <v>33346</v>
      </c>
      <c r="K472" s="451"/>
      <c r="L472" s="453"/>
    </row>
    <row r="473" spans="1:13" ht="11.25" customHeight="1" x14ac:dyDescent="0.2">
      <c r="A473" s="430" t="s">
        <v>171</v>
      </c>
      <c r="B473" s="431" t="s">
        <v>173</v>
      </c>
      <c r="C473" s="432"/>
      <c r="D473" s="432"/>
      <c r="E473" s="433"/>
      <c r="F473" s="434" t="s">
        <v>519</v>
      </c>
      <c r="G473" s="434" t="s">
        <v>520</v>
      </c>
      <c r="H473" s="434" t="s">
        <v>521</v>
      </c>
      <c r="I473" s="436" t="s">
        <v>522</v>
      </c>
      <c r="J473" s="437"/>
      <c r="K473" s="437"/>
      <c r="L473" s="438"/>
    </row>
    <row r="474" spans="1:13" ht="57.75" customHeight="1" thickBot="1" x14ac:dyDescent="0.25">
      <c r="A474" s="430"/>
      <c r="B474" s="26" t="s">
        <v>188</v>
      </c>
      <c r="C474" s="26" t="s">
        <v>189</v>
      </c>
      <c r="D474" s="26" t="s">
        <v>190</v>
      </c>
      <c r="E474" s="26" t="s">
        <v>191</v>
      </c>
      <c r="F474" s="435"/>
      <c r="G474" s="435"/>
      <c r="H474" s="435"/>
      <c r="I474" s="439"/>
      <c r="J474" s="440"/>
      <c r="K474" s="440"/>
      <c r="L474" s="441"/>
    </row>
    <row r="475" spans="1:13" s="27" customFormat="1" ht="38.25" x14ac:dyDescent="0.2">
      <c r="A475" s="241">
        <v>1</v>
      </c>
      <c r="B475" s="242" t="s">
        <v>828</v>
      </c>
      <c r="C475" s="243" t="s">
        <v>829</v>
      </c>
      <c r="D475" s="243" t="s">
        <v>830</v>
      </c>
      <c r="E475" s="242" t="s">
        <v>831</v>
      </c>
      <c r="F475" s="244" t="s">
        <v>561</v>
      </c>
      <c r="G475" s="245" t="s">
        <v>16</v>
      </c>
      <c r="H475" s="245" t="str">
        <f>+IF(B475&lt;&gt;"",IF(OR(F475="Otro",G475="NO"),"NO","SI"),"")</f>
        <v>SI</v>
      </c>
      <c r="I475" s="469"/>
      <c r="J475" s="469"/>
      <c r="K475" s="469"/>
      <c r="L475" s="470"/>
      <c r="M475" s="205"/>
    </row>
    <row r="476" spans="1:13" s="27" customFormat="1" ht="51" x14ac:dyDescent="0.2">
      <c r="A476" s="246">
        <v>2</v>
      </c>
      <c r="B476" s="39" t="s">
        <v>832</v>
      </c>
      <c r="C476" s="46" t="s">
        <v>833</v>
      </c>
      <c r="D476" s="46" t="s">
        <v>834</v>
      </c>
      <c r="E476" s="39" t="s">
        <v>835</v>
      </c>
      <c r="F476" s="41" t="s">
        <v>561</v>
      </c>
      <c r="G476" s="43" t="s">
        <v>16</v>
      </c>
      <c r="H476" s="43" t="str">
        <f>+IF(B476&lt;&gt;"",IF(OR(F476="Otro",G476="NO"),"NO","SI"),"")</f>
        <v>SI</v>
      </c>
      <c r="I476" s="422"/>
      <c r="J476" s="422"/>
      <c r="K476" s="422"/>
      <c r="L476" s="471"/>
      <c r="M476" s="205"/>
    </row>
    <row r="477" spans="1:13" s="27" customFormat="1" ht="51" x14ac:dyDescent="0.2">
      <c r="A477" s="246">
        <v>3</v>
      </c>
      <c r="B477" s="39" t="s">
        <v>43</v>
      </c>
      <c r="C477" s="46" t="s">
        <v>836</v>
      </c>
      <c r="D477" s="46" t="s">
        <v>837</v>
      </c>
      <c r="E477" s="39" t="s">
        <v>838</v>
      </c>
      <c r="F477" s="41" t="s">
        <v>561</v>
      </c>
      <c r="G477" s="43" t="s">
        <v>16</v>
      </c>
      <c r="H477" s="43" t="str">
        <f>+IF(B477&lt;&gt;"",IF(OR(F477="Otro",G477="NO"),"NO","SI"),"")</f>
        <v>SI</v>
      </c>
      <c r="I477" s="422"/>
      <c r="J477" s="422"/>
      <c r="K477" s="422"/>
      <c r="L477" s="471"/>
      <c r="M477" s="205"/>
    </row>
    <row r="478" spans="1:13" s="27" customFormat="1" ht="13.5" thickBot="1" x14ac:dyDescent="0.25">
      <c r="A478" s="247">
        <v>4</v>
      </c>
      <c r="B478" s="248"/>
      <c r="C478" s="249"/>
      <c r="D478" s="249"/>
      <c r="E478" s="248"/>
      <c r="F478" s="250"/>
      <c r="G478" s="251"/>
      <c r="H478" s="251" t="str">
        <f>+IF(B478&lt;&gt;"",IF(OR(F478="Otro",G478="NO"),"NO","SI"),"")</f>
        <v/>
      </c>
      <c r="I478" s="467"/>
      <c r="J478" s="467"/>
      <c r="K478" s="467"/>
      <c r="L478" s="468"/>
    </row>
    <row r="479" spans="1:13" ht="27" customHeight="1" x14ac:dyDescent="0.2">
      <c r="A479" s="197" t="str">
        <f>"D"&amp;A471</f>
        <v>D32</v>
      </c>
      <c r="B479" s="428" t="s">
        <v>538</v>
      </c>
      <c r="C479" s="429"/>
      <c r="D479" s="429"/>
      <c r="E479" s="429"/>
      <c r="F479" s="429"/>
      <c r="G479" s="429"/>
      <c r="H479" s="240" t="s">
        <v>16</v>
      </c>
      <c r="I479" s="456"/>
      <c r="J479" s="456"/>
      <c r="K479" s="456"/>
      <c r="L479" s="457"/>
    </row>
    <row r="480" spans="1:13" ht="27" customHeight="1" x14ac:dyDescent="0.2">
      <c r="A480" s="234"/>
      <c r="B480" s="420" t="s">
        <v>539</v>
      </c>
      <c r="C480" s="421"/>
      <c r="D480" s="421"/>
      <c r="E480" s="421"/>
      <c r="F480" s="421"/>
      <c r="G480" s="421"/>
      <c r="H480" s="239" t="s">
        <v>16</v>
      </c>
      <c r="I480" s="422"/>
      <c r="J480" s="422"/>
      <c r="K480" s="422"/>
      <c r="L480" s="423"/>
    </row>
    <row r="481" spans="1:12" ht="27" customHeight="1" x14ac:dyDescent="0.2">
      <c r="A481" s="197" t="str">
        <f>"F"&amp;A471</f>
        <v>F32</v>
      </c>
      <c r="B481" s="420" t="s">
        <v>540</v>
      </c>
      <c r="C481" s="421"/>
      <c r="D481" s="421"/>
      <c r="E481" s="421"/>
      <c r="F481" s="421"/>
      <c r="G481" s="421" t="s">
        <v>541</v>
      </c>
      <c r="H481" s="235" t="s">
        <v>211</v>
      </c>
      <c r="I481" s="422"/>
      <c r="J481" s="422"/>
      <c r="K481" s="422"/>
      <c r="L481" s="423"/>
    </row>
    <row r="482" spans="1:12" ht="27" customHeight="1" x14ac:dyDescent="0.2">
      <c r="A482" s="57"/>
      <c r="B482" s="420" t="s">
        <v>542</v>
      </c>
      <c r="C482" s="421"/>
      <c r="D482" s="421"/>
      <c r="E482" s="421"/>
      <c r="F482" s="421"/>
      <c r="G482" s="421" t="s">
        <v>543</v>
      </c>
      <c r="H482" s="236" t="str">
        <f>+IF(H471&lt;&gt;0,IF(L471&gt;=8,"SI","NO"),"")</f>
        <v>SI</v>
      </c>
      <c r="I482" s="422"/>
      <c r="J482" s="422"/>
      <c r="K482" s="422"/>
      <c r="L482" s="423"/>
    </row>
    <row r="483" spans="1:12" ht="27" customHeight="1" thickBot="1" x14ac:dyDescent="0.25">
      <c r="A483" s="57"/>
      <c r="B483" s="349" t="s">
        <v>544</v>
      </c>
      <c r="C483" s="350"/>
      <c r="D483" s="350"/>
      <c r="E483" s="350"/>
      <c r="F483" s="350"/>
      <c r="G483" s="350" t="s">
        <v>543</v>
      </c>
      <c r="H483" s="237" t="str">
        <f>+IF(H471&lt;&gt;0,IF(COUNTIF(H475:H478,"SI")&gt;=3,"SI","NO"),"")</f>
        <v>SI</v>
      </c>
      <c r="I483" s="416"/>
      <c r="J483" s="416"/>
      <c r="K483" s="416"/>
      <c r="L483" s="417"/>
    </row>
    <row r="484" spans="1:12" ht="16.5" customHeight="1" thickBot="1" x14ac:dyDescent="0.25">
      <c r="A484" s="197" t="str">
        <f>"E"&amp;A471</f>
        <v>E32</v>
      </c>
      <c r="D484" s="418" t="str">
        <f>+D469</f>
        <v>EL PROFESIONAL OFRECIDO POR EL PROPONENTE CUMPLE CON LOS REQUISITOS MÍNIMOS ESTABLECIDOS EN EL NUMERAL 4.1.2. (no se evalúa simultaneidad de procesos en esta celda)</v>
      </c>
      <c r="E484" s="419"/>
      <c r="F484" s="419"/>
      <c r="G484" s="419"/>
      <c r="H484" s="238" t="str">
        <f>IF(H471&lt;&gt;0,IF(AND(H480="SI",H482="SI",H483="SI"),"SI","NO"),"")</f>
        <v>SI</v>
      </c>
      <c r="J484" s="20"/>
      <c r="K484" s="20"/>
      <c r="L484" s="20"/>
    </row>
    <row r="485" spans="1:12" ht="12" thickBot="1" x14ac:dyDescent="0.25"/>
    <row r="486" spans="1:12" ht="45" x14ac:dyDescent="0.2">
      <c r="A486" s="442">
        <v>33</v>
      </c>
      <c r="B486" s="444" t="s">
        <v>158</v>
      </c>
      <c r="C486" s="444"/>
      <c r="D486" s="444"/>
      <c r="E486" s="444"/>
      <c r="F486" s="444"/>
      <c r="G486" s="446" t="s">
        <v>515</v>
      </c>
      <c r="H486" s="448" t="s">
        <v>962</v>
      </c>
      <c r="I486" s="225" t="s">
        <v>516</v>
      </c>
      <c r="J486" s="226" t="s">
        <v>517</v>
      </c>
      <c r="K486" s="450" t="s">
        <v>518</v>
      </c>
      <c r="L486" s="452">
        <f>+IF(J487&lt;&gt;0,ROUND(($E$4-J487)/360,0),"")</f>
        <v>19</v>
      </c>
    </row>
    <row r="487" spans="1:12" ht="15" thickBot="1" x14ac:dyDescent="0.25">
      <c r="A487" s="443"/>
      <c r="B487" s="445"/>
      <c r="C487" s="445"/>
      <c r="D487" s="445"/>
      <c r="E487" s="445"/>
      <c r="F487" s="445"/>
      <c r="G487" s="447"/>
      <c r="H487" s="449"/>
      <c r="I487" s="227">
        <v>76323872</v>
      </c>
      <c r="J487" s="228">
        <v>37308</v>
      </c>
      <c r="K487" s="451"/>
      <c r="L487" s="453"/>
    </row>
    <row r="488" spans="1:12" ht="11.25" customHeight="1" x14ac:dyDescent="0.2">
      <c r="A488" s="430" t="s">
        <v>171</v>
      </c>
      <c r="B488" s="431" t="s">
        <v>173</v>
      </c>
      <c r="C488" s="432"/>
      <c r="D488" s="432"/>
      <c r="E488" s="433"/>
      <c r="F488" s="434" t="s">
        <v>519</v>
      </c>
      <c r="G488" s="434" t="s">
        <v>520</v>
      </c>
      <c r="H488" s="434" t="s">
        <v>521</v>
      </c>
      <c r="I488" s="436" t="s">
        <v>522</v>
      </c>
      <c r="J488" s="437"/>
      <c r="K488" s="437"/>
      <c r="L488" s="438"/>
    </row>
    <row r="489" spans="1:12" ht="57.75" customHeight="1" thickBot="1" x14ac:dyDescent="0.25">
      <c r="A489" s="430"/>
      <c r="B489" s="26" t="s">
        <v>188</v>
      </c>
      <c r="C489" s="26" t="s">
        <v>189</v>
      </c>
      <c r="D489" s="26" t="s">
        <v>190</v>
      </c>
      <c r="E489" s="26" t="s">
        <v>191</v>
      </c>
      <c r="F489" s="435"/>
      <c r="G489" s="435"/>
      <c r="H489" s="435"/>
      <c r="I489" s="439"/>
      <c r="J489" s="440"/>
      <c r="K489" s="440"/>
      <c r="L489" s="441"/>
    </row>
    <row r="490" spans="1:12" s="27" customFormat="1" ht="63.75" customHeight="1" x14ac:dyDescent="0.2">
      <c r="A490" s="241">
        <v>1</v>
      </c>
      <c r="B490" s="242" t="s">
        <v>839</v>
      </c>
      <c r="C490" s="243" t="s">
        <v>840</v>
      </c>
      <c r="D490" s="243" t="s">
        <v>841</v>
      </c>
      <c r="E490" s="242" t="s">
        <v>842</v>
      </c>
      <c r="F490" s="244" t="s">
        <v>527</v>
      </c>
      <c r="G490" s="245" t="s">
        <v>211</v>
      </c>
      <c r="H490" s="245" t="str">
        <f>+IF(B490&lt;&gt;"",IF(OR(F490="Otro",G490="NO"),"NO","SI"),"")</f>
        <v>NO</v>
      </c>
      <c r="I490" s="462" t="s">
        <v>843</v>
      </c>
      <c r="J490" s="462"/>
      <c r="K490" s="462"/>
      <c r="L490" s="463"/>
    </row>
    <row r="491" spans="1:12" s="27" customFormat="1" ht="70.5" customHeight="1" x14ac:dyDescent="0.2">
      <c r="A491" s="246">
        <v>2</v>
      </c>
      <c r="B491" s="39" t="s">
        <v>844</v>
      </c>
      <c r="C491" s="46" t="s">
        <v>845</v>
      </c>
      <c r="D491" s="46" t="s">
        <v>846</v>
      </c>
      <c r="E491" s="39" t="s">
        <v>847</v>
      </c>
      <c r="F491" s="41" t="s">
        <v>527</v>
      </c>
      <c r="G491" s="43" t="s">
        <v>16</v>
      </c>
      <c r="H491" s="43" t="str">
        <f>+IF(B491&lt;&gt;"",IF(OR(F491="Otro",G491="NO"),"NO","SI"),"")</f>
        <v>SI</v>
      </c>
      <c r="I491" s="464" t="s">
        <v>848</v>
      </c>
      <c r="J491" s="464"/>
      <c r="K491" s="464"/>
      <c r="L491" s="465"/>
    </row>
    <row r="492" spans="1:12" s="27" customFormat="1" ht="25.5" x14ac:dyDescent="0.2">
      <c r="A492" s="246">
        <v>3</v>
      </c>
      <c r="B492" s="39" t="s">
        <v>840</v>
      </c>
      <c r="C492" s="46" t="s">
        <v>840</v>
      </c>
      <c r="D492" s="46" t="s">
        <v>849</v>
      </c>
      <c r="E492" s="39" t="s">
        <v>850</v>
      </c>
      <c r="F492" s="41" t="s">
        <v>527</v>
      </c>
      <c r="G492" s="43" t="s">
        <v>16</v>
      </c>
      <c r="H492" s="43" t="str">
        <f>+IF(B492&lt;&gt;"",IF(OR(F492="Otro",G492="NO"),"NO","SI"),"")</f>
        <v>SI</v>
      </c>
      <c r="I492" s="460"/>
      <c r="J492" s="460"/>
      <c r="K492" s="460"/>
      <c r="L492" s="466"/>
    </row>
    <row r="493" spans="1:12" s="27" customFormat="1" ht="13.5" thickBot="1" x14ac:dyDescent="0.25">
      <c r="A493" s="247">
        <v>4</v>
      </c>
      <c r="B493" s="248"/>
      <c r="C493" s="249"/>
      <c r="D493" s="249"/>
      <c r="E493" s="248"/>
      <c r="F493" s="250"/>
      <c r="G493" s="251"/>
      <c r="H493" s="251" t="str">
        <f>+IF(B493&lt;&gt;"",IF(OR(F493="Otro",G493="NO"),"NO","SI"),"")</f>
        <v/>
      </c>
      <c r="I493" s="467"/>
      <c r="J493" s="467"/>
      <c r="K493" s="467"/>
      <c r="L493" s="468"/>
    </row>
    <row r="494" spans="1:12" ht="27" customHeight="1" x14ac:dyDescent="0.2">
      <c r="A494" s="197" t="str">
        <f>"D"&amp;A486</f>
        <v>D33</v>
      </c>
      <c r="B494" s="428" t="s">
        <v>538</v>
      </c>
      <c r="C494" s="429"/>
      <c r="D494" s="429"/>
      <c r="E494" s="429"/>
      <c r="F494" s="429"/>
      <c r="G494" s="429"/>
      <c r="H494" s="256" t="s">
        <v>16</v>
      </c>
      <c r="I494" s="456"/>
      <c r="J494" s="456"/>
      <c r="K494" s="456"/>
      <c r="L494" s="457"/>
    </row>
    <row r="495" spans="1:12" ht="27" customHeight="1" x14ac:dyDescent="0.2">
      <c r="A495" s="234"/>
      <c r="B495" s="420" t="s">
        <v>539</v>
      </c>
      <c r="C495" s="421"/>
      <c r="D495" s="421"/>
      <c r="E495" s="421"/>
      <c r="F495" s="421"/>
      <c r="G495" s="421"/>
      <c r="H495" s="43" t="s">
        <v>16</v>
      </c>
      <c r="I495" s="422"/>
      <c r="J495" s="422"/>
      <c r="K495" s="422"/>
      <c r="L495" s="423"/>
    </row>
    <row r="496" spans="1:12" ht="27" customHeight="1" x14ac:dyDescent="0.2">
      <c r="A496" s="197" t="str">
        <f>"F"&amp;A486</f>
        <v>F33</v>
      </c>
      <c r="B496" s="420" t="s">
        <v>540</v>
      </c>
      <c r="C496" s="421"/>
      <c r="D496" s="421"/>
      <c r="E496" s="421"/>
      <c r="F496" s="421"/>
      <c r="G496" s="421" t="s">
        <v>541</v>
      </c>
      <c r="H496" s="235" t="s">
        <v>211</v>
      </c>
      <c r="I496" s="422"/>
      <c r="J496" s="422"/>
      <c r="K496" s="422"/>
      <c r="L496" s="423"/>
    </row>
    <row r="497" spans="1:12" ht="27" customHeight="1" x14ac:dyDescent="0.2">
      <c r="A497" s="57"/>
      <c r="B497" s="420" t="s">
        <v>542</v>
      </c>
      <c r="C497" s="421"/>
      <c r="D497" s="421"/>
      <c r="E497" s="421"/>
      <c r="F497" s="421"/>
      <c r="G497" s="421" t="s">
        <v>543</v>
      </c>
      <c r="H497" s="236" t="str">
        <f>+IF(H486&lt;&gt;0,IF(L486&gt;=8,"SI","NO"),"")</f>
        <v>SI</v>
      </c>
      <c r="I497" s="422"/>
      <c r="J497" s="422"/>
      <c r="K497" s="422"/>
      <c r="L497" s="423"/>
    </row>
    <row r="498" spans="1:12" ht="27" customHeight="1" thickBot="1" x14ac:dyDescent="0.25">
      <c r="A498" s="57"/>
      <c r="B498" s="349" t="s">
        <v>544</v>
      </c>
      <c r="C498" s="350"/>
      <c r="D498" s="350"/>
      <c r="E498" s="350"/>
      <c r="F498" s="350"/>
      <c r="G498" s="350" t="s">
        <v>543</v>
      </c>
      <c r="H498" s="237" t="str">
        <f>+IF(H486&lt;&gt;0,IF(COUNTIF(H490:H493,"SI")&gt;=3,"SI","NO"),"")</f>
        <v>NO</v>
      </c>
      <c r="I498" s="416"/>
      <c r="J498" s="416"/>
      <c r="K498" s="416"/>
      <c r="L498" s="417"/>
    </row>
    <row r="499" spans="1:12" ht="16.5" customHeight="1" thickBot="1" x14ac:dyDescent="0.25">
      <c r="A499" s="197" t="str">
        <f>"E"&amp;A486</f>
        <v>E33</v>
      </c>
      <c r="D499" s="418" t="str">
        <f>+D484</f>
        <v>EL PROFESIONAL OFRECIDO POR EL PROPONENTE CUMPLE CON LOS REQUISITOS MÍNIMOS ESTABLECIDOS EN EL NUMERAL 4.1.2. (no se evalúa simultaneidad de procesos en esta celda)</v>
      </c>
      <c r="E499" s="419"/>
      <c r="F499" s="419"/>
      <c r="G499" s="419"/>
      <c r="H499" s="238" t="str">
        <f>IF(H486&lt;&gt;0,IF(AND(H495="SI",H497="SI",H498="SI"),"SI","NO"),"")</f>
        <v>NO</v>
      </c>
      <c r="J499" s="20"/>
      <c r="K499" s="20"/>
      <c r="L499" s="20"/>
    </row>
    <row r="500" spans="1:12" ht="12" thickBot="1" x14ac:dyDescent="0.25"/>
    <row r="501" spans="1:12" ht="45" x14ac:dyDescent="0.2">
      <c r="A501" s="442">
        <v>34</v>
      </c>
      <c r="B501" s="444" t="s">
        <v>932</v>
      </c>
      <c r="C501" s="444"/>
      <c r="D501" s="444"/>
      <c r="E501" s="444"/>
      <c r="F501" s="444"/>
      <c r="G501" s="446" t="s">
        <v>515</v>
      </c>
      <c r="H501" s="448">
        <v>0</v>
      </c>
      <c r="I501" s="225" t="s">
        <v>516</v>
      </c>
      <c r="J501" s="226" t="s">
        <v>517</v>
      </c>
      <c r="K501" s="450" t="s">
        <v>518</v>
      </c>
      <c r="L501" s="452" t="str">
        <f>+IF(J502&lt;&gt;0,ROUND(($E$4-J502)/360,0),"")</f>
        <v/>
      </c>
    </row>
    <row r="502" spans="1:12" ht="15" thickBot="1" x14ac:dyDescent="0.25">
      <c r="A502" s="443"/>
      <c r="B502" s="445"/>
      <c r="C502" s="445"/>
      <c r="D502" s="445"/>
      <c r="E502" s="445"/>
      <c r="F502" s="445"/>
      <c r="G502" s="447"/>
      <c r="H502" s="449"/>
      <c r="I502" s="227">
        <v>0</v>
      </c>
      <c r="J502" s="228">
        <v>0</v>
      </c>
      <c r="K502" s="451"/>
      <c r="L502" s="453"/>
    </row>
    <row r="503" spans="1:12" ht="11.25" customHeight="1" x14ac:dyDescent="0.2">
      <c r="A503" s="430" t="s">
        <v>171</v>
      </c>
      <c r="B503" s="431" t="s">
        <v>173</v>
      </c>
      <c r="C503" s="432"/>
      <c r="D503" s="432"/>
      <c r="E503" s="433"/>
      <c r="F503" s="434" t="s">
        <v>519</v>
      </c>
      <c r="G503" s="434" t="s">
        <v>520</v>
      </c>
      <c r="H503" s="434" t="s">
        <v>521</v>
      </c>
      <c r="I503" s="436" t="s">
        <v>522</v>
      </c>
      <c r="J503" s="437"/>
      <c r="K503" s="437"/>
      <c r="L503" s="438"/>
    </row>
    <row r="504" spans="1:12" ht="57.75" customHeight="1" thickBot="1" x14ac:dyDescent="0.25">
      <c r="A504" s="430"/>
      <c r="B504" s="26" t="s">
        <v>188</v>
      </c>
      <c r="C504" s="26" t="s">
        <v>189</v>
      </c>
      <c r="D504" s="26" t="s">
        <v>190</v>
      </c>
      <c r="E504" s="26" t="s">
        <v>191</v>
      </c>
      <c r="F504" s="435"/>
      <c r="G504" s="435"/>
      <c r="H504" s="435"/>
      <c r="I504" s="439"/>
      <c r="J504" s="440"/>
      <c r="K504" s="440"/>
      <c r="L504" s="441"/>
    </row>
    <row r="505" spans="1:12" s="27" customFormat="1" ht="12.75" x14ac:dyDescent="0.2">
      <c r="A505" s="28">
        <v>1</v>
      </c>
      <c r="B505" s="86"/>
      <c r="C505" s="87"/>
      <c r="D505" s="87"/>
      <c r="E505" s="86"/>
      <c r="F505" s="31"/>
      <c r="G505" s="33"/>
      <c r="H505" s="33" t="str">
        <f>+IF(B505&lt;&gt;"",IF(OR(F505="Otro",G505="NO"),"NO","SI"),"")</f>
        <v/>
      </c>
      <c r="I505" s="424"/>
      <c r="J505" s="424"/>
      <c r="K505" s="424"/>
      <c r="L505" s="425"/>
    </row>
    <row r="506" spans="1:12" s="27" customFormat="1" ht="12.75" x14ac:dyDescent="0.2">
      <c r="A506" s="38">
        <v>2</v>
      </c>
      <c r="B506" s="39"/>
      <c r="C506" s="46"/>
      <c r="D506" s="46"/>
      <c r="E506" s="39"/>
      <c r="F506" s="41"/>
      <c r="G506" s="43"/>
      <c r="H506" s="43" t="str">
        <f>+IF(B506&lt;&gt;"",IF(OR(F506="Otro",G506="NO"),"NO","SI"),"")</f>
        <v/>
      </c>
      <c r="I506" s="422"/>
      <c r="J506" s="422"/>
      <c r="K506" s="422"/>
      <c r="L506" s="423"/>
    </row>
    <row r="507" spans="1:12" s="27" customFormat="1" ht="12.75" x14ac:dyDescent="0.2">
      <c r="A507" s="38">
        <v>3</v>
      </c>
      <c r="B507" s="39"/>
      <c r="C507" s="46"/>
      <c r="D507" s="46"/>
      <c r="E507" s="39"/>
      <c r="F507" s="41"/>
      <c r="G507" s="43"/>
      <c r="H507" s="43" t="str">
        <f>+IF(B507&lt;&gt;"",IF(OR(F507="Otro",G507="NO"),"NO","SI"),"")</f>
        <v/>
      </c>
      <c r="I507" s="422"/>
      <c r="J507" s="422"/>
      <c r="K507" s="422"/>
      <c r="L507" s="423"/>
    </row>
    <row r="508" spans="1:12" s="27" customFormat="1" ht="13.5" thickBot="1" x14ac:dyDescent="0.25">
      <c r="A508" s="47">
        <v>4</v>
      </c>
      <c r="B508" s="230"/>
      <c r="C508" s="231"/>
      <c r="D508" s="231"/>
      <c r="E508" s="230"/>
      <c r="F508" s="232"/>
      <c r="G508" s="233"/>
      <c r="H508" s="233" t="str">
        <f>+IF(B508&lt;&gt;"",IF(OR(F508="Otro",G508="NO"),"NO","SI"),"")</f>
        <v/>
      </c>
      <c r="I508" s="426"/>
      <c r="J508" s="426"/>
      <c r="K508" s="426"/>
      <c r="L508" s="427"/>
    </row>
    <row r="509" spans="1:12" ht="27" customHeight="1" x14ac:dyDescent="0.2">
      <c r="A509" s="197" t="str">
        <f>"D"&amp;A501</f>
        <v>D34</v>
      </c>
      <c r="B509" s="428" t="s">
        <v>538</v>
      </c>
      <c r="C509" s="429"/>
      <c r="D509" s="429"/>
      <c r="E509" s="429"/>
      <c r="F509" s="429"/>
      <c r="G509" s="429"/>
      <c r="H509" s="255"/>
      <c r="I509" s="424"/>
      <c r="J509" s="424"/>
      <c r="K509" s="424"/>
      <c r="L509" s="425"/>
    </row>
    <row r="510" spans="1:12" ht="27" customHeight="1" x14ac:dyDescent="0.2">
      <c r="A510" s="234"/>
      <c r="B510" s="420" t="s">
        <v>539</v>
      </c>
      <c r="C510" s="421"/>
      <c r="D510" s="421"/>
      <c r="E510" s="421"/>
      <c r="F510" s="421"/>
      <c r="G510" s="421"/>
      <c r="H510" s="257"/>
      <c r="I510" s="422"/>
      <c r="J510" s="422"/>
      <c r="K510" s="422"/>
      <c r="L510" s="423"/>
    </row>
    <row r="511" spans="1:12" ht="27" customHeight="1" x14ac:dyDescent="0.2">
      <c r="A511" s="197" t="str">
        <f>"F"&amp;A501</f>
        <v>F34</v>
      </c>
      <c r="B511" s="420" t="s">
        <v>540</v>
      </c>
      <c r="C511" s="421"/>
      <c r="D511" s="421"/>
      <c r="E511" s="421"/>
      <c r="F511" s="421"/>
      <c r="G511" s="421" t="s">
        <v>541</v>
      </c>
      <c r="H511" s="235" t="s">
        <v>932</v>
      </c>
      <c r="I511" s="422"/>
      <c r="J511" s="422"/>
      <c r="K511" s="422"/>
      <c r="L511" s="423"/>
    </row>
    <row r="512" spans="1:12" ht="27" customHeight="1" x14ac:dyDescent="0.2">
      <c r="A512" s="57"/>
      <c r="B512" s="420" t="s">
        <v>542</v>
      </c>
      <c r="C512" s="421"/>
      <c r="D512" s="421"/>
      <c r="E512" s="421"/>
      <c r="F512" s="421"/>
      <c r="G512" s="421" t="s">
        <v>543</v>
      </c>
      <c r="H512" s="236" t="str">
        <f>+IF(H501&lt;&gt;0,IF(L501&gt;=8,"SI","NO"),"")</f>
        <v/>
      </c>
      <c r="I512" s="422"/>
      <c r="J512" s="422"/>
      <c r="K512" s="422"/>
      <c r="L512" s="423"/>
    </row>
    <row r="513" spans="1:12" ht="27" customHeight="1" thickBot="1" x14ac:dyDescent="0.25">
      <c r="A513" s="57"/>
      <c r="B513" s="349" t="s">
        <v>544</v>
      </c>
      <c r="C513" s="350"/>
      <c r="D513" s="350"/>
      <c r="E513" s="350"/>
      <c r="F513" s="350"/>
      <c r="G513" s="350" t="s">
        <v>543</v>
      </c>
      <c r="H513" s="237" t="str">
        <f>+IF(H501&lt;&gt;0,IF(COUNTIF(H505:H508,"SI")&gt;=3,"SI","NO"),"")</f>
        <v/>
      </c>
      <c r="I513" s="416"/>
      <c r="J513" s="416"/>
      <c r="K513" s="416"/>
      <c r="L513" s="417"/>
    </row>
    <row r="514" spans="1:12" ht="16.5" customHeight="1" thickBot="1" x14ac:dyDescent="0.25">
      <c r="A514" s="197" t="str">
        <f>"E"&amp;A501</f>
        <v>E34</v>
      </c>
      <c r="D514" s="418" t="str">
        <f>+D499</f>
        <v>EL PROFESIONAL OFRECIDO POR EL PROPONENTE CUMPLE CON LOS REQUISITOS MÍNIMOS ESTABLECIDOS EN EL NUMERAL 4.1.2. (no se evalúa simultaneidad de procesos en esta celda)</v>
      </c>
      <c r="E514" s="419"/>
      <c r="F514" s="419"/>
      <c r="G514" s="419"/>
      <c r="H514" s="238" t="str">
        <f>IF(H501&lt;&gt;0,IF(AND(H510="SI",H512="SI",H513="SI"),"SI","NO"),"")</f>
        <v/>
      </c>
      <c r="J514" s="20"/>
      <c r="K514" s="20"/>
      <c r="L514" s="20"/>
    </row>
    <row r="515" spans="1:12" ht="12" thickBot="1" x14ac:dyDescent="0.25"/>
    <row r="516" spans="1:12" ht="45" x14ac:dyDescent="0.2">
      <c r="A516" s="442">
        <v>35</v>
      </c>
      <c r="B516" s="444" t="s">
        <v>932</v>
      </c>
      <c r="C516" s="444"/>
      <c r="D516" s="444"/>
      <c r="E516" s="444"/>
      <c r="F516" s="444"/>
      <c r="G516" s="446" t="s">
        <v>515</v>
      </c>
      <c r="H516" s="448">
        <v>0</v>
      </c>
      <c r="I516" s="225" t="s">
        <v>516</v>
      </c>
      <c r="J516" s="226" t="s">
        <v>517</v>
      </c>
      <c r="K516" s="450" t="s">
        <v>518</v>
      </c>
      <c r="L516" s="452" t="str">
        <f>+IF(J517&lt;&gt;0,ROUND(($E$4-J517)/360,0),"")</f>
        <v/>
      </c>
    </row>
    <row r="517" spans="1:12" ht="15" thickBot="1" x14ac:dyDescent="0.25">
      <c r="A517" s="443"/>
      <c r="B517" s="445"/>
      <c r="C517" s="445"/>
      <c r="D517" s="445"/>
      <c r="E517" s="445"/>
      <c r="F517" s="445"/>
      <c r="G517" s="447"/>
      <c r="H517" s="449"/>
      <c r="I517" s="227">
        <v>0</v>
      </c>
      <c r="J517" s="228">
        <v>0</v>
      </c>
      <c r="K517" s="451"/>
      <c r="L517" s="453"/>
    </row>
    <row r="518" spans="1:12" ht="11.25" customHeight="1" x14ac:dyDescent="0.2">
      <c r="A518" s="430" t="s">
        <v>171</v>
      </c>
      <c r="B518" s="431" t="s">
        <v>173</v>
      </c>
      <c r="C518" s="432"/>
      <c r="D518" s="432"/>
      <c r="E518" s="433"/>
      <c r="F518" s="434" t="s">
        <v>519</v>
      </c>
      <c r="G518" s="434" t="s">
        <v>520</v>
      </c>
      <c r="H518" s="434" t="s">
        <v>521</v>
      </c>
      <c r="I518" s="436" t="s">
        <v>522</v>
      </c>
      <c r="J518" s="437"/>
      <c r="K518" s="437"/>
      <c r="L518" s="438"/>
    </row>
    <row r="519" spans="1:12" ht="57.75" customHeight="1" thickBot="1" x14ac:dyDescent="0.25">
      <c r="A519" s="430"/>
      <c r="B519" s="26" t="s">
        <v>188</v>
      </c>
      <c r="C519" s="26" t="s">
        <v>189</v>
      </c>
      <c r="D519" s="26" t="s">
        <v>190</v>
      </c>
      <c r="E519" s="26" t="s">
        <v>191</v>
      </c>
      <c r="F519" s="435"/>
      <c r="G519" s="435"/>
      <c r="H519" s="435"/>
      <c r="I519" s="439"/>
      <c r="J519" s="440"/>
      <c r="K519" s="440"/>
      <c r="L519" s="441"/>
    </row>
    <row r="520" spans="1:12" s="27" customFormat="1" ht="12.75" x14ac:dyDescent="0.2">
      <c r="A520" s="28">
        <v>1</v>
      </c>
      <c r="B520" s="86"/>
      <c r="C520" s="87"/>
      <c r="D520" s="87"/>
      <c r="E520" s="86"/>
      <c r="F520" s="31"/>
      <c r="G520" s="33"/>
      <c r="H520" s="33" t="str">
        <f>+IF(B520&lt;&gt;"",IF(OR(F520="Otro",G520="NO"),"NO","SI"),"")</f>
        <v/>
      </c>
      <c r="I520" s="424"/>
      <c r="J520" s="424"/>
      <c r="K520" s="424"/>
      <c r="L520" s="425"/>
    </row>
    <row r="521" spans="1:12" s="27" customFormat="1" ht="12.75" x14ac:dyDescent="0.2">
      <c r="A521" s="38">
        <v>2</v>
      </c>
      <c r="B521" s="39"/>
      <c r="C521" s="46"/>
      <c r="D521" s="46"/>
      <c r="E521" s="39"/>
      <c r="F521" s="41"/>
      <c r="G521" s="43"/>
      <c r="H521" s="43" t="str">
        <f>+IF(B521&lt;&gt;"",IF(OR(F521="Otro",G521="NO"),"NO","SI"),"")</f>
        <v/>
      </c>
      <c r="I521" s="422"/>
      <c r="J521" s="422"/>
      <c r="K521" s="422"/>
      <c r="L521" s="423"/>
    </row>
    <row r="522" spans="1:12" s="27" customFormat="1" ht="12.75" x14ac:dyDescent="0.2">
      <c r="A522" s="38">
        <v>3</v>
      </c>
      <c r="B522" s="39"/>
      <c r="C522" s="46"/>
      <c r="D522" s="46"/>
      <c r="E522" s="39"/>
      <c r="F522" s="41"/>
      <c r="G522" s="43"/>
      <c r="H522" s="43" t="str">
        <f>+IF(B522&lt;&gt;"",IF(OR(F522="Otro",G522="NO"),"NO","SI"),"")</f>
        <v/>
      </c>
      <c r="I522" s="422"/>
      <c r="J522" s="422"/>
      <c r="K522" s="422"/>
      <c r="L522" s="423"/>
    </row>
    <row r="523" spans="1:12" s="27" customFormat="1" ht="13.5" thickBot="1" x14ac:dyDescent="0.25">
      <c r="A523" s="47">
        <v>4</v>
      </c>
      <c r="B523" s="230"/>
      <c r="C523" s="231"/>
      <c r="D523" s="231"/>
      <c r="E523" s="230"/>
      <c r="F523" s="232"/>
      <c r="G523" s="233"/>
      <c r="H523" s="233" t="str">
        <f>+IF(B523&lt;&gt;"",IF(OR(F523="Otro",G523="NO"),"NO","SI"),"")</f>
        <v/>
      </c>
      <c r="I523" s="426"/>
      <c r="J523" s="426"/>
      <c r="K523" s="426"/>
      <c r="L523" s="427"/>
    </row>
    <row r="524" spans="1:12" ht="27" customHeight="1" x14ac:dyDescent="0.2">
      <c r="A524" s="197" t="str">
        <f>"D"&amp;A516</f>
        <v>D35</v>
      </c>
      <c r="B524" s="428" t="s">
        <v>538</v>
      </c>
      <c r="C524" s="429"/>
      <c r="D524" s="429"/>
      <c r="E524" s="429"/>
      <c r="F524" s="429"/>
      <c r="G524" s="429"/>
      <c r="H524" s="33"/>
      <c r="I524" s="424"/>
      <c r="J524" s="424"/>
      <c r="K524" s="424"/>
      <c r="L524" s="425"/>
    </row>
    <row r="525" spans="1:12" ht="27" customHeight="1" x14ac:dyDescent="0.2">
      <c r="A525" s="234"/>
      <c r="B525" s="420" t="s">
        <v>539</v>
      </c>
      <c r="C525" s="421"/>
      <c r="D525" s="421"/>
      <c r="E525" s="421"/>
      <c r="F525" s="421"/>
      <c r="G525" s="421"/>
      <c r="H525" s="43"/>
      <c r="I525" s="422"/>
      <c r="J525" s="422"/>
      <c r="K525" s="422"/>
      <c r="L525" s="423"/>
    </row>
    <row r="526" spans="1:12" ht="27" customHeight="1" x14ac:dyDescent="0.2">
      <c r="A526" s="197" t="str">
        <f>"F"&amp;A516</f>
        <v>F35</v>
      </c>
      <c r="B526" s="420" t="s">
        <v>540</v>
      </c>
      <c r="C526" s="421"/>
      <c r="D526" s="421"/>
      <c r="E526" s="421"/>
      <c r="F526" s="421"/>
      <c r="G526" s="421" t="s">
        <v>541</v>
      </c>
      <c r="H526" s="235" t="s">
        <v>932</v>
      </c>
      <c r="I526" s="422"/>
      <c r="J526" s="422"/>
      <c r="K526" s="422"/>
      <c r="L526" s="423"/>
    </row>
    <row r="527" spans="1:12" ht="27" customHeight="1" x14ac:dyDescent="0.2">
      <c r="A527" s="57"/>
      <c r="B527" s="420" t="s">
        <v>542</v>
      </c>
      <c r="C527" s="421"/>
      <c r="D527" s="421"/>
      <c r="E527" s="421"/>
      <c r="F527" s="421"/>
      <c r="G527" s="421" t="s">
        <v>543</v>
      </c>
      <c r="H527" s="236" t="str">
        <f>+IF(H516&lt;&gt;0,IF(L516&gt;=8,"SI","NO"),"")</f>
        <v/>
      </c>
      <c r="I527" s="422"/>
      <c r="J527" s="422"/>
      <c r="K527" s="422"/>
      <c r="L527" s="423"/>
    </row>
    <row r="528" spans="1:12" ht="27" customHeight="1" thickBot="1" x14ac:dyDescent="0.25">
      <c r="A528" s="57"/>
      <c r="B528" s="349" t="s">
        <v>544</v>
      </c>
      <c r="C528" s="350"/>
      <c r="D528" s="350"/>
      <c r="E528" s="350"/>
      <c r="F528" s="350"/>
      <c r="G528" s="350" t="s">
        <v>543</v>
      </c>
      <c r="H528" s="237" t="str">
        <f>+IF(H516&lt;&gt;0,IF(COUNTIF(H520:H523,"SI")&gt;=3,"SI","NO"),"")</f>
        <v/>
      </c>
      <c r="I528" s="416"/>
      <c r="J528" s="416"/>
      <c r="K528" s="416"/>
      <c r="L528" s="417"/>
    </row>
    <row r="529" spans="1:12" ht="16.5" customHeight="1" thickBot="1" x14ac:dyDescent="0.25">
      <c r="A529" s="197" t="str">
        <f>"E"&amp;A516</f>
        <v>E35</v>
      </c>
      <c r="D529" s="418" t="str">
        <f>+D514</f>
        <v>EL PROFESIONAL OFRECIDO POR EL PROPONENTE CUMPLE CON LOS REQUISITOS MÍNIMOS ESTABLECIDOS EN EL NUMERAL 4.1.2. (no se evalúa simultaneidad de procesos en esta celda)</v>
      </c>
      <c r="E529" s="419"/>
      <c r="F529" s="419"/>
      <c r="G529" s="419"/>
      <c r="H529" s="238" t="str">
        <f>IF(H516&lt;&gt;0,IF(AND(H525="SI",H527="SI",H528="SI"),"SI","NO"),"")</f>
        <v/>
      </c>
      <c r="J529" s="20"/>
      <c r="K529" s="20"/>
      <c r="L529" s="20"/>
    </row>
    <row r="530" spans="1:12" ht="12" thickBot="1" x14ac:dyDescent="0.25"/>
    <row r="531" spans="1:12" ht="45" x14ac:dyDescent="0.2">
      <c r="A531" s="442">
        <v>36</v>
      </c>
      <c r="B531" s="444" t="s">
        <v>932</v>
      </c>
      <c r="C531" s="444"/>
      <c r="D531" s="444"/>
      <c r="E531" s="444"/>
      <c r="F531" s="444"/>
      <c r="G531" s="446" t="s">
        <v>515</v>
      </c>
      <c r="H531" s="448">
        <v>0</v>
      </c>
      <c r="I531" s="225" t="s">
        <v>516</v>
      </c>
      <c r="J531" s="226" t="s">
        <v>517</v>
      </c>
      <c r="K531" s="450" t="s">
        <v>518</v>
      </c>
      <c r="L531" s="452" t="str">
        <f>+IF(J532&lt;&gt;0,ROUND(($E$4-J532)/360,0),"")</f>
        <v/>
      </c>
    </row>
    <row r="532" spans="1:12" ht="15" thickBot="1" x14ac:dyDescent="0.25">
      <c r="A532" s="443"/>
      <c r="B532" s="445"/>
      <c r="C532" s="445"/>
      <c r="D532" s="445"/>
      <c r="E532" s="445"/>
      <c r="F532" s="445"/>
      <c r="G532" s="447"/>
      <c r="H532" s="449"/>
      <c r="I532" s="227">
        <v>0</v>
      </c>
      <c r="J532" s="228">
        <v>0</v>
      </c>
      <c r="K532" s="451"/>
      <c r="L532" s="453"/>
    </row>
    <row r="533" spans="1:12" ht="11.25" customHeight="1" x14ac:dyDescent="0.2">
      <c r="A533" s="430" t="s">
        <v>171</v>
      </c>
      <c r="B533" s="431" t="s">
        <v>173</v>
      </c>
      <c r="C533" s="432"/>
      <c r="D533" s="432"/>
      <c r="E533" s="433"/>
      <c r="F533" s="434" t="s">
        <v>519</v>
      </c>
      <c r="G533" s="434" t="s">
        <v>520</v>
      </c>
      <c r="H533" s="434" t="s">
        <v>521</v>
      </c>
      <c r="I533" s="436" t="s">
        <v>522</v>
      </c>
      <c r="J533" s="437"/>
      <c r="K533" s="437"/>
      <c r="L533" s="438"/>
    </row>
    <row r="534" spans="1:12" ht="57.75" customHeight="1" thickBot="1" x14ac:dyDescent="0.25">
      <c r="A534" s="430"/>
      <c r="B534" s="26" t="s">
        <v>188</v>
      </c>
      <c r="C534" s="26" t="s">
        <v>189</v>
      </c>
      <c r="D534" s="26" t="s">
        <v>190</v>
      </c>
      <c r="E534" s="26" t="s">
        <v>191</v>
      </c>
      <c r="F534" s="435"/>
      <c r="G534" s="435"/>
      <c r="H534" s="435"/>
      <c r="I534" s="439"/>
      <c r="J534" s="440"/>
      <c r="K534" s="440"/>
      <c r="L534" s="441"/>
    </row>
    <row r="535" spans="1:12" s="27" customFormat="1" ht="12.75" x14ac:dyDescent="0.2">
      <c r="A535" s="28">
        <v>1</v>
      </c>
      <c r="B535" s="86"/>
      <c r="C535" s="87"/>
      <c r="D535" s="87"/>
      <c r="E535" s="86"/>
      <c r="F535" s="31"/>
      <c r="G535" s="33"/>
      <c r="H535" s="33" t="str">
        <f>+IF(B535&lt;&gt;"",IF(OR(F535="Otro",G535="NO"),"NO","SI"),"")</f>
        <v/>
      </c>
      <c r="I535" s="458"/>
      <c r="J535" s="458"/>
      <c r="K535" s="458"/>
      <c r="L535" s="459"/>
    </row>
    <row r="536" spans="1:12" s="27" customFormat="1" ht="12.75" x14ac:dyDescent="0.2">
      <c r="A536" s="38">
        <v>2</v>
      </c>
      <c r="B536" s="39"/>
      <c r="C536" s="46"/>
      <c r="D536" s="46"/>
      <c r="E536" s="39"/>
      <c r="F536" s="41"/>
      <c r="G536" s="43"/>
      <c r="H536" s="43" t="str">
        <f>+IF(B536&lt;&gt;"",IF(OR(F536="Otro",G536="NO"),"NO","SI"),"")</f>
        <v/>
      </c>
      <c r="I536" s="460"/>
      <c r="J536" s="460"/>
      <c r="K536" s="460"/>
      <c r="L536" s="461"/>
    </row>
    <row r="537" spans="1:12" s="27" customFormat="1" ht="12.75" x14ac:dyDescent="0.2">
      <c r="A537" s="38">
        <v>3</v>
      </c>
      <c r="B537" s="39"/>
      <c r="C537" s="46"/>
      <c r="D537" s="46"/>
      <c r="E537" s="39"/>
      <c r="F537" s="41"/>
      <c r="G537" s="43"/>
      <c r="H537" s="43" t="str">
        <f>+IF(B537&lt;&gt;"",IF(OR(F537="Otro",G537="NO"),"NO","SI"),"")</f>
        <v/>
      </c>
      <c r="I537" s="422"/>
      <c r="J537" s="422"/>
      <c r="K537" s="422"/>
      <c r="L537" s="423"/>
    </row>
    <row r="538" spans="1:12" s="27" customFormat="1" ht="13.5" thickBot="1" x14ac:dyDescent="0.25">
      <c r="A538" s="47">
        <v>4</v>
      </c>
      <c r="B538" s="48"/>
      <c r="C538" s="49"/>
      <c r="D538" s="49"/>
      <c r="E538" s="48"/>
      <c r="F538" s="51"/>
      <c r="G538" s="52"/>
      <c r="H538" s="52" t="str">
        <f>+IF(B538&lt;&gt;"",IF(OR(F538="Otro",G538="NO"),"NO","SI"),"")</f>
        <v/>
      </c>
      <c r="I538" s="416"/>
      <c r="J538" s="416"/>
      <c r="K538" s="416"/>
      <c r="L538" s="417"/>
    </row>
    <row r="539" spans="1:12" ht="27" customHeight="1" x14ac:dyDescent="0.2">
      <c r="A539" s="197" t="str">
        <f>"D"&amp;A531</f>
        <v>D36</v>
      </c>
      <c r="B539" s="428" t="s">
        <v>538</v>
      </c>
      <c r="C539" s="429"/>
      <c r="D539" s="429"/>
      <c r="E539" s="429"/>
      <c r="F539" s="429"/>
      <c r="G539" s="429"/>
      <c r="H539" s="256"/>
      <c r="I539" s="456"/>
      <c r="J539" s="456"/>
      <c r="K539" s="456"/>
      <c r="L539" s="457"/>
    </row>
    <row r="540" spans="1:12" ht="27" customHeight="1" x14ac:dyDescent="0.2">
      <c r="A540" s="234"/>
      <c r="B540" s="420" t="s">
        <v>539</v>
      </c>
      <c r="C540" s="421"/>
      <c r="D540" s="421"/>
      <c r="E540" s="421"/>
      <c r="F540" s="421"/>
      <c r="G540" s="421"/>
      <c r="H540" s="43"/>
      <c r="I540" s="422"/>
      <c r="J540" s="422"/>
      <c r="K540" s="422"/>
      <c r="L540" s="423"/>
    </row>
    <row r="541" spans="1:12" ht="27" customHeight="1" x14ac:dyDescent="0.2">
      <c r="A541" s="197" t="str">
        <f>"F"&amp;A531</f>
        <v>F36</v>
      </c>
      <c r="B541" s="420" t="s">
        <v>540</v>
      </c>
      <c r="C541" s="421"/>
      <c r="D541" s="421"/>
      <c r="E541" s="421"/>
      <c r="F541" s="421"/>
      <c r="G541" s="421" t="s">
        <v>541</v>
      </c>
      <c r="H541" s="235" t="s">
        <v>932</v>
      </c>
      <c r="I541" s="422"/>
      <c r="J541" s="422"/>
      <c r="K541" s="422"/>
      <c r="L541" s="423"/>
    </row>
    <row r="542" spans="1:12" ht="27" customHeight="1" x14ac:dyDescent="0.2">
      <c r="A542" s="57"/>
      <c r="B542" s="420" t="s">
        <v>542</v>
      </c>
      <c r="C542" s="421"/>
      <c r="D542" s="421"/>
      <c r="E542" s="421"/>
      <c r="F542" s="421"/>
      <c r="G542" s="421" t="s">
        <v>543</v>
      </c>
      <c r="H542" s="236" t="str">
        <f>+IF(H531&lt;&gt;0,IF(L531&gt;=8,"SI","NO"),"")</f>
        <v/>
      </c>
      <c r="I542" s="422"/>
      <c r="J542" s="422"/>
      <c r="K542" s="422"/>
      <c r="L542" s="423"/>
    </row>
    <row r="543" spans="1:12" ht="27" customHeight="1" thickBot="1" x14ac:dyDescent="0.25">
      <c r="A543" s="57"/>
      <c r="B543" s="349" t="s">
        <v>544</v>
      </c>
      <c r="C543" s="350"/>
      <c r="D543" s="350"/>
      <c r="E543" s="350"/>
      <c r="F543" s="350"/>
      <c r="G543" s="350" t="s">
        <v>543</v>
      </c>
      <c r="H543" s="237" t="str">
        <f>+IF(H531&lt;&gt;0,IF(COUNTIF(H535:H538,"SI")&gt;=3,"SI","NO"),"")</f>
        <v/>
      </c>
      <c r="I543" s="416"/>
      <c r="J543" s="416"/>
      <c r="K543" s="416"/>
      <c r="L543" s="417"/>
    </row>
    <row r="544" spans="1:12" ht="16.5" customHeight="1" thickBot="1" x14ac:dyDescent="0.25">
      <c r="A544" s="197" t="str">
        <f>"E"&amp;A531</f>
        <v>E36</v>
      </c>
      <c r="D544" s="418" t="str">
        <f>+D529</f>
        <v>EL PROFESIONAL OFRECIDO POR EL PROPONENTE CUMPLE CON LOS REQUISITOS MÍNIMOS ESTABLECIDOS EN EL NUMERAL 4.1.2. (no se evalúa simultaneidad de procesos en esta celda)</v>
      </c>
      <c r="E544" s="419"/>
      <c r="F544" s="419"/>
      <c r="G544" s="419"/>
      <c r="H544" s="238" t="str">
        <f>IF(H531&lt;&gt;0,IF(AND(H540="SI",H542="SI",H543="SI"),"SI","NO"),"")</f>
        <v/>
      </c>
      <c r="J544" s="20"/>
      <c r="K544" s="20"/>
      <c r="L544" s="20"/>
    </row>
    <row r="545" spans="1:12" ht="12" thickBot="1" x14ac:dyDescent="0.25"/>
    <row r="546" spans="1:12" ht="45" x14ac:dyDescent="0.2">
      <c r="A546" s="442">
        <v>37</v>
      </c>
      <c r="B546" s="444" t="s">
        <v>932</v>
      </c>
      <c r="C546" s="444"/>
      <c r="D546" s="444"/>
      <c r="E546" s="444"/>
      <c r="F546" s="444"/>
      <c r="G546" s="446" t="s">
        <v>515</v>
      </c>
      <c r="H546" s="448">
        <v>0</v>
      </c>
      <c r="I546" s="225" t="s">
        <v>516</v>
      </c>
      <c r="J546" s="226" t="s">
        <v>517</v>
      </c>
      <c r="K546" s="450" t="s">
        <v>518</v>
      </c>
      <c r="L546" s="452" t="str">
        <f>+IF(J547&lt;&gt;0,ROUND(($E$4-J547)/360,0),"")</f>
        <v/>
      </c>
    </row>
    <row r="547" spans="1:12" ht="15" thickBot="1" x14ac:dyDescent="0.25">
      <c r="A547" s="443"/>
      <c r="B547" s="445"/>
      <c r="C547" s="445"/>
      <c r="D547" s="445"/>
      <c r="E547" s="445"/>
      <c r="F547" s="445"/>
      <c r="G547" s="447"/>
      <c r="H547" s="449"/>
      <c r="I547" s="227">
        <v>0</v>
      </c>
      <c r="J547" s="228">
        <v>0</v>
      </c>
      <c r="K547" s="451"/>
      <c r="L547" s="453"/>
    </row>
    <row r="548" spans="1:12" ht="11.25" customHeight="1" x14ac:dyDescent="0.2">
      <c r="A548" s="430" t="s">
        <v>171</v>
      </c>
      <c r="B548" s="431" t="s">
        <v>173</v>
      </c>
      <c r="C548" s="432"/>
      <c r="D548" s="432"/>
      <c r="E548" s="433"/>
      <c r="F548" s="434" t="s">
        <v>519</v>
      </c>
      <c r="G548" s="434" t="s">
        <v>520</v>
      </c>
      <c r="H548" s="434" t="s">
        <v>521</v>
      </c>
      <c r="I548" s="436" t="s">
        <v>522</v>
      </c>
      <c r="J548" s="437"/>
      <c r="K548" s="437"/>
      <c r="L548" s="438"/>
    </row>
    <row r="549" spans="1:12" ht="57.75" customHeight="1" thickBot="1" x14ac:dyDescent="0.25">
      <c r="A549" s="430"/>
      <c r="B549" s="26" t="s">
        <v>188</v>
      </c>
      <c r="C549" s="26" t="s">
        <v>189</v>
      </c>
      <c r="D549" s="26" t="s">
        <v>190</v>
      </c>
      <c r="E549" s="26" t="s">
        <v>191</v>
      </c>
      <c r="F549" s="435"/>
      <c r="G549" s="435"/>
      <c r="H549" s="435"/>
      <c r="I549" s="439"/>
      <c r="J549" s="440"/>
      <c r="K549" s="440"/>
      <c r="L549" s="441"/>
    </row>
    <row r="550" spans="1:12" s="27" customFormat="1" ht="12.75" x14ac:dyDescent="0.2">
      <c r="A550" s="28">
        <v>1</v>
      </c>
      <c r="B550" s="86"/>
      <c r="C550" s="87"/>
      <c r="D550" s="87"/>
      <c r="E550" s="86"/>
      <c r="F550" s="31"/>
      <c r="G550" s="33"/>
      <c r="H550" s="33" t="str">
        <f>+IF(B550&lt;&gt;"",IF(OR(F550="Otro",G550="NO"),"NO","SI"),"")</f>
        <v/>
      </c>
      <c r="I550" s="424"/>
      <c r="J550" s="424"/>
      <c r="K550" s="424"/>
      <c r="L550" s="425"/>
    </row>
    <row r="551" spans="1:12" s="27" customFormat="1" ht="12.75" x14ac:dyDescent="0.2">
      <c r="A551" s="38">
        <v>2</v>
      </c>
      <c r="B551" s="39"/>
      <c r="C551" s="46"/>
      <c r="D551" s="46"/>
      <c r="E551" s="39"/>
      <c r="F551" s="41"/>
      <c r="G551" s="43"/>
      <c r="H551" s="43" t="str">
        <f>+IF(B551&lt;&gt;"",IF(OR(F551="Otro",G551="NO"),"NO","SI"),"")</f>
        <v/>
      </c>
      <c r="I551" s="422"/>
      <c r="J551" s="422"/>
      <c r="K551" s="422"/>
      <c r="L551" s="423"/>
    </row>
    <row r="552" spans="1:12" s="27" customFormat="1" ht="12.75" x14ac:dyDescent="0.2">
      <c r="A552" s="38">
        <v>3</v>
      </c>
      <c r="B552" s="39"/>
      <c r="C552" s="46"/>
      <c r="D552" s="46"/>
      <c r="E552" s="39"/>
      <c r="F552" s="41"/>
      <c r="G552" s="43"/>
      <c r="H552" s="43" t="str">
        <f>+IF(B552&lt;&gt;"",IF(OR(F552="Otro",G552="NO"),"NO","SI"),"")</f>
        <v/>
      </c>
      <c r="I552" s="422"/>
      <c r="J552" s="422"/>
      <c r="K552" s="422"/>
      <c r="L552" s="423"/>
    </row>
    <row r="553" spans="1:12" s="27" customFormat="1" ht="13.5" thickBot="1" x14ac:dyDescent="0.25">
      <c r="A553" s="47">
        <v>4</v>
      </c>
      <c r="B553" s="230"/>
      <c r="C553" s="231"/>
      <c r="D553" s="231"/>
      <c r="E553" s="230"/>
      <c r="F553" s="232"/>
      <c r="G553" s="233"/>
      <c r="H553" s="233" t="str">
        <f>+IF(B553&lt;&gt;"",IF(OR(F553="Otro",G553="NO"),"NO","SI"),"")</f>
        <v/>
      </c>
      <c r="I553" s="426"/>
      <c r="J553" s="426"/>
      <c r="K553" s="426"/>
      <c r="L553" s="427"/>
    </row>
    <row r="554" spans="1:12" ht="27" customHeight="1" x14ac:dyDescent="0.2">
      <c r="A554" s="197" t="str">
        <f>"D"&amp;A546</f>
        <v>D37</v>
      </c>
      <c r="B554" s="428" t="s">
        <v>538</v>
      </c>
      <c r="C554" s="429"/>
      <c r="D554" s="429"/>
      <c r="E554" s="429"/>
      <c r="F554" s="429"/>
      <c r="G554" s="429"/>
      <c r="H554" s="33"/>
      <c r="I554" s="424"/>
      <c r="J554" s="424"/>
      <c r="K554" s="424"/>
      <c r="L554" s="425"/>
    </row>
    <row r="555" spans="1:12" ht="27" customHeight="1" x14ac:dyDescent="0.2">
      <c r="A555" s="234"/>
      <c r="B555" s="420" t="s">
        <v>539</v>
      </c>
      <c r="C555" s="421"/>
      <c r="D555" s="421"/>
      <c r="E555" s="421"/>
      <c r="F555" s="421"/>
      <c r="G555" s="421"/>
      <c r="H555" s="43"/>
      <c r="I555" s="422"/>
      <c r="J555" s="422"/>
      <c r="K555" s="422"/>
      <c r="L555" s="423"/>
    </row>
    <row r="556" spans="1:12" ht="27" customHeight="1" x14ac:dyDescent="0.2">
      <c r="A556" s="197" t="str">
        <f>"F"&amp;A546</f>
        <v>F37</v>
      </c>
      <c r="B556" s="420" t="s">
        <v>540</v>
      </c>
      <c r="C556" s="421"/>
      <c r="D556" s="421"/>
      <c r="E556" s="421"/>
      <c r="F556" s="421"/>
      <c r="G556" s="421" t="s">
        <v>541</v>
      </c>
      <c r="H556" s="235" t="s">
        <v>932</v>
      </c>
      <c r="I556" s="422"/>
      <c r="J556" s="422"/>
      <c r="K556" s="422"/>
      <c r="L556" s="423"/>
    </row>
    <row r="557" spans="1:12" ht="27" customHeight="1" x14ac:dyDescent="0.2">
      <c r="A557" s="57"/>
      <c r="B557" s="420" t="s">
        <v>542</v>
      </c>
      <c r="C557" s="421"/>
      <c r="D557" s="421"/>
      <c r="E557" s="421"/>
      <c r="F557" s="421"/>
      <c r="G557" s="421" t="s">
        <v>543</v>
      </c>
      <c r="H557" s="236" t="str">
        <f>+IF(H546&lt;&gt;0,IF(L546&gt;=8,"SI","NO"),"")</f>
        <v/>
      </c>
      <c r="I557" s="422"/>
      <c r="J557" s="422"/>
      <c r="K557" s="422"/>
      <c r="L557" s="423"/>
    </row>
    <row r="558" spans="1:12" ht="27" customHeight="1" thickBot="1" x14ac:dyDescent="0.25">
      <c r="A558" s="57"/>
      <c r="B558" s="349" t="s">
        <v>544</v>
      </c>
      <c r="C558" s="350"/>
      <c r="D558" s="350"/>
      <c r="E558" s="350"/>
      <c r="F558" s="350"/>
      <c r="G558" s="350" t="s">
        <v>543</v>
      </c>
      <c r="H558" s="237" t="str">
        <f>+IF(H546&lt;&gt;0,IF(COUNTIF(H550:H553,"SI")&gt;=3,"SI","NO"),"")</f>
        <v/>
      </c>
      <c r="I558" s="416"/>
      <c r="J558" s="416"/>
      <c r="K558" s="416"/>
      <c r="L558" s="417"/>
    </row>
    <row r="559" spans="1:12" ht="16.5" customHeight="1" thickBot="1" x14ac:dyDescent="0.25">
      <c r="A559" s="197" t="str">
        <f>"E"&amp;A546</f>
        <v>E37</v>
      </c>
      <c r="D559" s="418" t="str">
        <f>+D544</f>
        <v>EL PROFESIONAL OFRECIDO POR EL PROPONENTE CUMPLE CON LOS REQUISITOS MÍNIMOS ESTABLECIDOS EN EL NUMERAL 4.1.2. (no se evalúa simultaneidad de procesos en esta celda)</v>
      </c>
      <c r="E559" s="419"/>
      <c r="F559" s="419"/>
      <c r="G559" s="419"/>
      <c r="H559" s="238" t="str">
        <f>IF(H546&lt;&gt;0,IF(AND(H555="SI",H557="SI",H558="SI"),"SI","NO"),"")</f>
        <v/>
      </c>
      <c r="J559" s="20"/>
      <c r="K559" s="20"/>
      <c r="L559" s="20"/>
    </row>
    <row r="560" spans="1:12" ht="12" thickBot="1" x14ac:dyDescent="0.25"/>
    <row r="561" spans="1:12" ht="45" x14ac:dyDescent="0.2">
      <c r="A561" s="442">
        <v>38</v>
      </c>
      <c r="B561" s="444" t="s">
        <v>932</v>
      </c>
      <c r="C561" s="444"/>
      <c r="D561" s="444"/>
      <c r="E561" s="444"/>
      <c r="F561" s="444"/>
      <c r="G561" s="446" t="s">
        <v>515</v>
      </c>
      <c r="H561" s="448">
        <v>0</v>
      </c>
      <c r="I561" s="225" t="s">
        <v>516</v>
      </c>
      <c r="J561" s="226" t="s">
        <v>517</v>
      </c>
      <c r="K561" s="450" t="s">
        <v>518</v>
      </c>
      <c r="L561" s="452" t="str">
        <f>+IF(J562&lt;&gt;0,ROUND(($E$4-J562)/360,0),"")</f>
        <v/>
      </c>
    </row>
    <row r="562" spans="1:12" ht="15" thickBot="1" x14ac:dyDescent="0.25">
      <c r="A562" s="443"/>
      <c r="B562" s="445"/>
      <c r="C562" s="445"/>
      <c r="D562" s="445"/>
      <c r="E562" s="445"/>
      <c r="F562" s="445"/>
      <c r="G562" s="447"/>
      <c r="H562" s="449"/>
      <c r="I562" s="227">
        <v>0</v>
      </c>
      <c r="J562" s="228">
        <v>0</v>
      </c>
      <c r="K562" s="451"/>
      <c r="L562" s="453"/>
    </row>
    <row r="563" spans="1:12" ht="11.25" customHeight="1" x14ac:dyDescent="0.2">
      <c r="A563" s="430" t="s">
        <v>171</v>
      </c>
      <c r="B563" s="431" t="s">
        <v>173</v>
      </c>
      <c r="C563" s="432"/>
      <c r="D563" s="432"/>
      <c r="E563" s="433"/>
      <c r="F563" s="434" t="s">
        <v>519</v>
      </c>
      <c r="G563" s="434" t="s">
        <v>520</v>
      </c>
      <c r="H563" s="434" t="s">
        <v>521</v>
      </c>
      <c r="I563" s="436" t="s">
        <v>522</v>
      </c>
      <c r="J563" s="437"/>
      <c r="K563" s="437"/>
      <c r="L563" s="438"/>
    </row>
    <row r="564" spans="1:12" ht="57.75" customHeight="1" thickBot="1" x14ac:dyDescent="0.25">
      <c r="A564" s="430"/>
      <c r="B564" s="26" t="s">
        <v>188</v>
      </c>
      <c r="C564" s="26" t="s">
        <v>189</v>
      </c>
      <c r="D564" s="26" t="s">
        <v>190</v>
      </c>
      <c r="E564" s="26" t="s">
        <v>191</v>
      </c>
      <c r="F564" s="435"/>
      <c r="G564" s="435"/>
      <c r="H564" s="435"/>
      <c r="I564" s="439"/>
      <c r="J564" s="440"/>
      <c r="K564" s="440"/>
      <c r="L564" s="441"/>
    </row>
    <row r="565" spans="1:12" s="27" customFormat="1" ht="12.75" x14ac:dyDescent="0.2">
      <c r="A565" s="28">
        <v>1</v>
      </c>
      <c r="B565" s="86"/>
      <c r="C565" s="87"/>
      <c r="D565" s="87"/>
      <c r="E565" s="86"/>
      <c r="F565" s="31"/>
      <c r="G565" s="33"/>
      <c r="H565" s="33" t="str">
        <f>+IF(B565&lt;&gt;"",IF(OR(F565="Otro",G565="NO"),"NO","SI"),"")</f>
        <v/>
      </c>
      <c r="I565" s="424"/>
      <c r="J565" s="424"/>
      <c r="K565" s="424"/>
      <c r="L565" s="425"/>
    </row>
    <row r="566" spans="1:12" s="27" customFormat="1" ht="12.75" x14ac:dyDescent="0.2">
      <c r="A566" s="38">
        <v>2</v>
      </c>
      <c r="B566" s="39"/>
      <c r="C566" s="46"/>
      <c r="D566" s="46"/>
      <c r="E566" s="39"/>
      <c r="F566" s="41"/>
      <c r="G566" s="43"/>
      <c r="H566" s="43" t="str">
        <f>+IF(B566&lt;&gt;"",IF(OR(F566="Otro",G566="NO"),"NO","SI"),"")</f>
        <v/>
      </c>
      <c r="I566" s="422"/>
      <c r="J566" s="422"/>
      <c r="K566" s="422"/>
      <c r="L566" s="423"/>
    </row>
    <row r="567" spans="1:12" s="27" customFormat="1" ht="12.75" x14ac:dyDescent="0.2">
      <c r="A567" s="38">
        <v>3</v>
      </c>
      <c r="B567" s="39"/>
      <c r="C567" s="46"/>
      <c r="D567" s="46"/>
      <c r="E567" s="39"/>
      <c r="F567" s="41"/>
      <c r="G567" s="43"/>
      <c r="H567" s="43" t="str">
        <f>+IF(B567&lt;&gt;"",IF(OR(F567="Otro",G567="NO"),"NO","SI"),"")</f>
        <v/>
      </c>
      <c r="I567" s="422"/>
      <c r="J567" s="422"/>
      <c r="K567" s="422"/>
      <c r="L567" s="423"/>
    </row>
    <row r="568" spans="1:12" s="27" customFormat="1" ht="13.5" thickBot="1" x14ac:dyDescent="0.25">
      <c r="A568" s="47">
        <v>4</v>
      </c>
      <c r="B568" s="230"/>
      <c r="C568" s="231"/>
      <c r="D568" s="231"/>
      <c r="E568" s="230"/>
      <c r="F568" s="232"/>
      <c r="G568" s="233"/>
      <c r="H568" s="233" t="str">
        <f>+IF(B568&lt;&gt;"",IF(OR(F568="Otro",G568="NO"),"NO","SI"),"")</f>
        <v/>
      </c>
      <c r="I568" s="426"/>
      <c r="J568" s="426"/>
      <c r="K568" s="426"/>
      <c r="L568" s="427"/>
    </row>
    <row r="569" spans="1:12" ht="27" customHeight="1" x14ac:dyDescent="0.2">
      <c r="A569" s="197" t="str">
        <f>"D"&amp;A561</f>
        <v>D38</v>
      </c>
      <c r="B569" s="428" t="s">
        <v>538</v>
      </c>
      <c r="C569" s="429"/>
      <c r="D569" s="429"/>
      <c r="E569" s="429"/>
      <c r="F569" s="429"/>
      <c r="G569" s="429"/>
      <c r="H569" s="33"/>
      <c r="I569" s="424"/>
      <c r="J569" s="424"/>
      <c r="K569" s="424"/>
      <c r="L569" s="425"/>
    </row>
    <row r="570" spans="1:12" ht="27" customHeight="1" x14ac:dyDescent="0.2">
      <c r="A570" s="234"/>
      <c r="B570" s="420" t="s">
        <v>539</v>
      </c>
      <c r="C570" s="421"/>
      <c r="D570" s="421"/>
      <c r="E570" s="421"/>
      <c r="F570" s="421"/>
      <c r="G570" s="421"/>
      <c r="H570" s="43"/>
      <c r="I570" s="422"/>
      <c r="J570" s="422"/>
      <c r="K570" s="422"/>
      <c r="L570" s="423"/>
    </row>
    <row r="571" spans="1:12" ht="27" customHeight="1" x14ac:dyDescent="0.2">
      <c r="A571" s="197" t="str">
        <f>"F"&amp;A561</f>
        <v>F38</v>
      </c>
      <c r="B571" s="420" t="s">
        <v>540</v>
      </c>
      <c r="C571" s="421"/>
      <c r="D571" s="421"/>
      <c r="E571" s="421"/>
      <c r="F571" s="421"/>
      <c r="G571" s="421" t="s">
        <v>541</v>
      </c>
      <c r="H571" s="235" t="s">
        <v>932</v>
      </c>
      <c r="I571" s="422"/>
      <c r="J571" s="422"/>
      <c r="K571" s="422"/>
      <c r="L571" s="423"/>
    </row>
    <row r="572" spans="1:12" ht="27" customHeight="1" x14ac:dyDescent="0.2">
      <c r="A572" s="57"/>
      <c r="B572" s="420" t="s">
        <v>542</v>
      </c>
      <c r="C572" s="421"/>
      <c r="D572" s="421"/>
      <c r="E572" s="421"/>
      <c r="F572" s="421"/>
      <c r="G572" s="421" t="s">
        <v>543</v>
      </c>
      <c r="H572" s="236" t="str">
        <f>+IF(H561&lt;&gt;0,IF(L561&gt;=8,"SI","NO"),"")</f>
        <v/>
      </c>
      <c r="I572" s="422"/>
      <c r="J572" s="422"/>
      <c r="K572" s="422"/>
      <c r="L572" s="423"/>
    </row>
    <row r="573" spans="1:12" ht="27" customHeight="1" thickBot="1" x14ac:dyDescent="0.25">
      <c r="A573" s="57"/>
      <c r="B573" s="349" t="s">
        <v>544</v>
      </c>
      <c r="C573" s="350"/>
      <c r="D573" s="350"/>
      <c r="E573" s="350"/>
      <c r="F573" s="350"/>
      <c r="G573" s="350" t="s">
        <v>543</v>
      </c>
      <c r="H573" s="237" t="str">
        <f>+IF(H561&lt;&gt;0,IF(COUNTIF(H565:H568,"SI")&gt;=3,"SI","NO"),"")</f>
        <v/>
      </c>
      <c r="I573" s="416"/>
      <c r="J573" s="416"/>
      <c r="K573" s="416"/>
      <c r="L573" s="417"/>
    </row>
    <row r="574" spans="1:12" ht="16.5" customHeight="1" thickBot="1" x14ac:dyDescent="0.25">
      <c r="A574" s="197" t="str">
        <f>"E"&amp;A561</f>
        <v>E38</v>
      </c>
      <c r="D574" s="418" t="str">
        <f>+D559</f>
        <v>EL PROFESIONAL OFRECIDO POR EL PROPONENTE CUMPLE CON LOS REQUISITOS MÍNIMOS ESTABLECIDOS EN EL NUMERAL 4.1.2. (no se evalúa simultaneidad de procesos en esta celda)</v>
      </c>
      <c r="E574" s="419"/>
      <c r="F574" s="419"/>
      <c r="G574" s="419"/>
      <c r="H574" s="238" t="str">
        <f>IF(H561&lt;&gt;0,IF(AND(H570="SI",H572="SI",H573="SI"),"SI","NO"),"")</f>
        <v/>
      </c>
      <c r="J574" s="20"/>
      <c r="K574" s="20"/>
      <c r="L574" s="20"/>
    </row>
    <row r="575" spans="1:12" ht="12" thickBot="1" x14ac:dyDescent="0.25"/>
    <row r="576" spans="1:12" ht="45" x14ac:dyDescent="0.2">
      <c r="A576" s="442">
        <v>39</v>
      </c>
      <c r="B576" s="444" t="s">
        <v>932</v>
      </c>
      <c r="C576" s="444"/>
      <c r="D576" s="444"/>
      <c r="E576" s="444"/>
      <c r="F576" s="444"/>
      <c r="G576" s="446" t="s">
        <v>515</v>
      </c>
      <c r="H576" s="448">
        <v>0</v>
      </c>
      <c r="I576" s="225" t="s">
        <v>516</v>
      </c>
      <c r="J576" s="226" t="s">
        <v>517</v>
      </c>
      <c r="K576" s="450" t="s">
        <v>518</v>
      </c>
      <c r="L576" s="452" t="str">
        <f>+IF(J577&lt;&gt;0,ROUND(($E$4-J577)/360,0),"")</f>
        <v/>
      </c>
    </row>
    <row r="577" spans="1:12" ht="15" thickBot="1" x14ac:dyDescent="0.25">
      <c r="A577" s="443"/>
      <c r="B577" s="445"/>
      <c r="C577" s="445"/>
      <c r="D577" s="445"/>
      <c r="E577" s="445"/>
      <c r="F577" s="445"/>
      <c r="G577" s="447"/>
      <c r="H577" s="449"/>
      <c r="I577" s="227">
        <v>0</v>
      </c>
      <c r="J577" s="228">
        <v>0</v>
      </c>
      <c r="K577" s="451"/>
      <c r="L577" s="453"/>
    </row>
    <row r="578" spans="1:12" ht="11.25" customHeight="1" x14ac:dyDescent="0.2">
      <c r="A578" s="430" t="s">
        <v>171</v>
      </c>
      <c r="B578" s="431" t="s">
        <v>173</v>
      </c>
      <c r="C578" s="432"/>
      <c r="D578" s="432"/>
      <c r="E578" s="433"/>
      <c r="F578" s="434" t="s">
        <v>519</v>
      </c>
      <c r="G578" s="434" t="s">
        <v>520</v>
      </c>
      <c r="H578" s="434" t="s">
        <v>521</v>
      </c>
      <c r="I578" s="436" t="s">
        <v>522</v>
      </c>
      <c r="J578" s="437"/>
      <c r="K578" s="437"/>
      <c r="L578" s="438"/>
    </row>
    <row r="579" spans="1:12" ht="57.75" customHeight="1" thickBot="1" x14ac:dyDescent="0.25">
      <c r="A579" s="430"/>
      <c r="B579" s="26" t="s">
        <v>188</v>
      </c>
      <c r="C579" s="26" t="s">
        <v>189</v>
      </c>
      <c r="D579" s="26" t="s">
        <v>190</v>
      </c>
      <c r="E579" s="26" t="s">
        <v>191</v>
      </c>
      <c r="F579" s="435"/>
      <c r="G579" s="435"/>
      <c r="H579" s="435"/>
      <c r="I579" s="439"/>
      <c r="J579" s="440"/>
      <c r="K579" s="440"/>
      <c r="L579" s="441"/>
    </row>
    <row r="580" spans="1:12" s="27" customFormat="1" ht="12.75" x14ac:dyDescent="0.2">
      <c r="A580" s="28">
        <v>1</v>
      </c>
      <c r="B580" s="86"/>
      <c r="C580" s="87"/>
      <c r="D580" s="87"/>
      <c r="E580" s="86"/>
      <c r="F580" s="31"/>
      <c r="G580" s="33"/>
      <c r="H580" s="33" t="str">
        <f>+IF(B580&lt;&gt;"",IF(OR(F580="Otro",G580="NO"),"NO","SI"),"")</f>
        <v/>
      </c>
      <c r="I580" s="458"/>
      <c r="J580" s="458"/>
      <c r="K580" s="458"/>
      <c r="L580" s="459"/>
    </row>
    <row r="581" spans="1:12" s="27" customFormat="1" ht="12.75" x14ac:dyDescent="0.2">
      <c r="A581" s="38">
        <v>2</v>
      </c>
      <c r="B581" s="39"/>
      <c r="C581" s="46"/>
      <c r="D581" s="46"/>
      <c r="E581" s="39"/>
      <c r="F581" s="41"/>
      <c r="G581" s="43"/>
      <c r="H581" s="43" t="str">
        <f>+IF(B581&lt;&gt;"",IF(OR(F581="Otro",G581="NO"),"NO","SI"),"")</f>
        <v/>
      </c>
      <c r="I581" s="422"/>
      <c r="J581" s="422"/>
      <c r="K581" s="422"/>
      <c r="L581" s="423"/>
    </row>
    <row r="582" spans="1:12" s="27" customFormat="1" ht="12.75" x14ac:dyDescent="0.2">
      <c r="A582" s="38">
        <v>3</v>
      </c>
      <c r="B582" s="39"/>
      <c r="C582" s="46"/>
      <c r="D582" s="46"/>
      <c r="E582" s="39"/>
      <c r="F582" s="41"/>
      <c r="G582" s="43"/>
      <c r="H582" s="43" t="str">
        <f>+IF(B582&lt;&gt;"",IF(OR(F582="Otro",G582="NO"),"NO","SI"),"")</f>
        <v/>
      </c>
      <c r="I582" s="422"/>
      <c r="J582" s="422"/>
      <c r="K582" s="422"/>
      <c r="L582" s="423"/>
    </row>
    <row r="583" spans="1:12" s="27" customFormat="1" ht="13.5" thickBot="1" x14ac:dyDescent="0.25">
      <c r="A583" s="47">
        <v>4</v>
      </c>
      <c r="B583" s="230"/>
      <c r="C583" s="231"/>
      <c r="D583" s="231"/>
      <c r="E583" s="230"/>
      <c r="F583" s="232"/>
      <c r="G583" s="233"/>
      <c r="H583" s="233" t="str">
        <f>+IF(B583&lt;&gt;"",IF(OR(F583="Otro",G583="NO"),"NO","SI"),"")</f>
        <v/>
      </c>
      <c r="I583" s="426"/>
      <c r="J583" s="426"/>
      <c r="K583" s="426"/>
      <c r="L583" s="427"/>
    </row>
    <row r="584" spans="1:12" ht="27" customHeight="1" x14ac:dyDescent="0.2">
      <c r="A584" s="197" t="str">
        <f>"D"&amp;A576</f>
        <v>D39</v>
      </c>
      <c r="B584" s="428" t="s">
        <v>538</v>
      </c>
      <c r="C584" s="429"/>
      <c r="D584" s="429"/>
      <c r="E584" s="429"/>
      <c r="F584" s="429"/>
      <c r="G584" s="429"/>
      <c r="H584" s="88"/>
      <c r="I584" s="424"/>
      <c r="J584" s="424"/>
      <c r="K584" s="424"/>
      <c r="L584" s="425"/>
    </row>
    <row r="585" spans="1:12" ht="27" customHeight="1" x14ac:dyDescent="0.2">
      <c r="A585" s="234"/>
      <c r="B585" s="420" t="s">
        <v>539</v>
      </c>
      <c r="C585" s="421"/>
      <c r="D585" s="421"/>
      <c r="E585" s="421"/>
      <c r="F585" s="421"/>
      <c r="G585" s="421"/>
      <c r="H585" s="239"/>
      <c r="I585" s="422"/>
      <c r="J585" s="422"/>
      <c r="K585" s="422"/>
      <c r="L585" s="423"/>
    </row>
    <row r="586" spans="1:12" ht="27" customHeight="1" x14ac:dyDescent="0.2">
      <c r="A586" s="197" t="str">
        <f>"F"&amp;A576</f>
        <v>F39</v>
      </c>
      <c r="B586" s="420" t="s">
        <v>540</v>
      </c>
      <c r="C586" s="421"/>
      <c r="D586" s="421"/>
      <c r="E586" s="421"/>
      <c r="F586" s="421"/>
      <c r="G586" s="421" t="s">
        <v>541</v>
      </c>
      <c r="H586" s="235" t="s">
        <v>932</v>
      </c>
      <c r="I586" s="422"/>
      <c r="J586" s="422"/>
      <c r="K586" s="422"/>
      <c r="L586" s="423"/>
    </row>
    <row r="587" spans="1:12" ht="27" customHeight="1" x14ac:dyDescent="0.2">
      <c r="A587" s="57"/>
      <c r="B587" s="420" t="s">
        <v>542</v>
      </c>
      <c r="C587" s="421"/>
      <c r="D587" s="421"/>
      <c r="E587" s="421"/>
      <c r="F587" s="421"/>
      <c r="G587" s="421" t="s">
        <v>543</v>
      </c>
      <c r="H587" s="236" t="str">
        <f>+IF(H576&lt;&gt;0,IF(L576&gt;=8,"SI","NO"),"")</f>
        <v/>
      </c>
      <c r="I587" s="422"/>
      <c r="J587" s="422"/>
      <c r="K587" s="422"/>
      <c r="L587" s="423"/>
    </row>
    <row r="588" spans="1:12" ht="27" customHeight="1" thickBot="1" x14ac:dyDescent="0.25">
      <c r="A588" s="57"/>
      <c r="B588" s="349" t="s">
        <v>544</v>
      </c>
      <c r="C588" s="350"/>
      <c r="D588" s="350"/>
      <c r="E588" s="350"/>
      <c r="F588" s="350"/>
      <c r="G588" s="350" t="s">
        <v>543</v>
      </c>
      <c r="H588" s="237" t="str">
        <f>+IF(H576&lt;&gt;0,IF(COUNTIF(H580:H583,"SI")&gt;=3,"SI","NO"),"")</f>
        <v/>
      </c>
      <c r="I588" s="416"/>
      <c r="J588" s="416"/>
      <c r="K588" s="416"/>
      <c r="L588" s="417"/>
    </row>
    <row r="589" spans="1:12" ht="16.5" customHeight="1" thickBot="1" x14ac:dyDescent="0.25">
      <c r="A589" s="197" t="str">
        <f>"E"&amp;A576</f>
        <v>E39</v>
      </c>
      <c r="D589" s="418" t="str">
        <f>+D574</f>
        <v>EL PROFESIONAL OFRECIDO POR EL PROPONENTE CUMPLE CON LOS REQUISITOS MÍNIMOS ESTABLECIDOS EN EL NUMERAL 4.1.2. (no se evalúa simultaneidad de procesos en esta celda)</v>
      </c>
      <c r="E589" s="419"/>
      <c r="F589" s="419"/>
      <c r="G589" s="419"/>
      <c r="H589" s="238" t="str">
        <f>IF(H576&lt;&gt;0,IF(AND(H585="SI",H587="SI",H588="SI"),"SI","NO"),"")</f>
        <v/>
      </c>
      <c r="J589" s="20"/>
      <c r="K589" s="20"/>
      <c r="L589" s="20"/>
    </row>
    <row r="590" spans="1:12" ht="12" thickBot="1" x14ac:dyDescent="0.25"/>
    <row r="591" spans="1:12" ht="45" x14ac:dyDescent="0.2">
      <c r="A591" s="442">
        <v>40</v>
      </c>
      <c r="B591" s="444" t="s">
        <v>932</v>
      </c>
      <c r="C591" s="444"/>
      <c r="D591" s="444"/>
      <c r="E591" s="444"/>
      <c r="F591" s="444"/>
      <c r="G591" s="446" t="s">
        <v>515</v>
      </c>
      <c r="H591" s="448">
        <v>0</v>
      </c>
      <c r="I591" s="225" t="s">
        <v>516</v>
      </c>
      <c r="J591" s="226" t="s">
        <v>517</v>
      </c>
      <c r="K591" s="450" t="s">
        <v>518</v>
      </c>
      <c r="L591" s="452" t="str">
        <f>+IF(J592&lt;&gt;0,ROUND(($E$4-J592)/360,0),"")</f>
        <v/>
      </c>
    </row>
    <row r="592" spans="1:12" ht="15" thickBot="1" x14ac:dyDescent="0.25">
      <c r="A592" s="443"/>
      <c r="B592" s="445"/>
      <c r="C592" s="445"/>
      <c r="D592" s="445"/>
      <c r="E592" s="445"/>
      <c r="F592" s="445"/>
      <c r="G592" s="447"/>
      <c r="H592" s="449"/>
      <c r="I592" s="227">
        <v>0</v>
      </c>
      <c r="J592" s="228">
        <v>0</v>
      </c>
      <c r="K592" s="451"/>
      <c r="L592" s="453"/>
    </row>
    <row r="593" spans="1:12" ht="11.25" customHeight="1" x14ac:dyDescent="0.2">
      <c r="A593" s="430" t="s">
        <v>171</v>
      </c>
      <c r="B593" s="431" t="s">
        <v>173</v>
      </c>
      <c r="C593" s="432"/>
      <c r="D593" s="432"/>
      <c r="E593" s="433"/>
      <c r="F593" s="434" t="s">
        <v>519</v>
      </c>
      <c r="G593" s="434" t="s">
        <v>520</v>
      </c>
      <c r="H593" s="434" t="s">
        <v>521</v>
      </c>
      <c r="I593" s="436" t="s">
        <v>522</v>
      </c>
      <c r="J593" s="437"/>
      <c r="K593" s="437"/>
      <c r="L593" s="438"/>
    </row>
    <row r="594" spans="1:12" ht="57.75" customHeight="1" thickBot="1" x14ac:dyDescent="0.25">
      <c r="A594" s="430"/>
      <c r="B594" s="26" t="s">
        <v>188</v>
      </c>
      <c r="C594" s="26" t="s">
        <v>189</v>
      </c>
      <c r="D594" s="26" t="s">
        <v>190</v>
      </c>
      <c r="E594" s="26" t="s">
        <v>191</v>
      </c>
      <c r="F594" s="435"/>
      <c r="G594" s="435"/>
      <c r="H594" s="435"/>
      <c r="I594" s="439"/>
      <c r="J594" s="440"/>
      <c r="K594" s="440"/>
      <c r="L594" s="441"/>
    </row>
    <row r="595" spans="1:12" s="27" customFormat="1" ht="12.75" x14ac:dyDescent="0.2">
      <c r="A595" s="28">
        <v>1</v>
      </c>
      <c r="B595" s="86"/>
      <c r="C595" s="87"/>
      <c r="D595" s="87"/>
      <c r="E595" s="86"/>
      <c r="F595" s="31"/>
      <c r="G595" s="33"/>
      <c r="H595" s="88" t="str">
        <f>+IF(B595&lt;&gt;"",IF(OR(F595="Otro",G595="NO"),"NO","SI"),"")</f>
        <v/>
      </c>
      <c r="I595" s="458"/>
      <c r="J595" s="458"/>
      <c r="K595" s="458"/>
      <c r="L595" s="459"/>
    </row>
    <row r="596" spans="1:12" s="27" customFormat="1" ht="12.75" x14ac:dyDescent="0.2">
      <c r="A596" s="38">
        <v>2</v>
      </c>
      <c r="B596" s="39"/>
      <c r="C596" s="46"/>
      <c r="D596" s="46"/>
      <c r="E596" s="39"/>
      <c r="F596" s="41"/>
      <c r="G596" s="43"/>
      <c r="H596" s="239" t="str">
        <f>+IF(B596&lt;&gt;"",IF(OR(F596="Otro",G596="NO"),"NO","SI"),"")</f>
        <v/>
      </c>
      <c r="I596" s="422"/>
      <c r="J596" s="422"/>
      <c r="K596" s="422"/>
      <c r="L596" s="423"/>
    </row>
    <row r="597" spans="1:12" s="27" customFormat="1" ht="12.75" x14ac:dyDescent="0.2">
      <c r="A597" s="38">
        <v>3</v>
      </c>
      <c r="B597" s="39"/>
      <c r="C597" s="46"/>
      <c r="D597" s="46"/>
      <c r="E597" s="39"/>
      <c r="F597" s="41"/>
      <c r="G597" s="43"/>
      <c r="H597" s="239" t="str">
        <f>+IF(B597&lt;&gt;"",IF(OR(F597="Otro",G597="NO"),"NO","SI"),"")</f>
        <v/>
      </c>
      <c r="I597" s="422"/>
      <c r="J597" s="422"/>
      <c r="K597" s="422"/>
      <c r="L597" s="423"/>
    </row>
    <row r="598" spans="1:12" s="27" customFormat="1" ht="13.5" thickBot="1" x14ac:dyDescent="0.25">
      <c r="A598" s="47">
        <v>4</v>
      </c>
      <c r="B598" s="230"/>
      <c r="C598" s="231"/>
      <c r="D598" s="231"/>
      <c r="E598" s="230"/>
      <c r="F598" s="232"/>
      <c r="G598" s="233"/>
      <c r="H598" s="233" t="str">
        <f>+IF(B598&lt;&gt;"",IF(OR(F598="Otro",G598="NO"),"NO","SI"),"")</f>
        <v/>
      </c>
      <c r="I598" s="426"/>
      <c r="J598" s="426"/>
      <c r="K598" s="426"/>
      <c r="L598" s="427"/>
    </row>
    <row r="599" spans="1:12" ht="27" customHeight="1" x14ac:dyDescent="0.2">
      <c r="A599" s="197" t="str">
        <f>"D"&amp;A591</f>
        <v>D40</v>
      </c>
      <c r="B599" s="428" t="s">
        <v>538</v>
      </c>
      <c r="C599" s="429"/>
      <c r="D599" s="429"/>
      <c r="E599" s="429"/>
      <c r="F599" s="429"/>
      <c r="G599" s="429"/>
      <c r="H599" s="88"/>
      <c r="I599" s="424"/>
      <c r="J599" s="424"/>
      <c r="K599" s="424"/>
      <c r="L599" s="425"/>
    </row>
    <row r="600" spans="1:12" ht="27" customHeight="1" x14ac:dyDescent="0.2">
      <c r="A600" s="234"/>
      <c r="B600" s="420" t="s">
        <v>539</v>
      </c>
      <c r="C600" s="421"/>
      <c r="D600" s="421"/>
      <c r="E600" s="421"/>
      <c r="F600" s="421"/>
      <c r="G600" s="421"/>
      <c r="H600" s="239"/>
      <c r="I600" s="422"/>
      <c r="J600" s="422"/>
      <c r="K600" s="422"/>
      <c r="L600" s="423"/>
    </row>
    <row r="601" spans="1:12" ht="27" customHeight="1" x14ac:dyDescent="0.2">
      <c r="A601" s="197" t="str">
        <f>"F"&amp;A591</f>
        <v>F40</v>
      </c>
      <c r="B601" s="420" t="s">
        <v>540</v>
      </c>
      <c r="C601" s="421"/>
      <c r="D601" s="421"/>
      <c r="E601" s="421"/>
      <c r="F601" s="421"/>
      <c r="G601" s="421" t="s">
        <v>541</v>
      </c>
      <c r="H601" s="235" t="s">
        <v>932</v>
      </c>
      <c r="I601" s="422"/>
      <c r="J601" s="422"/>
      <c r="K601" s="422"/>
      <c r="L601" s="423"/>
    </row>
    <row r="602" spans="1:12" ht="27" customHeight="1" x14ac:dyDescent="0.2">
      <c r="A602" s="57"/>
      <c r="B602" s="420" t="s">
        <v>542</v>
      </c>
      <c r="C602" s="421"/>
      <c r="D602" s="421"/>
      <c r="E602" s="421"/>
      <c r="F602" s="421"/>
      <c r="G602" s="421" t="s">
        <v>543</v>
      </c>
      <c r="H602" s="236" t="str">
        <f>+IF(H591&lt;&gt;0,IF(L591&gt;=8,"SI","NO"),"")</f>
        <v/>
      </c>
      <c r="I602" s="422"/>
      <c r="J602" s="422"/>
      <c r="K602" s="422"/>
      <c r="L602" s="423"/>
    </row>
    <row r="603" spans="1:12" ht="27" customHeight="1" thickBot="1" x14ac:dyDescent="0.25">
      <c r="A603" s="57"/>
      <c r="B603" s="349" t="s">
        <v>544</v>
      </c>
      <c r="C603" s="350"/>
      <c r="D603" s="350"/>
      <c r="E603" s="350"/>
      <c r="F603" s="350"/>
      <c r="G603" s="350" t="s">
        <v>543</v>
      </c>
      <c r="H603" s="237" t="str">
        <f>+IF(H591&lt;&gt;0,IF(COUNTIF(H595:H598,"SI")&gt;=3,"SI","NO"),"")</f>
        <v/>
      </c>
      <c r="I603" s="416"/>
      <c r="J603" s="416"/>
      <c r="K603" s="416"/>
      <c r="L603" s="417"/>
    </row>
    <row r="604" spans="1:12" ht="16.5" customHeight="1" thickBot="1" x14ac:dyDescent="0.25">
      <c r="A604" s="197" t="str">
        <f>"E"&amp;A591</f>
        <v>E40</v>
      </c>
      <c r="D604" s="418" t="str">
        <f>+D589</f>
        <v>EL PROFESIONAL OFRECIDO POR EL PROPONENTE CUMPLE CON LOS REQUISITOS MÍNIMOS ESTABLECIDOS EN EL NUMERAL 4.1.2. (no se evalúa simultaneidad de procesos en esta celda)</v>
      </c>
      <c r="E604" s="419"/>
      <c r="F604" s="419"/>
      <c r="G604" s="419"/>
      <c r="H604" s="238" t="str">
        <f>IF(H591&lt;&gt;0,IF(AND(H600="SI",H602="SI",H603="SI"),"SI","NO"),"")</f>
        <v/>
      </c>
      <c r="J604" s="20"/>
      <c r="K604" s="20"/>
      <c r="L604" s="20"/>
    </row>
    <row r="605" spans="1:12" ht="12" thickBot="1" x14ac:dyDescent="0.25"/>
    <row r="606" spans="1:12" ht="45" x14ac:dyDescent="0.2">
      <c r="A606" s="442">
        <v>41</v>
      </c>
      <c r="B606" s="444" t="s">
        <v>932</v>
      </c>
      <c r="C606" s="444"/>
      <c r="D606" s="444"/>
      <c r="E606" s="444"/>
      <c r="F606" s="444"/>
      <c r="G606" s="446" t="s">
        <v>515</v>
      </c>
      <c r="H606" s="448">
        <v>0</v>
      </c>
      <c r="I606" s="225" t="s">
        <v>516</v>
      </c>
      <c r="J606" s="226" t="s">
        <v>517</v>
      </c>
      <c r="K606" s="450" t="s">
        <v>518</v>
      </c>
      <c r="L606" s="452" t="str">
        <f>+IF(J607&lt;&gt;0,ROUND(($E$4-J607)/360,0),"")</f>
        <v/>
      </c>
    </row>
    <row r="607" spans="1:12" ht="15" thickBot="1" x14ac:dyDescent="0.25">
      <c r="A607" s="443"/>
      <c r="B607" s="445"/>
      <c r="C607" s="445"/>
      <c r="D607" s="445"/>
      <c r="E607" s="445"/>
      <c r="F607" s="445"/>
      <c r="G607" s="447"/>
      <c r="H607" s="449"/>
      <c r="I607" s="227">
        <v>0</v>
      </c>
      <c r="J607" s="228">
        <v>0</v>
      </c>
      <c r="K607" s="451"/>
      <c r="L607" s="453"/>
    </row>
    <row r="608" spans="1:12" ht="11.25" customHeight="1" x14ac:dyDescent="0.2">
      <c r="A608" s="430" t="s">
        <v>171</v>
      </c>
      <c r="B608" s="431" t="s">
        <v>173</v>
      </c>
      <c r="C608" s="432"/>
      <c r="D608" s="432"/>
      <c r="E608" s="433"/>
      <c r="F608" s="434" t="s">
        <v>519</v>
      </c>
      <c r="G608" s="434" t="s">
        <v>520</v>
      </c>
      <c r="H608" s="434" t="s">
        <v>521</v>
      </c>
      <c r="I608" s="436" t="s">
        <v>522</v>
      </c>
      <c r="J608" s="437"/>
      <c r="K608" s="437"/>
      <c r="L608" s="438"/>
    </row>
    <row r="609" spans="1:12" ht="57.75" customHeight="1" thickBot="1" x14ac:dyDescent="0.25">
      <c r="A609" s="430"/>
      <c r="B609" s="26" t="s">
        <v>188</v>
      </c>
      <c r="C609" s="26" t="s">
        <v>189</v>
      </c>
      <c r="D609" s="26" t="s">
        <v>190</v>
      </c>
      <c r="E609" s="26" t="s">
        <v>191</v>
      </c>
      <c r="F609" s="435"/>
      <c r="G609" s="435"/>
      <c r="H609" s="435"/>
      <c r="I609" s="439"/>
      <c r="J609" s="440"/>
      <c r="K609" s="440"/>
      <c r="L609" s="441"/>
    </row>
    <row r="610" spans="1:12" s="27" customFormat="1" ht="12.75" x14ac:dyDescent="0.2">
      <c r="A610" s="28">
        <v>1</v>
      </c>
      <c r="B610" s="86"/>
      <c r="C610" s="87"/>
      <c r="D610" s="87"/>
      <c r="E610" s="86"/>
      <c r="F610" s="31"/>
      <c r="G610" s="33"/>
      <c r="H610" s="88" t="str">
        <f>+IF(B610&lt;&gt;"",IF(OR(F610="Otro",G610="NO"),"NO","SI"),"")</f>
        <v/>
      </c>
      <c r="I610" s="424"/>
      <c r="J610" s="424"/>
      <c r="K610" s="424"/>
      <c r="L610" s="425"/>
    </row>
    <row r="611" spans="1:12" s="27" customFormat="1" ht="12.75" x14ac:dyDescent="0.2">
      <c r="A611" s="38">
        <v>2</v>
      </c>
      <c r="B611" s="39"/>
      <c r="C611" s="46"/>
      <c r="D611" s="46"/>
      <c r="E611" s="39"/>
      <c r="F611" s="41"/>
      <c r="G611" s="43"/>
      <c r="H611" s="239" t="str">
        <f>+IF(B611&lt;&gt;"",IF(OR(F611="Otro",G611="NO"),"NO","SI"),"")</f>
        <v/>
      </c>
      <c r="I611" s="422"/>
      <c r="J611" s="422"/>
      <c r="K611" s="422"/>
      <c r="L611" s="423"/>
    </row>
    <row r="612" spans="1:12" s="27" customFormat="1" ht="12.75" x14ac:dyDescent="0.2">
      <c r="A612" s="38">
        <v>3</v>
      </c>
      <c r="B612" s="39"/>
      <c r="C612" s="46"/>
      <c r="D612" s="46"/>
      <c r="E612" s="39"/>
      <c r="F612" s="41"/>
      <c r="G612" s="43"/>
      <c r="H612" s="239" t="str">
        <f>+IF(B612&lt;&gt;"",IF(OR(F612="Otro",G612="NO"),"NO","SI"),"")</f>
        <v/>
      </c>
      <c r="I612" s="422"/>
      <c r="J612" s="422"/>
      <c r="K612" s="422"/>
      <c r="L612" s="423"/>
    </row>
    <row r="613" spans="1:12" s="27" customFormat="1" ht="13.5" thickBot="1" x14ac:dyDescent="0.25">
      <c r="A613" s="47">
        <v>4</v>
      </c>
      <c r="B613" s="230"/>
      <c r="C613" s="231"/>
      <c r="D613" s="231"/>
      <c r="E613" s="230"/>
      <c r="F613" s="232"/>
      <c r="G613" s="233"/>
      <c r="H613" s="233" t="str">
        <f>+IF(B613&lt;&gt;"",IF(OR(F613="Otro",G613="NO"),"NO","SI"),"")</f>
        <v/>
      </c>
      <c r="I613" s="426"/>
      <c r="J613" s="426"/>
      <c r="K613" s="426"/>
      <c r="L613" s="427"/>
    </row>
    <row r="614" spans="1:12" ht="27" customHeight="1" x14ac:dyDescent="0.2">
      <c r="A614" s="197" t="str">
        <f>"D"&amp;A606</f>
        <v>D41</v>
      </c>
      <c r="B614" s="428" t="s">
        <v>538</v>
      </c>
      <c r="C614" s="429"/>
      <c r="D614" s="429"/>
      <c r="E614" s="429"/>
      <c r="F614" s="429"/>
      <c r="G614" s="429"/>
      <c r="H614" s="33"/>
      <c r="I614" s="424"/>
      <c r="J614" s="424"/>
      <c r="K614" s="424"/>
      <c r="L614" s="425"/>
    </row>
    <row r="615" spans="1:12" ht="27" customHeight="1" x14ac:dyDescent="0.2">
      <c r="A615" s="234"/>
      <c r="B615" s="420" t="s">
        <v>539</v>
      </c>
      <c r="C615" s="421"/>
      <c r="D615" s="421"/>
      <c r="E615" s="421"/>
      <c r="F615" s="421"/>
      <c r="G615" s="421"/>
      <c r="H615" s="43"/>
      <c r="I615" s="422"/>
      <c r="J615" s="422"/>
      <c r="K615" s="422"/>
      <c r="L615" s="423"/>
    </row>
    <row r="616" spans="1:12" ht="27" customHeight="1" x14ac:dyDescent="0.2">
      <c r="A616" s="197" t="str">
        <f>"F"&amp;A606</f>
        <v>F41</v>
      </c>
      <c r="B616" s="420" t="s">
        <v>540</v>
      </c>
      <c r="C616" s="421"/>
      <c r="D616" s="421"/>
      <c r="E616" s="421"/>
      <c r="F616" s="421"/>
      <c r="G616" s="421" t="s">
        <v>541</v>
      </c>
      <c r="H616" s="235" t="s">
        <v>932</v>
      </c>
      <c r="I616" s="422"/>
      <c r="J616" s="422"/>
      <c r="K616" s="422"/>
      <c r="L616" s="423"/>
    </row>
    <row r="617" spans="1:12" ht="27" customHeight="1" x14ac:dyDescent="0.2">
      <c r="A617" s="57"/>
      <c r="B617" s="420" t="s">
        <v>542</v>
      </c>
      <c r="C617" s="421"/>
      <c r="D617" s="421"/>
      <c r="E617" s="421"/>
      <c r="F617" s="421"/>
      <c r="G617" s="421" t="s">
        <v>543</v>
      </c>
      <c r="H617" s="236" t="str">
        <f>+IF(H606&lt;&gt;0,IF(L606&gt;=8,"SI","NO"),"")</f>
        <v/>
      </c>
      <c r="I617" s="422"/>
      <c r="J617" s="422"/>
      <c r="K617" s="422"/>
      <c r="L617" s="423"/>
    </row>
    <row r="618" spans="1:12" ht="27" customHeight="1" thickBot="1" x14ac:dyDescent="0.25">
      <c r="A618" s="57"/>
      <c r="B618" s="349" t="s">
        <v>544</v>
      </c>
      <c r="C618" s="350"/>
      <c r="D618" s="350"/>
      <c r="E618" s="350"/>
      <c r="F618" s="350"/>
      <c r="G618" s="350" t="s">
        <v>543</v>
      </c>
      <c r="H618" s="237" t="str">
        <f>+IF(H606&lt;&gt;0,IF(COUNTIF(H610:H613,"SI")&gt;=3,"SI","NO"),"")</f>
        <v/>
      </c>
      <c r="I618" s="416"/>
      <c r="J618" s="416"/>
      <c r="K618" s="416"/>
      <c r="L618" s="417"/>
    </row>
    <row r="619" spans="1:12" ht="16.5" customHeight="1" thickBot="1" x14ac:dyDescent="0.25">
      <c r="A619" s="197" t="str">
        <f>"E"&amp;A606</f>
        <v>E41</v>
      </c>
      <c r="D619" s="418" t="str">
        <f>+D604</f>
        <v>EL PROFESIONAL OFRECIDO POR EL PROPONENTE CUMPLE CON LOS REQUISITOS MÍNIMOS ESTABLECIDOS EN EL NUMERAL 4.1.2. (no se evalúa simultaneidad de procesos en esta celda)</v>
      </c>
      <c r="E619" s="419"/>
      <c r="F619" s="419"/>
      <c r="G619" s="419"/>
      <c r="H619" s="238" t="str">
        <f>IF(H606&lt;&gt;0,IF(AND(H615="SI",H617="SI",H618="SI"),"SI","NO"),"")</f>
        <v/>
      </c>
      <c r="J619" s="20"/>
      <c r="K619" s="20"/>
      <c r="L619" s="20"/>
    </row>
    <row r="620" spans="1:12" ht="12" thickBot="1" x14ac:dyDescent="0.25"/>
    <row r="621" spans="1:12" ht="45" x14ac:dyDescent="0.2">
      <c r="A621" s="442">
        <v>42</v>
      </c>
      <c r="B621" s="444" t="s">
        <v>932</v>
      </c>
      <c r="C621" s="444"/>
      <c r="D621" s="444"/>
      <c r="E621" s="444"/>
      <c r="F621" s="444"/>
      <c r="G621" s="446" t="s">
        <v>515</v>
      </c>
      <c r="H621" s="448">
        <v>0</v>
      </c>
      <c r="I621" s="225" t="s">
        <v>516</v>
      </c>
      <c r="J621" s="226" t="s">
        <v>517</v>
      </c>
      <c r="K621" s="450" t="s">
        <v>518</v>
      </c>
      <c r="L621" s="452" t="str">
        <f>+IF(J622&lt;&gt;0,ROUND(($E$4-J622)/360,0),"")</f>
        <v/>
      </c>
    </row>
    <row r="622" spans="1:12" ht="15" thickBot="1" x14ac:dyDescent="0.25">
      <c r="A622" s="443"/>
      <c r="B622" s="445"/>
      <c r="C622" s="445"/>
      <c r="D622" s="445"/>
      <c r="E622" s="445"/>
      <c r="F622" s="445"/>
      <c r="G622" s="447"/>
      <c r="H622" s="449"/>
      <c r="I622" s="227">
        <v>0</v>
      </c>
      <c r="J622" s="228">
        <v>0</v>
      </c>
      <c r="K622" s="451"/>
      <c r="L622" s="453"/>
    </row>
    <row r="623" spans="1:12" ht="11.25" customHeight="1" x14ac:dyDescent="0.2">
      <c r="A623" s="430" t="s">
        <v>171</v>
      </c>
      <c r="B623" s="431" t="s">
        <v>173</v>
      </c>
      <c r="C623" s="432"/>
      <c r="D623" s="432"/>
      <c r="E623" s="433"/>
      <c r="F623" s="434" t="s">
        <v>519</v>
      </c>
      <c r="G623" s="434" t="s">
        <v>520</v>
      </c>
      <c r="H623" s="434" t="s">
        <v>521</v>
      </c>
      <c r="I623" s="436" t="s">
        <v>522</v>
      </c>
      <c r="J623" s="437"/>
      <c r="K623" s="437"/>
      <c r="L623" s="438"/>
    </row>
    <row r="624" spans="1:12" ht="57.75" customHeight="1" thickBot="1" x14ac:dyDescent="0.25">
      <c r="A624" s="430"/>
      <c r="B624" s="26" t="s">
        <v>188</v>
      </c>
      <c r="C624" s="26" t="s">
        <v>189</v>
      </c>
      <c r="D624" s="26" t="s">
        <v>190</v>
      </c>
      <c r="E624" s="26" t="s">
        <v>191</v>
      </c>
      <c r="F624" s="435"/>
      <c r="G624" s="435"/>
      <c r="H624" s="435"/>
      <c r="I624" s="439"/>
      <c r="J624" s="440"/>
      <c r="K624" s="440"/>
      <c r="L624" s="441"/>
    </row>
    <row r="625" spans="1:12" s="27" customFormat="1" ht="12.75" x14ac:dyDescent="0.2">
      <c r="A625" s="28">
        <v>1</v>
      </c>
      <c r="B625" s="86"/>
      <c r="C625" s="87"/>
      <c r="D625" s="87"/>
      <c r="E625" s="86"/>
      <c r="F625" s="31"/>
      <c r="G625" s="33"/>
      <c r="H625" s="88" t="str">
        <f>+IF(B625&lt;&gt;"",IF(OR(F625="Otro",G625="NO"),"NO","SI"),"")</f>
        <v/>
      </c>
      <c r="I625" s="424"/>
      <c r="J625" s="424"/>
      <c r="K625" s="424"/>
      <c r="L625" s="425"/>
    </row>
    <row r="626" spans="1:12" s="27" customFormat="1" ht="12.75" x14ac:dyDescent="0.2">
      <c r="A626" s="38">
        <v>2</v>
      </c>
      <c r="B626" s="39"/>
      <c r="C626" s="46"/>
      <c r="D626" s="46"/>
      <c r="E626" s="39"/>
      <c r="F626" s="41"/>
      <c r="G626" s="43"/>
      <c r="H626" s="239" t="str">
        <f>+IF(B626&lt;&gt;"",IF(OR(F626="Otro",G626="NO"),"NO","SI"),"")</f>
        <v/>
      </c>
      <c r="I626" s="422"/>
      <c r="J626" s="422"/>
      <c r="K626" s="422"/>
      <c r="L626" s="423"/>
    </row>
    <row r="627" spans="1:12" s="27" customFormat="1" ht="12.75" x14ac:dyDescent="0.2">
      <c r="A627" s="38">
        <v>3</v>
      </c>
      <c r="B627" s="39"/>
      <c r="C627" s="46"/>
      <c r="D627" s="46"/>
      <c r="E627" s="39"/>
      <c r="F627" s="41"/>
      <c r="G627" s="43"/>
      <c r="H627" s="239" t="str">
        <f>+IF(B627&lt;&gt;"",IF(OR(F627="Otro",G627="NO"),"NO","SI"),"")</f>
        <v/>
      </c>
      <c r="I627" s="422"/>
      <c r="J627" s="422"/>
      <c r="K627" s="422"/>
      <c r="L627" s="423"/>
    </row>
    <row r="628" spans="1:12" s="27" customFormat="1" ht="13.5" thickBot="1" x14ac:dyDescent="0.25">
      <c r="A628" s="47">
        <v>4</v>
      </c>
      <c r="B628" s="230"/>
      <c r="C628" s="231"/>
      <c r="D628" s="231"/>
      <c r="E628" s="230"/>
      <c r="F628" s="232"/>
      <c r="G628" s="233"/>
      <c r="H628" s="233" t="str">
        <f>+IF(B628&lt;&gt;"",IF(OR(F628="Otro",G628="NO"),"NO","SI"),"")</f>
        <v/>
      </c>
      <c r="I628" s="426"/>
      <c r="J628" s="426"/>
      <c r="K628" s="426"/>
      <c r="L628" s="427"/>
    </row>
    <row r="629" spans="1:12" ht="27" customHeight="1" x14ac:dyDescent="0.2">
      <c r="A629" s="197" t="str">
        <f>"D"&amp;A621</f>
        <v>D42</v>
      </c>
      <c r="B629" s="428" t="s">
        <v>538</v>
      </c>
      <c r="C629" s="429"/>
      <c r="D629" s="429"/>
      <c r="E629" s="429"/>
      <c r="F629" s="429"/>
      <c r="G629" s="429"/>
      <c r="H629" s="33"/>
      <c r="I629" s="424"/>
      <c r="J629" s="424"/>
      <c r="K629" s="424"/>
      <c r="L629" s="425"/>
    </row>
    <row r="630" spans="1:12" ht="27" customHeight="1" x14ac:dyDescent="0.2">
      <c r="A630" s="234"/>
      <c r="B630" s="420" t="s">
        <v>539</v>
      </c>
      <c r="C630" s="421"/>
      <c r="D630" s="421"/>
      <c r="E630" s="421"/>
      <c r="F630" s="421"/>
      <c r="G630" s="421"/>
      <c r="H630" s="43"/>
      <c r="I630" s="422"/>
      <c r="J630" s="422"/>
      <c r="K630" s="422"/>
      <c r="L630" s="423"/>
    </row>
    <row r="631" spans="1:12" ht="27" customHeight="1" x14ac:dyDescent="0.2">
      <c r="A631" s="197" t="str">
        <f>"F"&amp;A621</f>
        <v>F42</v>
      </c>
      <c r="B631" s="420" t="s">
        <v>540</v>
      </c>
      <c r="C631" s="421"/>
      <c r="D631" s="421"/>
      <c r="E631" s="421"/>
      <c r="F631" s="421"/>
      <c r="G631" s="421" t="s">
        <v>541</v>
      </c>
      <c r="H631" s="235" t="s">
        <v>932</v>
      </c>
      <c r="I631" s="422"/>
      <c r="J631" s="422"/>
      <c r="K631" s="422"/>
      <c r="L631" s="423"/>
    </row>
    <row r="632" spans="1:12" ht="27" customHeight="1" x14ac:dyDescent="0.2">
      <c r="A632" s="57"/>
      <c r="B632" s="420" t="s">
        <v>542</v>
      </c>
      <c r="C632" s="421"/>
      <c r="D632" s="421"/>
      <c r="E632" s="421"/>
      <c r="F632" s="421"/>
      <c r="G632" s="421" t="s">
        <v>543</v>
      </c>
      <c r="H632" s="236" t="str">
        <f>+IF(H621&lt;&gt;0,IF(L621&gt;=8,"SI","NO"),"")</f>
        <v/>
      </c>
      <c r="I632" s="422"/>
      <c r="J632" s="422"/>
      <c r="K632" s="422"/>
      <c r="L632" s="423"/>
    </row>
    <row r="633" spans="1:12" ht="27" customHeight="1" thickBot="1" x14ac:dyDescent="0.25">
      <c r="A633" s="57"/>
      <c r="B633" s="349" t="s">
        <v>544</v>
      </c>
      <c r="C633" s="350"/>
      <c r="D633" s="350"/>
      <c r="E633" s="350"/>
      <c r="F633" s="350"/>
      <c r="G633" s="350" t="s">
        <v>543</v>
      </c>
      <c r="H633" s="237" t="str">
        <f>+IF(H621&lt;&gt;0,IF(COUNTIF(H625:H628,"SI")&gt;=3,"SI","NO"),"")</f>
        <v/>
      </c>
      <c r="I633" s="416"/>
      <c r="J633" s="416"/>
      <c r="K633" s="416"/>
      <c r="L633" s="417"/>
    </row>
    <row r="634" spans="1:12" ht="16.5" customHeight="1" thickBot="1" x14ac:dyDescent="0.25">
      <c r="A634" s="197" t="str">
        <f>"E"&amp;A621</f>
        <v>E42</v>
      </c>
      <c r="D634" s="418" t="str">
        <f>+D619</f>
        <v>EL PROFESIONAL OFRECIDO POR EL PROPONENTE CUMPLE CON LOS REQUISITOS MÍNIMOS ESTABLECIDOS EN EL NUMERAL 4.1.2. (no se evalúa simultaneidad de procesos en esta celda)</v>
      </c>
      <c r="E634" s="419"/>
      <c r="F634" s="419"/>
      <c r="G634" s="419"/>
      <c r="H634" s="238" t="str">
        <f>IF(H621&lt;&gt;0,IF(AND(H630="SI",H632="SI",H633="SI"),"SI","NO"),"")</f>
        <v/>
      </c>
      <c r="J634" s="20"/>
      <c r="K634" s="20"/>
      <c r="L634" s="20"/>
    </row>
    <row r="635" spans="1:12" ht="12" thickBot="1" x14ac:dyDescent="0.25"/>
    <row r="636" spans="1:12" ht="45" x14ac:dyDescent="0.2">
      <c r="A636" s="442">
        <v>43</v>
      </c>
      <c r="B636" s="444" t="s">
        <v>932</v>
      </c>
      <c r="C636" s="444"/>
      <c r="D636" s="444"/>
      <c r="E636" s="444"/>
      <c r="F636" s="444"/>
      <c r="G636" s="446" t="s">
        <v>515</v>
      </c>
      <c r="H636" s="448">
        <v>0</v>
      </c>
      <c r="I636" s="225" t="s">
        <v>516</v>
      </c>
      <c r="J636" s="226" t="s">
        <v>517</v>
      </c>
      <c r="K636" s="450" t="s">
        <v>518</v>
      </c>
      <c r="L636" s="452" t="str">
        <f>+IF(J637&lt;&gt;0,ROUND(($E$4-J637)/360,0),"")</f>
        <v/>
      </c>
    </row>
    <row r="637" spans="1:12" ht="15" thickBot="1" x14ac:dyDescent="0.25">
      <c r="A637" s="443"/>
      <c r="B637" s="445"/>
      <c r="C637" s="445"/>
      <c r="D637" s="445"/>
      <c r="E637" s="445"/>
      <c r="F637" s="445"/>
      <c r="G637" s="447"/>
      <c r="H637" s="449"/>
      <c r="I637" s="227">
        <v>0</v>
      </c>
      <c r="J637" s="228">
        <v>0</v>
      </c>
      <c r="K637" s="451"/>
      <c r="L637" s="453"/>
    </row>
    <row r="638" spans="1:12" ht="11.25" customHeight="1" x14ac:dyDescent="0.2">
      <c r="A638" s="430" t="s">
        <v>171</v>
      </c>
      <c r="B638" s="431" t="s">
        <v>173</v>
      </c>
      <c r="C638" s="432"/>
      <c r="D638" s="432"/>
      <c r="E638" s="433"/>
      <c r="F638" s="434" t="s">
        <v>519</v>
      </c>
      <c r="G638" s="434" t="s">
        <v>520</v>
      </c>
      <c r="H638" s="434" t="s">
        <v>521</v>
      </c>
      <c r="I638" s="436" t="s">
        <v>522</v>
      </c>
      <c r="J638" s="437"/>
      <c r="K638" s="437"/>
      <c r="L638" s="438"/>
    </row>
    <row r="639" spans="1:12" ht="57.75" customHeight="1" thickBot="1" x14ac:dyDescent="0.25">
      <c r="A639" s="430"/>
      <c r="B639" s="26" t="s">
        <v>188</v>
      </c>
      <c r="C639" s="26" t="s">
        <v>189</v>
      </c>
      <c r="D639" s="26" t="s">
        <v>190</v>
      </c>
      <c r="E639" s="26" t="s">
        <v>191</v>
      </c>
      <c r="F639" s="435"/>
      <c r="G639" s="435"/>
      <c r="H639" s="435"/>
      <c r="I639" s="439"/>
      <c r="J639" s="440"/>
      <c r="K639" s="440"/>
      <c r="L639" s="441"/>
    </row>
    <row r="640" spans="1:12" s="27" customFormat="1" ht="12.75" x14ac:dyDescent="0.2">
      <c r="A640" s="28">
        <v>1</v>
      </c>
      <c r="B640" s="86"/>
      <c r="C640" s="87"/>
      <c r="D640" s="87"/>
      <c r="E640" s="86"/>
      <c r="F640" s="31"/>
      <c r="G640" s="33"/>
      <c r="H640" s="88" t="str">
        <f>+IF(B640&lt;&gt;"",IF(OR(F640="Otro",G640="NO"),"NO","SI"),"")</f>
        <v/>
      </c>
      <c r="I640" s="424"/>
      <c r="J640" s="424"/>
      <c r="K640" s="424"/>
      <c r="L640" s="425"/>
    </row>
    <row r="641" spans="1:12" s="27" customFormat="1" ht="12.75" x14ac:dyDescent="0.2">
      <c r="A641" s="38">
        <v>2</v>
      </c>
      <c r="B641" s="39"/>
      <c r="C641" s="46"/>
      <c r="D641" s="46"/>
      <c r="E641" s="39"/>
      <c r="F641" s="41"/>
      <c r="G641" s="43"/>
      <c r="H641" s="239" t="str">
        <f>+IF(B641&lt;&gt;"",IF(OR(F641="Otro",G641="NO"),"NO","SI"),"")</f>
        <v/>
      </c>
      <c r="I641" s="422"/>
      <c r="J641" s="422"/>
      <c r="K641" s="422"/>
      <c r="L641" s="423"/>
    </row>
    <row r="642" spans="1:12" s="27" customFormat="1" ht="12.75" x14ac:dyDescent="0.2">
      <c r="A642" s="38">
        <v>3</v>
      </c>
      <c r="B642" s="39"/>
      <c r="C642" s="46"/>
      <c r="D642" s="46"/>
      <c r="E642" s="39"/>
      <c r="F642" s="41"/>
      <c r="G642" s="43"/>
      <c r="H642" s="239" t="str">
        <f>+IF(B642&lt;&gt;"",IF(OR(F642="Otro",G642="NO"),"NO","SI"),"")</f>
        <v/>
      </c>
      <c r="I642" s="422"/>
      <c r="J642" s="422"/>
      <c r="K642" s="422"/>
      <c r="L642" s="423"/>
    </row>
    <row r="643" spans="1:12" s="27" customFormat="1" ht="13.5" thickBot="1" x14ac:dyDescent="0.25">
      <c r="A643" s="47">
        <v>4</v>
      </c>
      <c r="B643" s="230"/>
      <c r="C643" s="231"/>
      <c r="D643" s="231"/>
      <c r="E643" s="230"/>
      <c r="F643" s="232"/>
      <c r="G643" s="233"/>
      <c r="H643" s="233" t="str">
        <f>+IF(B643&lt;&gt;"",IF(OR(F643="Otro",G643="NO"),"NO","SI"),"")</f>
        <v/>
      </c>
      <c r="I643" s="426"/>
      <c r="J643" s="426"/>
      <c r="K643" s="426"/>
      <c r="L643" s="427"/>
    </row>
    <row r="644" spans="1:12" ht="27" customHeight="1" x14ac:dyDescent="0.2">
      <c r="A644" s="197" t="str">
        <f>"D"&amp;A636</f>
        <v>D43</v>
      </c>
      <c r="B644" s="428" t="s">
        <v>538</v>
      </c>
      <c r="C644" s="429"/>
      <c r="D644" s="429"/>
      <c r="E644" s="429"/>
      <c r="F644" s="429"/>
      <c r="G644" s="429"/>
      <c r="H644" s="88"/>
      <c r="I644" s="424"/>
      <c r="J644" s="424"/>
      <c r="K644" s="424"/>
      <c r="L644" s="425"/>
    </row>
    <row r="645" spans="1:12" ht="27" customHeight="1" x14ac:dyDescent="0.2">
      <c r="A645" s="234"/>
      <c r="B645" s="420" t="s">
        <v>539</v>
      </c>
      <c r="C645" s="421"/>
      <c r="D645" s="421"/>
      <c r="E645" s="421"/>
      <c r="F645" s="421"/>
      <c r="G645" s="421"/>
      <c r="H645" s="239"/>
      <c r="I645" s="422"/>
      <c r="J645" s="422"/>
      <c r="K645" s="422"/>
      <c r="L645" s="423"/>
    </row>
    <row r="646" spans="1:12" ht="27" customHeight="1" x14ac:dyDescent="0.2">
      <c r="A646" s="197" t="str">
        <f>"F"&amp;A636</f>
        <v>F43</v>
      </c>
      <c r="B646" s="420" t="s">
        <v>540</v>
      </c>
      <c r="C646" s="421"/>
      <c r="D646" s="421"/>
      <c r="E646" s="421"/>
      <c r="F646" s="421"/>
      <c r="G646" s="421" t="s">
        <v>541</v>
      </c>
      <c r="H646" s="235" t="s">
        <v>932</v>
      </c>
      <c r="I646" s="422"/>
      <c r="J646" s="422"/>
      <c r="K646" s="422"/>
      <c r="L646" s="423"/>
    </row>
    <row r="647" spans="1:12" ht="27" customHeight="1" x14ac:dyDescent="0.2">
      <c r="A647" s="57"/>
      <c r="B647" s="420" t="s">
        <v>542</v>
      </c>
      <c r="C647" s="421"/>
      <c r="D647" s="421"/>
      <c r="E647" s="421"/>
      <c r="F647" s="421"/>
      <c r="G647" s="421" t="s">
        <v>543</v>
      </c>
      <c r="H647" s="236" t="str">
        <f>+IF(H636&lt;&gt;0,IF(L636&gt;=8,"SI","NO"),"")</f>
        <v/>
      </c>
      <c r="I647" s="422"/>
      <c r="J647" s="422"/>
      <c r="K647" s="422"/>
      <c r="L647" s="423"/>
    </row>
    <row r="648" spans="1:12" ht="27" customHeight="1" thickBot="1" x14ac:dyDescent="0.25">
      <c r="A648" s="57"/>
      <c r="B648" s="349" t="s">
        <v>544</v>
      </c>
      <c r="C648" s="350"/>
      <c r="D648" s="350"/>
      <c r="E648" s="350"/>
      <c r="F648" s="350"/>
      <c r="G648" s="350" t="s">
        <v>543</v>
      </c>
      <c r="H648" s="237" t="str">
        <f>+IF(H636&lt;&gt;0,IF(COUNTIF(H640:H643,"SI")&gt;=3,"SI","NO"),"")</f>
        <v/>
      </c>
      <c r="I648" s="416"/>
      <c r="J648" s="416"/>
      <c r="K648" s="416"/>
      <c r="L648" s="417"/>
    </row>
    <row r="649" spans="1:12" ht="16.5" customHeight="1" thickBot="1" x14ac:dyDescent="0.25">
      <c r="A649" s="197" t="str">
        <f>"E"&amp;A636</f>
        <v>E43</v>
      </c>
      <c r="D649" s="418" t="str">
        <f>+D634</f>
        <v>EL PROFESIONAL OFRECIDO POR EL PROPONENTE CUMPLE CON LOS REQUISITOS MÍNIMOS ESTABLECIDOS EN EL NUMERAL 4.1.2. (no se evalúa simultaneidad de procesos en esta celda)</v>
      </c>
      <c r="E649" s="419"/>
      <c r="F649" s="419"/>
      <c r="G649" s="419"/>
      <c r="H649" s="238" t="str">
        <f>IF(H636&lt;&gt;0,IF(AND(H645="SI",H647="SI",H648="SI"),"SI","NO"),"")</f>
        <v/>
      </c>
      <c r="J649" s="20"/>
      <c r="K649" s="20"/>
      <c r="L649" s="20"/>
    </row>
    <row r="650" spans="1:12" ht="12" thickBot="1" x14ac:dyDescent="0.25"/>
    <row r="651" spans="1:12" ht="45" x14ac:dyDescent="0.2">
      <c r="A651" s="442">
        <v>44</v>
      </c>
      <c r="B651" s="444" t="s">
        <v>932</v>
      </c>
      <c r="C651" s="444"/>
      <c r="D651" s="444"/>
      <c r="E651" s="444"/>
      <c r="F651" s="444"/>
      <c r="G651" s="446" t="s">
        <v>515</v>
      </c>
      <c r="H651" s="448">
        <v>0</v>
      </c>
      <c r="I651" s="225" t="s">
        <v>516</v>
      </c>
      <c r="J651" s="226" t="s">
        <v>517</v>
      </c>
      <c r="K651" s="450" t="s">
        <v>518</v>
      </c>
      <c r="L651" s="452" t="str">
        <f>+IF(J652&lt;&gt;0,ROUND(($E$4-J652)/360,0),"")</f>
        <v/>
      </c>
    </row>
    <row r="652" spans="1:12" ht="15" thickBot="1" x14ac:dyDescent="0.25">
      <c r="A652" s="443"/>
      <c r="B652" s="445"/>
      <c r="C652" s="445"/>
      <c r="D652" s="445"/>
      <c r="E652" s="445"/>
      <c r="F652" s="445"/>
      <c r="G652" s="447"/>
      <c r="H652" s="449"/>
      <c r="I652" s="227">
        <v>0</v>
      </c>
      <c r="J652" s="228">
        <v>0</v>
      </c>
      <c r="K652" s="451"/>
      <c r="L652" s="453"/>
    </row>
    <row r="653" spans="1:12" ht="11.25" customHeight="1" x14ac:dyDescent="0.2">
      <c r="A653" s="430" t="s">
        <v>171</v>
      </c>
      <c r="B653" s="431" t="s">
        <v>173</v>
      </c>
      <c r="C653" s="432"/>
      <c r="D653" s="432"/>
      <c r="E653" s="433"/>
      <c r="F653" s="434" t="s">
        <v>519</v>
      </c>
      <c r="G653" s="434" t="s">
        <v>520</v>
      </c>
      <c r="H653" s="434" t="s">
        <v>521</v>
      </c>
      <c r="I653" s="436" t="s">
        <v>522</v>
      </c>
      <c r="J653" s="437"/>
      <c r="K653" s="437"/>
      <c r="L653" s="438"/>
    </row>
    <row r="654" spans="1:12" ht="57.75" customHeight="1" thickBot="1" x14ac:dyDescent="0.25">
      <c r="A654" s="430"/>
      <c r="B654" s="26" t="s">
        <v>188</v>
      </c>
      <c r="C654" s="26" t="s">
        <v>189</v>
      </c>
      <c r="D654" s="26" t="s">
        <v>190</v>
      </c>
      <c r="E654" s="26" t="s">
        <v>191</v>
      </c>
      <c r="F654" s="435"/>
      <c r="G654" s="435"/>
      <c r="H654" s="435"/>
      <c r="I654" s="439"/>
      <c r="J654" s="440"/>
      <c r="K654" s="440"/>
      <c r="L654" s="441"/>
    </row>
    <row r="655" spans="1:12" s="27" customFormat="1" ht="12.75" x14ac:dyDescent="0.2">
      <c r="A655" s="28">
        <v>1</v>
      </c>
      <c r="B655" s="86"/>
      <c r="C655" s="87"/>
      <c r="D655" s="87"/>
      <c r="E655" s="86"/>
      <c r="F655" s="31"/>
      <c r="G655" s="33"/>
      <c r="H655" s="33" t="str">
        <f>+IF(B655&lt;&gt;"",IF(OR(F655="Otro",G655="NO"),"NO","SI"),"")</f>
        <v/>
      </c>
      <c r="I655" s="424"/>
      <c r="J655" s="424"/>
      <c r="K655" s="424"/>
      <c r="L655" s="425"/>
    </row>
    <row r="656" spans="1:12" s="27" customFormat="1" ht="12.75" x14ac:dyDescent="0.2">
      <c r="A656" s="38">
        <v>2</v>
      </c>
      <c r="B656" s="39"/>
      <c r="C656" s="46"/>
      <c r="D656" s="46"/>
      <c r="E656" s="39"/>
      <c r="F656" s="41"/>
      <c r="G656" s="43"/>
      <c r="H656" s="43" t="str">
        <f>+IF(B656&lt;&gt;"",IF(OR(F656="Otro",G656="NO"),"NO","SI"),"")</f>
        <v/>
      </c>
      <c r="I656" s="422"/>
      <c r="J656" s="422"/>
      <c r="K656" s="422"/>
      <c r="L656" s="423"/>
    </row>
    <row r="657" spans="1:12" s="27" customFormat="1" ht="12.75" x14ac:dyDescent="0.2">
      <c r="A657" s="38">
        <v>3</v>
      </c>
      <c r="B657" s="39"/>
      <c r="C657" s="46"/>
      <c r="D657" s="46"/>
      <c r="E657" s="39"/>
      <c r="F657" s="41"/>
      <c r="G657" s="43"/>
      <c r="H657" s="43" t="str">
        <f>+IF(B657&lt;&gt;"",IF(OR(F657="Otro",G657="NO"),"NO","SI"),"")</f>
        <v/>
      </c>
      <c r="I657" s="422"/>
      <c r="J657" s="422"/>
      <c r="K657" s="422"/>
      <c r="L657" s="423"/>
    </row>
    <row r="658" spans="1:12" s="27" customFormat="1" ht="13.5" thickBot="1" x14ac:dyDescent="0.25">
      <c r="A658" s="47">
        <v>4</v>
      </c>
      <c r="B658" s="230"/>
      <c r="C658" s="231"/>
      <c r="D658" s="231"/>
      <c r="E658" s="230"/>
      <c r="F658" s="232"/>
      <c r="G658" s="233"/>
      <c r="H658" s="233" t="str">
        <f>+IF(B658&lt;&gt;"",IF(OR(F658="Otro",G658="NO"),"NO","SI"),"")</f>
        <v/>
      </c>
      <c r="I658" s="426"/>
      <c r="J658" s="426"/>
      <c r="K658" s="426"/>
      <c r="L658" s="427"/>
    </row>
    <row r="659" spans="1:12" ht="27" customHeight="1" x14ac:dyDescent="0.2">
      <c r="A659" s="197" t="str">
        <f>"D"&amp;A651</f>
        <v>D44</v>
      </c>
      <c r="B659" s="428" t="s">
        <v>538</v>
      </c>
      <c r="C659" s="429"/>
      <c r="D659" s="429"/>
      <c r="E659" s="429"/>
      <c r="F659" s="429"/>
      <c r="G659" s="429"/>
      <c r="H659" s="33"/>
      <c r="I659" s="424"/>
      <c r="J659" s="424"/>
      <c r="K659" s="424"/>
      <c r="L659" s="425"/>
    </row>
    <row r="660" spans="1:12" ht="27" customHeight="1" x14ac:dyDescent="0.2">
      <c r="A660" s="234"/>
      <c r="B660" s="420" t="s">
        <v>539</v>
      </c>
      <c r="C660" s="421"/>
      <c r="D660" s="421"/>
      <c r="E660" s="421"/>
      <c r="F660" s="421"/>
      <c r="G660" s="421"/>
      <c r="H660" s="43"/>
      <c r="I660" s="422"/>
      <c r="J660" s="422"/>
      <c r="K660" s="422"/>
      <c r="L660" s="423"/>
    </row>
    <row r="661" spans="1:12" ht="27" customHeight="1" x14ac:dyDescent="0.2">
      <c r="A661" s="197" t="str">
        <f>"F"&amp;A651</f>
        <v>F44</v>
      </c>
      <c r="B661" s="420" t="s">
        <v>540</v>
      </c>
      <c r="C661" s="421"/>
      <c r="D661" s="421"/>
      <c r="E661" s="421"/>
      <c r="F661" s="421"/>
      <c r="G661" s="421" t="s">
        <v>541</v>
      </c>
      <c r="H661" s="235" t="s">
        <v>932</v>
      </c>
      <c r="I661" s="422"/>
      <c r="J661" s="422"/>
      <c r="K661" s="422"/>
      <c r="L661" s="423"/>
    </row>
    <row r="662" spans="1:12" ht="27" customHeight="1" x14ac:dyDescent="0.2">
      <c r="A662" s="57"/>
      <c r="B662" s="420" t="s">
        <v>542</v>
      </c>
      <c r="C662" s="421"/>
      <c r="D662" s="421"/>
      <c r="E662" s="421"/>
      <c r="F662" s="421"/>
      <c r="G662" s="421" t="s">
        <v>543</v>
      </c>
      <c r="H662" s="236" t="str">
        <f>+IF(H651&lt;&gt;0,IF(L651&gt;=8,"SI","NO"),"")</f>
        <v/>
      </c>
      <c r="I662" s="422"/>
      <c r="J662" s="422"/>
      <c r="K662" s="422"/>
      <c r="L662" s="423"/>
    </row>
    <row r="663" spans="1:12" ht="27" customHeight="1" thickBot="1" x14ac:dyDescent="0.25">
      <c r="A663" s="57"/>
      <c r="B663" s="349" t="s">
        <v>544</v>
      </c>
      <c r="C663" s="350"/>
      <c r="D663" s="350"/>
      <c r="E663" s="350"/>
      <c r="F663" s="350"/>
      <c r="G663" s="350" t="s">
        <v>543</v>
      </c>
      <c r="H663" s="237" t="str">
        <f>+IF(H651&lt;&gt;0,IF(COUNTIF(H655:H658,"SI")&gt;=3,"SI","NO"),"")</f>
        <v/>
      </c>
      <c r="I663" s="416"/>
      <c r="J663" s="416"/>
      <c r="K663" s="416"/>
      <c r="L663" s="417"/>
    </row>
    <row r="664" spans="1:12" ht="16.5" customHeight="1" thickBot="1" x14ac:dyDescent="0.25">
      <c r="A664" s="197" t="str">
        <f>"E"&amp;A651</f>
        <v>E44</v>
      </c>
      <c r="D664" s="418" t="str">
        <f>+D649</f>
        <v>EL PROFESIONAL OFRECIDO POR EL PROPONENTE CUMPLE CON LOS REQUISITOS MÍNIMOS ESTABLECIDOS EN EL NUMERAL 4.1.2. (no se evalúa simultaneidad de procesos en esta celda)</v>
      </c>
      <c r="E664" s="419"/>
      <c r="F664" s="419"/>
      <c r="G664" s="419"/>
      <c r="H664" s="238" t="str">
        <f>IF(H651&lt;&gt;0,IF(AND(H660="SI",H662="SI",H663="SI"),"SI","NO"),"")</f>
        <v/>
      </c>
      <c r="J664" s="20"/>
      <c r="K664" s="20"/>
      <c r="L664" s="20"/>
    </row>
    <row r="665" spans="1:12" ht="12" thickBot="1" x14ac:dyDescent="0.25"/>
    <row r="666" spans="1:12" ht="45" x14ac:dyDescent="0.2">
      <c r="A666" s="442">
        <v>45</v>
      </c>
      <c r="B666" s="444" t="s">
        <v>932</v>
      </c>
      <c r="C666" s="444"/>
      <c r="D666" s="444"/>
      <c r="E666" s="444"/>
      <c r="F666" s="444"/>
      <c r="G666" s="446" t="s">
        <v>515</v>
      </c>
      <c r="H666" s="448">
        <v>0</v>
      </c>
      <c r="I666" s="225" t="s">
        <v>516</v>
      </c>
      <c r="J666" s="226" t="s">
        <v>517</v>
      </c>
      <c r="K666" s="450" t="s">
        <v>518</v>
      </c>
      <c r="L666" s="452" t="str">
        <f>+IF(J667&lt;&gt;0,ROUND(($E$4-J667)/360,0),"")</f>
        <v/>
      </c>
    </row>
    <row r="667" spans="1:12" ht="15" thickBot="1" x14ac:dyDescent="0.25">
      <c r="A667" s="443"/>
      <c r="B667" s="445"/>
      <c r="C667" s="445"/>
      <c r="D667" s="445"/>
      <c r="E667" s="445"/>
      <c r="F667" s="445"/>
      <c r="G667" s="447"/>
      <c r="H667" s="449"/>
      <c r="I667" s="227">
        <v>0</v>
      </c>
      <c r="J667" s="228">
        <v>0</v>
      </c>
      <c r="K667" s="451"/>
      <c r="L667" s="453"/>
    </row>
    <row r="668" spans="1:12" ht="11.25" customHeight="1" x14ac:dyDescent="0.2">
      <c r="A668" s="430" t="s">
        <v>171</v>
      </c>
      <c r="B668" s="431" t="s">
        <v>173</v>
      </c>
      <c r="C668" s="432"/>
      <c r="D668" s="432"/>
      <c r="E668" s="433"/>
      <c r="F668" s="434" t="s">
        <v>519</v>
      </c>
      <c r="G668" s="434" t="s">
        <v>520</v>
      </c>
      <c r="H668" s="434" t="s">
        <v>521</v>
      </c>
      <c r="I668" s="436" t="s">
        <v>522</v>
      </c>
      <c r="J668" s="437"/>
      <c r="K668" s="437"/>
      <c r="L668" s="438"/>
    </row>
    <row r="669" spans="1:12" ht="57.75" customHeight="1" thickBot="1" x14ac:dyDescent="0.25">
      <c r="A669" s="430"/>
      <c r="B669" s="26" t="s">
        <v>188</v>
      </c>
      <c r="C669" s="26" t="s">
        <v>189</v>
      </c>
      <c r="D669" s="26" t="s">
        <v>190</v>
      </c>
      <c r="E669" s="26" t="s">
        <v>191</v>
      </c>
      <c r="F669" s="435"/>
      <c r="G669" s="435"/>
      <c r="H669" s="435"/>
      <c r="I669" s="439"/>
      <c r="J669" s="440"/>
      <c r="K669" s="440"/>
      <c r="L669" s="441"/>
    </row>
    <row r="670" spans="1:12" s="27" customFormat="1" ht="12.75" x14ac:dyDescent="0.2">
      <c r="A670" s="28">
        <v>1</v>
      </c>
      <c r="B670" s="86"/>
      <c r="C670" s="87"/>
      <c r="D670" s="87"/>
      <c r="E670" s="86"/>
      <c r="F670" s="31"/>
      <c r="G670" s="33"/>
      <c r="H670" s="33" t="str">
        <f>+IF(B670&lt;&gt;"",IF(OR(F670="Otro",G670="NO"),"NO","SI"),"")</f>
        <v/>
      </c>
      <c r="I670" s="424"/>
      <c r="J670" s="424"/>
      <c r="K670" s="424"/>
      <c r="L670" s="425"/>
    </row>
    <row r="671" spans="1:12" s="27" customFormat="1" ht="12.75" x14ac:dyDescent="0.2">
      <c r="A671" s="38">
        <v>2</v>
      </c>
      <c r="B671" s="39"/>
      <c r="C671" s="46"/>
      <c r="D671" s="46"/>
      <c r="E671" s="39"/>
      <c r="F671" s="41"/>
      <c r="G671" s="43"/>
      <c r="H671" s="43" t="str">
        <f>+IF(B671&lt;&gt;"",IF(OR(F671="Otro",G671="NO"),"NO","SI"),"")</f>
        <v/>
      </c>
      <c r="I671" s="422"/>
      <c r="J671" s="422"/>
      <c r="K671" s="422"/>
      <c r="L671" s="423"/>
    </row>
    <row r="672" spans="1:12" s="27" customFormat="1" ht="12.75" x14ac:dyDescent="0.2">
      <c r="A672" s="38">
        <v>3</v>
      </c>
      <c r="B672" s="39"/>
      <c r="C672" s="46"/>
      <c r="D672" s="46"/>
      <c r="E672" s="39"/>
      <c r="F672" s="41"/>
      <c r="G672" s="43"/>
      <c r="H672" s="43" t="str">
        <f>+IF(B672&lt;&gt;"",IF(OR(F672="Otro",G672="NO"),"NO","SI"),"")</f>
        <v/>
      </c>
      <c r="I672" s="422"/>
      <c r="J672" s="422"/>
      <c r="K672" s="422"/>
      <c r="L672" s="423"/>
    </row>
    <row r="673" spans="1:12" s="27" customFormat="1" ht="13.5" thickBot="1" x14ac:dyDescent="0.25">
      <c r="A673" s="47">
        <v>4</v>
      </c>
      <c r="B673" s="230"/>
      <c r="C673" s="231"/>
      <c r="D673" s="231"/>
      <c r="E673" s="230"/>
      <c r="F673" s="232"/>
      <c r="G673" s="233"/>
      <c r="H673" s="233" t="str">
        <f>+IF(B673&lt;&gt;"",IF(OR(F673="Otro",G673="NO"),"NO","SI"),"")</f>
        <v/>
      </c>
      <c r="I673" s="426"/>
      <c r="J673" s="426"/>
      <c r="K673" s="426"/>
      <c r="L673" s="427"/>
    </row>
    <row r="674" spans="1:12" ht="27" customHeight="1" x14ac:dyDescent="0.2">
      <c r="A674" s="197" t="str">
        <f>"D"&amp;A666</f>
        <v>D45</v>
      </c>
      <c r="B674" s="428" t="s">
        <v>538</v>
      </c>
      <c r="C674" s="429"/>
      <c r="D674" s="429"/>
      <c r="E674" s="429"/>
      <c r="F674" s="429"/>
      <c r="G674" s="429"/>
      <c r="H674" s="88"/>
      <c r="I674" s="424"/>
      <c r="J674" s="424"/>
      <c r="K674" s="424"/>
      <c r="L674" s="425"/>
    </row>
    <row r="675" spans="1:12" ht="27" customHeight="1" x14ac:dyDescent="0.2">
      <c r="A675" s="234"/>
      <c r="B675" s="420" t="s">
        <v>539</v>
      </c>
      <c r="C675" s="421"/>
      <c r="D675" s="421"/>
      <c r="E675" s="421"/>
      <c r="F675" s="421"/>
      <c r="G675" s="421"/>
      <c r="H675" s="239"/>
      <c r="I675" s="422"/>
      <c r="J675" s="422"/>
      <c r="K675" s="422"/>
      <c r="L675" s="423"/>
    </row>
    <row r="676" spans="1:12" ht="27" customHeight="1" x14ac:dyDescent="0.2">
      <c r="A676" s="197" t="str">
        <f>"F"&amp;A666</f>
        <v>F45</v>
      </c>
      <c r="B676" s="420" t="s">
        <v>540</v>
      </c>
      <c r="C676" s="421"/>
      <c r="D676" s="421"/>
      <c r="E676" s="421"/>
      <c r="F676" s="421"/>
      <c r="G676" s="421" t="s">
        <v>541</v>
      </c>
      <c r="H676" s="235" t="s">
        <v>932</v>
      </c>
      <c r="I676" s="422"/>
      <c r="J676" s="422"/>
      <c r="K676" s="422"/>
      <c r="L676" s="423"/>
    </row>
    <row r="677" spans="1:12" ht="27" customHeight="1" x14ac:dyDescent="0.2">
      <c r="A677" s="57"/>
      <c r="B677" s="420" t="s">
        <v>542</v>
      </c>
      <c r="C677" s="421"/>
      <c r="D677" s="421"/>
      <c r="E677" s="421"/>
      <c r="F677" s="421"/>
      <c r="G677" s="421" t="s">
        <v>543</v>
      </c>
      <c r="H677" s="236" t="str">
        <f>+IF(H666&lt;&gt;0,IF(L666&gt;=8,"SI","NO"),"")</f>
        <v/>
      </c>
      <c r="I677" s="422"/>
      <c r="J677" s="422"/>
      <c r="K677" s="422"/>
      <c r="L677" s="423"/>
    </row>
    <row r="678" spans="1:12" ht="27" customHeight="1" thickBot="1" x14ac:dyDescent="0.25">
      <c r="A678" s="57"/>
      <c r="B678" s="349" t="s">
        <v>544</v>
      </c>
      <c r="C678" s="350"/>
      <c r="D678" s="350"/>
      <c r="E678" s="350"/>
      <c r="F678" s="350"/>
      <c r="G678" s="350" t="s">
        <v>543</v>
      </c>
      <c r="H678" s="237" t="str">
        <f>+IF(H666&lt;&gt;0,IF(COUNTIF(H670:H673,"SI")&gt;=3,"SI","NO"),"")</f>
        <v/>
      </c>
      <c r="I678" s="416"/>
      <c r="J678" s="416"/>
      <c r="K678" s="416"/>
      <c r="L678" s="417"/>
    </row>
    <row r="679" spans="1:12" ht="16.5" customHeight="1" thickBot="1" x14ac:dyDescent="0.25">
      <c r="A679" s="197" t="str">
        <f>"E"&amp;A666</f>
        <v>E45</v>
      </c>
      <c r="D679" s="418" t="str">
        <f>+D664</f>
        <v>EL PROFESIONAL OFRECIDO POR EL PROPONENTE CUMPLE CON LOS REQUISITOS MÍNIMOS ESTABLECIDOS EN EL NUMERAL 4.1.2. (no se evalúa simultaneidad de procesos en esta celda)</v>
      </c>
      <c r="E679" s="419"/>
      <c r="F679" s="419"/>
      <c r="G679" s="419"/>
      <c r="H679" s="238" t="str">
        <f>IF(H666&lt;&gt;0,IF(AND(H675="SI",H677="SI",H678="SI"),"SI","NO"),"")</f>
        <v/>
      </c>
      <c r="J679" s="20"/>
      <c r="K679" s="20"/>
      <c r="L679" s="20"/>
    </row>
    <row r="680" spans="1:12" ht="12" thickBot="1" x14ac:dyDescent="0.25"/>
    <row r="681" spans="1:12" ht="45" x14ac:dyDescent="0.2">
      <c r="A681" s="442">
        <v>46</v>
      </c>
      <c r="B681" s="444" t="s">
        <v>932</v>
      </c>
      <c r="C681" s="444"/>
      <c r="D681" s="444"/>
      <c r="E681" s="444"/>
      <c r="F681" s="444"/>
      <c r="G681" s="446" t="s">
        <v>515</v>
      </c>
      <c r="H681" s="448">
        <v>0</v>
      </c>
      <c r="I681" s="225" t="s">
        <v>516</v>
      </c>
      <c r="J681" s="226" t="s">
        <v>517</v>
      </c>
      <c r="K681" s="450" t="s">
        <v>518</v>
      </c>
      <c r="L681" s="452" t="str">
        <f>+IF(J682&lt;&gt;0,ROUND(($E$4-J682)/360,0),"")</f>
        <v/>
      </c>
    </row>
    <row r="682" spans="1:12" ht="15" thickBot="1" x14ac:dyDescent="0.25">
      <c r="A682" s="443"/>
      <c r="B682" s="445"/>
      <c r="C682" s="445"/>
      <c r="D682" s="445"/>
      <c r="E682" s="445"/>
      <c r="F682" s="445"/>
      <c r="G682" s="447"/>
      <c r="H682" s="449"/>
      <c r="I682" s="227">
        <v>0</v>
      </c>
      <c r="J682" s="228">
        <v>0</v>
      </c>
      <c r="K682" s="451"/>
      <c r="L682" s="453"/>
    </row>
    <row r="683" spans="1:12" ht="11.25" customHeight="1" x14ac:dyDescent="0.2">
      <c r="A683" s="430" t="s">
        <v>171</v>
      </c>
      <c r="B683" s="431" t="s">
        <v>173</v>
      </c>
      <c r="C683" s="432"/>
      <c r="D683" s="432"/>
      <c r="E683" s="433"/>
      <c r="F683" s="434" t="s">
        <v>519</v>
      </c>
      <c r="G683" s="434" t="s">
        <v>520</v>
      </c>
      <c r="H683" s="434" t="s">
        <v>521</v>
      </c>
      <c r="I683" s="436" t="s">
        <v>522</v>
      </c>
      <c r="J683" s="437"/>
      <c r="K683" s="437"/>
      <c r="L683" s="438"/>
    </row>
    <row r="684" spans="1:12" ht="57.75" customHeight="1" thickBot="1" x14ac:dyDescent="0.25">
      <c r="A684" s="430"/>
      <c r="B684" s="26" t="s">
        <v>188</v>
      </c>
      <c r="C684" s="26" t="s">
        <v>189</v>
      </c>
      <c r="D684" s="26" t="s">
        <v>190</v>
      </c>
      <c r="E684" s="26" t="s">
        <v>191</v>
      </c>
      <c r="F684" s="435"/>
      <c r="G684" s="435"/>
      <c r="H684" s="435"/>
      <c r="I684" s="439"/>
      <c r="J684" s="440"/>
      <c r="K684" s="440"/>
      <c r="L684" s="441"/>
    </row>
    <row r="685" spans="1:12" s="27" customFormat="1" ht="12.75" x14ac:dyDescent="0.2">
      <c r="A685" s="28">
        <v>1</v>
      </c>
      <c r="B685" s="86"/>
      <c r="C685" s="87"/>
      <c r="D685" s="258"/>
      <c r="E685" s="86"/>
      <c r="F685" s="31"/>
      <c r="G685" s="33"/>
      <c r="H685" s="33" t="str">
        <f>+IF(B685&lt;&gt;"",IF(OR(F685="Otro",G685="NO"),"NO","SI"),"")</f>
        <v/>
      </c>
      <c r="I685" s="454"/>
      <c r="J685" s="454"/>
      <c r="K685" s="454"/>
      <c r="L685" s="455"/>
    </row>
    <row r="686" spans="1:12" s="27" customFormat="1" ht="12.75" x14ac:dyDescent="0.2">
      <c r="A686" s="38">
        <v>2</v>
      </c>
      <c r="B686" s="39"/>
      <c r="C686" s="46"/>
      <c r="D686" s="46"/>
      <c r="E686" s="39"/>
      <c r="F686" s="41"/>
      <c r="G686" s="43"/>
      <c r="H686" s="43" t="str">
        <f>+IF(B686&lt;&gt;"",IF(OR(F686="Otro",G686="NO"),"NO","SI"),"")</f>
        <v/>
      </c>
      <c r="I686" s="422"/>
      <c r="J686" s="422"/>
      <c r="K686" s="422"/>
      <c r="L686" s="423"/>
    </row>
    <row r="687" spans="1:12" s="27" customFormat="1" ht="12.75" x14ac:dyDescent="0.2">
      <c r="A687" s="38">
        <v>3</v>
      </c>
      <c r="B687" s="39"/>
      <c r="C687" s="46"/>
      <c r="D687" s="46"/>
      <c r="E687" s="39"/>
      <c r="F687" s="41"/>
      <c r="G687" s="43"/>
      <c r="H687" s="43" t="str">
        <f>+IF(B687&lt;&gt;"",IF(OR(F687="Otro",G687="NO"),"NO","SI"),"")</f>
        <v/>
      </c>
      <c r="I687" s="422"/>
      <c r="J687" s="422"/>
      <c r="K687" s="422"/>
      <c r="L687" s="423"/>
    </row>
    <row r="688" spans="1:12" s="27" customFormat="1" ht="13.5" thickBot="1" x14ac:dyDescent="0.25">
      <c r="A688" s="47">
        <v>4</v>
      </c>
      <c r="B688" s="48"/>
      <c r="C688" s="49"/>
      <c r="D688" s="49"/>
      <c r="E688" s="48"/>
      <c r="F688" s="51"/>
      <c r="G688" s="52"/>
      <c r="H688" s="52" t="str">
        <f>+IF(B688&lt;&gt;"",IF(OR(F688="Otro",G688="NO"),"NO","SI"),"")</f>
        <v/>
      </c>
      <c r="I688" s="416"/>
      <c r="J688" s="416"/>
      <c r="K688" s="416"/>
      <c r="L688" s="417"/>
    </row>
    <row r="689" spans="1:12" ht="27" customHeight="1" x14ac:dyDescent="0.2">
      <c r="A689" s="197" t="str">
        <f>"D"&amp;A681</f>
        <v>D46</v>
      </c>
      <c r="B689" s="428" t="s">
        <v>538</v>
      </c>
      <c r="C689" s="429"/>
      <c r="D689" s="429"/>
      <c r="E689" s="429"/>
      <c r="F689" s="429"/>
      <c r="G689" s="429"/>
      <c r="H689" s="240"/>
      <c r="I689" s="456"/>
      <c r="J689" s="456"/>
      <c r="K689" s="456"/>
      <c r="L689" s="457"/>
    </row>
    <row r="690" spans="1:12" ht="27" customHeight="1" x14ac:dyDescent="0.2">
      <c r="A690" s="234"/>
      <c r="B690" s="420" t="s">
        <v>539</v>
      </c>
      <c r="C690" s="421"/>
      <c r="D690" s="421"/>
      <c r="E690" s="421"/>
      <c r="F690" s="421"/>
      <c r="G690" s="421"/>
      <c r="H690" s="239"/>
      <c r="I690" s="422"/>
      <c r="J690" s="422"/>
      <c r="K690" s="422"/>
      <c r="L690" s="423"/>
    </row>
    <row r="691" spans="1:12" ht="27" customHeight="1" x14ac:dyDescent="0.2">
      <c r="A691" s="197" t="str">
        <f>"F"&amp;A681</f>
        <v>F46</v>
      </c>
      <c r="B691" s="420" t="s">
        <v>540</v>
      </c>
      <c r="C691" s="421"/>
      <c r="D691" s="421"/>
      <c r="E691" s="421"/>
      <c r="F691" s="421"/>
      <c r="G691" s="421" t="s">
        <v>541</v>
      </c>
      <c r="H691" s="235" t="s">
        <v>932</v>
      </c>
      <c r="I691" s="422"/>
      <c r="J691" s="422"/>
      <c r="K691" s="422"/>
      <c r="L691" s="423"/>
    </row>
    <row r="692" spans="1:12" ht="27" customHeight="1" x14ac:dyDescent="0.2">
      <c r="A692" s="57"/>
      <c r="B692" s="420" t="s">
        <v>542</v>
      </c>
      <c r="C692" s="421"/>
      <c r="D692" s="421"/>
      <c r="E692" s="421"/>
      <c r="F692" s="421"/>
      <c r="G692" s="421" t="s">
        <v>543</v>
      </c>
      <c r="H692" s="236" t="str">
        <f>+IF(H681&lt;&gt;0,IF(L681&gt;=8,"SI","NO"),"")</f>
        <v/>
      </c>
      <c r="I692" s="422"/>
      <c r="J692" s="422"/>
      <c r="K692" s="422"/>
      <c r="L692" s="423"/>
    </row>
    <row r="693" spans="1:12" ht="27" customHeight="1" thickBot="1" x14ac:dyDescent="0.25">
      <c r="A693" s="57"/>
      <c r="B693" s="349" t="s">
        <v>544</v>
      </c>
      <c r="C693" s="350"/>
      <c r="D693" s="350"/>
      <c r="E693" s="350"/>
      <c r="F693" s="350"/>
      <c r="G693" s="350" t="s">
        <v>543</v>
      </c>
      <c r="H693" s="237" t="str">
        <f>+IF(H681&lt;&gt;0,IF(COUNTIF(H685:H688,"SI")&gt;=3,"SI","NO"),"")</f>
        <v/>
      </c>
      <c r="I693" s="416"/>
      <c r="J693" s="416"/>
      <c r="K693" s="416"/>
      <c r="L693" s="417"/>
    </row>
    <row r="694" spans="1:12" ht="16.5" customHeight="1" thickBot="1" x14ac:dyDescent="0.25">
      <c r="A694" s="197" t="str">
        <f>"E"&amp;A681</f>
        <v>E46</v>
      </c>
      <c r="D694" s="418" t="str">
        <f>+D679</f>
        <v>EL PROFESIONAL OFRECIDO POR EL PROPONENTE CUMPLE CON LOS REQUISITOS MÍNIMOS ESTABLECIDOS EN EL NUMERAL 4.1.2. (no se evalúa simultaneidad de procesos en esta celda)</v>
      </c>
      <c r="E694" s="419"/>
      <c r="F694" s="419"/>
      <c r="G694" s="419"/>
      <c r="H694" s="238" t="str">
        <f>IF(H681&lt;&gt;0,IF(AND(H690="SI",H692="SI",H693="SI"),"SI","NO"),"")</f>
        <v/>
      </c>
      <c r="J694" s="20"/>
      <c r="K694" s="20"/>
      <c r="L694" s="20"/>
    </row>
    <row r="695" spans="1:12" ht="12" thickBot="1" x14ac:dyDescent="0.25"/>
    <row r="696" spans="1:12" ht="45" x14ac:dyDescent="0.2">
      <c r="A696" s="442">
        <v>47</v>
      </c>
      <c r="B696" s="444" t="s">
        <v>932</v>
      </c>
      <c r="C696" s="444"/>
      <c r="D696" s="444"/>
      <c r="E696" s="444"/>
      <c r="F696" s="444"/>
      <c r="G696" s="446" t="s">
        <v>515</v>
      </c>
      <c r="H696" s="448">
        <v>0</v>
      </c>
      <c r="I696" s="225" t="s">
        <v>516</v>
      </c>
      <c r="J696" s="226" t="s">
        <v>517</v>
      </c>
      <c r="K696" s="450" t="s">
        <v>518</v>
      </c>
      <c r="L696" s="452" t="str">
        <f>+IF(J697&lt;&gt;0,ROUND(($E$4-J697)/360,0),"")</f>
        <v/>
      </c>
    </row>
    <row r="697" spans="1:12" ht="15" thickBot="1" x14ac:dyDescent="0.25">
      <c r="A697" s="443"/>
      <c r="B697" s="445"/>
      <c r="C697" s="445"/>
      <c r="D697" s="445"/>
      <c r="E697" s="445"/>
      <c r="F697" s="445"/>
      <c r="G697" s="447"/>
      <c r="H697" s="449"/>
      <c r="I697" s="227">
        <v>0</v>
      </c>
      <c r="J697" s="228">
        <v>0</v>
      </c>
      <c r="K697" s="451"/>
      <c r="L697" s="453"/>
    </row>
    <row r="698" spans="1:12" ht="11.25" customHeight="1" x14ac:dyDescent="0.2">
      <c r="A698" s="430" t="s">
        <v>171</v>
      </c>
      <c r="B698" s="431" t="s">
        <v>173</v>
      </c>
      <c r="C698" s="432"/>
      <c r="D698" s="432"/>
      <c r="E698" s="433"/>
      <c r="F698" s="434" t="s">
        <v>519</v>
      </c>
      <c r="G698" s="434" t="s">
        <v>520</v>
      </c>
      <c r="H698" s="434" t="s">
        <v>521</v>
      </c>
      <c r="I698" s="436" t="s">
        <v>522</v>
      </c>
      <c r="J698" s="437"/>
      <c r="K698" s="437"/>
      <c r="L698" s="438"/>
    </row>
    <row r="699" spans="1:12" ht="57.75" customHeight="1" thickBot="1" x14ac:dyDescent="0.25">
      <c r="A699" s="430"/>
      <c r="B699" s="26" t="s">
        <v>188</v>
      </c>
      <c r="C699" s="26" t="s">
        <v>189</v>
      </c>
      <c r="D699" s="26" t="s">
        <v>190</v>
      </c>
      <c r="E699" s="26" t="s">
        <v>191</v>
      </c>
      <c r="F699" s="435"/>
      <c r="G699" s="435"/>
      <c r="H699" s="435"/>
      <c r="I699" s="439"/>
      <c r="J699" s="440"/>
      <c r="K699" s="440"/>
      <c r="L699" s="441"/>
    </row>
    <row r="700" spans="1:12" s="27" customFormat="1" ht="12.75" x14ac:dyDescent="0.2">
      <c r="A700" s="28">
        <v>1</v>
      </c>
      <c r="B700" s="86"/>
      <c r="C700" s="87"/>
      <c r="D700" s="87"/>
      <c r="E700" s="86"/>
      <c r="F700" s="31"/>
      <c r="G700" s="33"/>
      <c r="H700" s="33" t="str">
        <f>+IF(B700&lt;&gt;"",IF(OR(F700="Otro",G700="NO"),"NO","SI"),"")</f>
        <v/>
      </c>
      <c r="I700" s="424"/>
      <c r="J700" s="424"/>
      <c r="K700" s="424"/>
      <c r="L700" s="425"/>
    </row>
    <row r="701" spans="1:12" s="27" customFormat="1" ht="12.75" x14ac:dyDescent="0.2">
      <c r="A701" s="38">
        <v>2</v>
      </c>
      <c r="B701" s="39"/>
      <c r="C701" s="46"/>
      <c r="D701" s="46"/>
      <c r="E701" s="39"/>
      <c r="F701" s="41"/>
      <c r="G701" s="43"/>
      <c r="H701" s="43" t="str">
        <f>+IF(B701&lt;&gt;"",IF(OR(F701="Otro",G701="NO"),"NO","SI"),"")</f>
        <v/>
      </c>
      <c r="I701" s="422"/>
      <c r="J701" s="422"/>
      <c r="K701" s="422"/>
      <c r="L701" s="423"/>
    </row>
    <row r="702" spans="1:12" s="27" customFormat="1" ht="12.75" x14ac:dyDescent="0.2">
      <c r="A702" s="38">
        <v>3</v>
      </c>
      <c r="B702" s="39"/>
      <c r="C702" s="46"/>
      <c r="D702" s="46"/>
      <c r="E702" s="39"/>
      <c r="F702" s="41"/>
      <c r="G702" s="43"/>
      <c r="H702" s="43" t="str">
        <f>+IF(B702&lt;&gt;"",IF(OR(F702="Otro",G702="NO"),"NO","SI"),"")</f>
        <v/>
      </c>
      <c r="I702" s="422"/>
      <c r="J702" s="422"/>
      <c r="K702" s="422"/>
      <c r="L702" s="423"/>
    </row>
    <row r="703" spans="1:12" s="27" customFormat="1" ht="13.5" thickBot="1" x14ac:dyDescent="0.25">
      <c r="A703" s="47">
        <v>4</v>
      </c>
      <c r="B703" s="230"/>
      <c r="C703" s="231"/>
      <c r="D703" s="231"/>
      <c r="E703" s="230"/>
      <c r="F703" s="232"/>
      <c r="G703" s="233"/>
      <c r="H703" s="233" t="str">
        <f>+IF(B703&lt;&gt;"",IF(OR(F703="Otro",G703="NO"),"NO","SI"),"")</f>
        <v/>
      </c>
      <c r="I703" s="426"/>
      <c r="J703" s="426"/>
      <c r="K703" s="426"/>
      <c r="L703" s="427"/>
    </row>
    <row r="704" spans="1:12" ht="12.75" customHeight="1" x14ac:dyDescent="0.2">
      <c r="A704" s="197" t="str">
        <f>"D"&amp;A696</f>
        <v>D47</v>
      </c>
      <c r="B704" s="428" t="s">
        <v>538</v>
      </c>
      <c r="C704" s="429"/>
      <c r="D704" s="429"/>
      <c r="E704" s="429"/>
      <c r="F704" s="429"/>
      <c r="G704" s="429"/>
      <c r="H704" s="33"/>
      <c r="I704" s="424"/>
      <c r="J704" s="424"/>
      <c r="K704" s="424"/>
      <c r="L704" s="425"/>
    </row>
    <row r="705" spans="1:12" ht="12.75" customHeight="1" x14ac:dyDescent="0.2">
      <c r="A705" s="234"/>
      <c r="B705" s="420" t="s">
        <v>539</v>
      </c>
      <c r="C705" s="421"/>
      <c r="D705" s="421"/>
      <c r="E705" s="421"/>
      <c r="F705" s="421"/>
      <c r="G705" s="421"/>
      <c r="H705" s="43"/>
      <c r="I705" s="422"/>
      <c r="J705" s="422"/>
      <c r="K705" s="422"/>
      <c r="L705" s="423"/>
    </row>
    <row r="706" spans="1:12" ht="12.75" customHeight="1" x14ac:dyDescent="0.2">
      <c r="A706" s="197" t="str">
        <f>"F"&amp;A696</f>
        <v>F47</v>
      </c>
      <c r="B706" s="420" t="s">
        <v>540</v>
      </c>
      <c r="C706" s="421"/>
      <c r="D706" s="421"/>
      <c r="E706" s="421"/>
      <c r="F706" s="421"/>
      <c r="G706" s="421" t="s">
        <v>541</v>
      </c>
      <c r="H706" s="235" t="s">
        <v>932</v>
      </c>
      <c r="I706" s="422"/>
      <c r="J706" s="422"/>
      <c r="K706" s="422"/>
      <c r="L706" s="423"/>
    </row>
    <row r="707" spans="1:12" ht="12.75" customHeight="1" x14ac:dyDescent="0.2">
      <c r="A707" s="57"/>
      <c r="B707" s="420" t="s">
        <v>542</v>
      </c>
      <c r="C707" s="421"/>
      <c r="D707" s="421"/>
      <c r="E707" s="421"/>
      <c r="F707" s="421"/>
      <c r="G707" s="421" t="s">
        <v>543</v>
      </c>
      <c r="H707" s="236" t="str">
        <f>+IF(H696&lt;&gt;0,IF(L696&gt;=8,"SI","NO"),"")</f>
        <v/>
      </c>
      <c r="I707" s="422"/>
      <c r="J707" s="422"/>
      <c r="K707" s="422"/>
      <c r="L707" s="423"/>
    </row>
    <row r="708" spans="1:12" ht="13.5" customHeight="1" thickBot="1" x14ac:dyDescent="0.25">
      <c r="A708" s="57"/>
      <c r="B708" s="349" t="s">
        <v>544</v>
      </c>
      <c r="C708" s="350"/>
      <c r="D708" s="350"/>
      <c r="E708" s="350"/>
      <c r="F708" s="350"/>
      <c r="G708" s="350" t="s">
        <v>543</v>
      </c>
      <c r="H708" s="237" t="str">
        <f>+IF(H696&lt;&gt;0,IF(COUNTIF(H700:H703,"SI")&gt;=3,"SI","NO"),"")</f>
        <v/>
      </c>
      <c r="I708" s="416"/>
      <c r="J708" s="416"/>
      <c r="K708" s="416"/>
      <c r="L708" s="417"/>
    </row>
    <row r="709" spans="1:12" ht="16.5" customHeight="1" thickBot="1" x14ac:dyDescent="0.25">
      <c r="A709" s="197" t="str">
        <f>"E"&amp;A696</f>
        <v>E47</v>
      </c>
      <c r="D709" s="418" t="str">
        <f>+D694</f>
        <v>EL PROFESIONAL OFRECIDO POR EL PROPONENTE CUMPLE CON LOS REQUISITOS MÍNIMOS ESTABLECIDOS EN EL NUMERAL 4.1.2. (no se evalúa simultaneidad de procesos en esta celda)</v>
      </c>
      <c r="E709" s="419"/>
      <c r="F709" s="419"/>
      <c r="G709" s="419"/>
      <c r="H709" s="238" t="str">
        <f>IF(H696&lt;&gt;0,IF(AND(H705="SI",H707="SI",H708="SI"),"SI","NO"),"")</f>
        <v/>
      </c>
      <c r="J709" s="20"/>
      <c r="K709" s="20"/>
      <c r="L709" s="20"/>
    </row>
    <row r="710" spans="1:12" ht="12" thickBot="1" x14ac:dyDescent="0.25"/>
    <row r="711" spans="1:12" ht="45" x14ac:dyDescent="0.2">
      <c r="A711" s="442">
        <v>48</v>
      </c>
      <c r="B711" s="444" t="s">
        <v>932</v>
      </c>
      <c r="C711" s="444"/>
      <c r="D711" s="444"/>
      <c r="E711" s="444"/>
      <c r="F711" s="444"/>
      <c r="G711" s="446" t="s">
        <v>515</v>
      </c>
      <c r="H711" s="448">
        <v>0</v>
      </c>
      <c r="I711" s="225" t="s">
        <v>516</v>
      </c>
      <c r="J711" s="226" t="s">
        <v>517</v>
      </c>
      <c r="K711" s="450" t="s">
        <v>518</v>
      </c>
      <c r="L711" s="452" t="str">
        <f>+IF(J712&lt;&gt;0,ROUND(($E$4-J712)/360,0),"")</f>
        <v/>
      </c>
    </row>
    <row r="712" spans="1:12" ht="15" thickBot="1" x14ac:dyDescent="0.25">
      <c r="A712" s="443"/>
      <c r="B712" s="445"/>
      <c r="C712" s="445"/>
      <c r="D712" s="445"/>
      <c r="E712" s="445"/>
      <c r="F712" s="445"/>
      <c r="G712" s="447"/>
      <c r="H712" s="449"/>
      <c r="I712" s="227">
        <v>0</v>
      </c>
      <c r="J712" s="228">
        <v>0</v>
      </c>
      <c r="K712" s="451"/>
      <c r="L712" s="453"/>
    </row>
    <row r="713" spans="1:12" ht="11.25" customHeight="1" x14ac:dyDescent="0.2">
      <c r="A713" s="430" t="s">
        <v>171</v>
      </c>
      <c r="B713" s="431" t="s">
        <v>173</v>
      </c>
      <c r="C713" s="432"/>
      <c r="D713" s="432"/>
      <c r="E713" s="433"/>
      <c r="F713" s="434" t="s">
        <v>519</v>
      </c>
      <c r="G713" s="434" t="s">
        <v>520</v>
      </c>
      <c r="H713" s="434" t="s">
        <v>521</v>
      </c>
      <c r="I713" s="436" t="s">
        <v>522</v>
      </c>
      <c r="J713" s="437"/>
      <c r="K713" s="437"/>
      <c r="L713" s="438"/>
    </row>
    <row r="714" spans="1:12" ht="57.75" customHeight="1" thickBot="1" x14ac:dyDescent="0.25">
      <c r="A714" s="430"/>
      <c r="B714" s="26" t="s">
        <v>188</v>
      </c>
      <c r="C714" s="26" t="s">
        <v>189</v>
      </c>
      <c r="D714" s="26" t="s">
        <v>190</v>
      </c>
      <c r="E714" s="26" t="s">
        <v>191</v>
      </c>
      <c r="F714" s="435"/>
      <c r="G714" s="435"/>
      <c r="H714" s="435"/>
      <c r="I714" s="439"/>
      <c r="J714" s="440"/>
      <c r="K714" s="440"/>
      <c r="L714" s="441"/>
    </row>
    <row r="715" spans="1:12" s="27" customFormat="1" ht="12.75" x14ac:dyDescent="0.2">
      <c r="A715" s="28">
        <v>1</v>
      </c>
      <c r="B715" s="86"/>
      <c r="C715" s="87"/>
      <c r="D715" s="87"/>
      <c r="E715" s="86"/>
      <c r="F715" s="31"/>
      <c r="G715" s="33"/>
      <c r="H715" s="33" t="str">
        <f>+IF(B715&lt;&gt;"",IF(OR(F715="Otro",G715="NO"),"NO","SI"),"")</f>
        <v/>
      </c>
      <c r="I715" s="424"/>
      <c r="J715" s="424"/>
      <c r="K715" s="424"/>
      <c r="L715" s="425"/>
    </row>
    <row r="716" spans="1:12" s="27" customFormat="1" ht="12.75" x14ac:dyDescent="0.2">
      <c r="A716" s="38">
        <v>2</v>
      </c>
      <c r="B716" s="39"/>
      <c r="C716" s="46"/>
      <c r="D716" s="46"/>
      <c r="E716" s="39"/>
      <c r="F716" s="41"/>
      <c r="G716" s="43"/>
      <c r="H716" s="43" t="str">
        <f>+IF(B716&lt;&gt;"",IF(OR(F716="Otro",G716="NO"),"NO","SI"),"")</f>
        <v/>
      </c>
      <c r="I716" s="422"/>
      <c r="J716" s="422"/>
      <c r="K716" s="422"/>
      <c r="L716" s="423"/>
    </row>
    <row r="717" spans="1:12" s="27" customFormat="1" ht="12.75" x14ac:dyDescent="0.2">
      <c r="A717" s="38">
        <v>3</v>
      </c>
      <c r="B717" s="39"/>
      <c r="C717" s="46"/>
      <c r="D717" s="46"/>
      <c r="E717" s="39"/>
      <c r="F717" s="41"/>
      <c r="G717" s="43"/>
      <c r="H717" s="43" t="str">
        <f>+IF(B717&lt;&gt;"",IF(OR(F717="Otro",G717="NO"),"NO","SI"),"")</f>
        <v/>
      </c>
      <c r="I717" s="422"/>
      <c r="J717" s="422"/>
      <c r="K717" s="422"/>
      <c r="L717" s="423"/>
    </row>
    <row r="718" spans="1:12" s="27" customFormat="1" ht="13.5" thickBot="1" x14ac:dyDescent="0.25">
      <c r="A718" s="47">
        <v>4</v>
      </c>
      <c r="B718" s="230"/>
      <c r="C718" s="231"/>
      <c r="D718" s="231"/>
      <c r="E718" s="230"/>
      <c r="F718" s="232"/>
      <c r="G718" s="233"/>
      <c r="H718" s="233" t="str">
        <f>+IF(B718&lt;&gt;"",IF(OR(F718="Otro",G718="NO"),"NO","SI"),"")</f>
        <v/>
      </c>
      <c r="I718" s="426"/>
      <c r="J718" s="426"/>
      <c r="K718" s="426"/>
      <c r="L718" s="427"/>
    </row>
    <row r="719" spans="1:12" ht="12.75" customHeight="1" x14ac:dyDescent="0.2">
      <c r="A719" s="197" t="str">
        <f>"D"&amp;A711</f>
        <v>D48</v>
      </c>
      <c r="B719" s="428" t="s">
        <v>538</v>
      </c>
      <c r="C719" s="429"/>
      <c r="D719" s="429"/>
      <c r="E719" s="429"/>
      <c r="F719" s="429"/>
      <c r="G719" s="429"/>
      <c r="H719" s="33"/>
      <c r="I719" s="424"/>
      <c r="J719" s="424"/>
      <c r="K719" s="424"/>
      <c r="L719" s="425"/>
    </row>
    <row r="720" spans="1:12" ht="12.75" customHeight="1" x14ac:dyDescent="0.2">
      <c r="A720" s="234"/>
      <c r="B720" s="420" t="s">
        <v>539</v>
      </c>
      <c r="C720" s="421"/>
      <c r="D720" s="421"/>
      <c r="E720" s="421"/>
      <c r="F720" s="421"/>
      <c r="G720" s="421"/>
      <c r="H720" s="43"/>
      <c r="I720" s="422"/>
      <c r="J720" s="422"/>
      <c r="K720" s="422"/>
      <c r="L720" s="423"/>
    </row>
    <row r="721" spans="1:12" ht="12.75" customHeight="1" x14ac:dyDescent="0.2">
      <c r="A721" s="197" t="str">
        <f>"F"&amp;A711</f>
        <v>F48</v>
      </c>
      <c r="B721" s="420" t="s">
        <v>540</v>
      </c>
      <c r="C721" s="421"/>
      <c r="D721" s="421"/>
      <c r="E721" s="421"/>
      <c r="F721" s="421"/>
      <c r="G721" s="421" t="s">
        <v>541</v>
      </c>
      <c r="H721" s="235" t="s">
        <v>932</v>
      </c>
      <c r="I721" s="422"/>
      <c r="J721" s="422"/>
      <c r="K721" s="422"/>
      <c r="L721" s="423"/>
    </row>
    <row r="722" spans="1:12" ht="12.75" customHeight="1" x14ac:dyDescent="0.2">
      <c r="A722" s="57"/>
      <c r="B722" s="420" t="s">
        <v>542</v>
      </c>
      <c r="C722" s="421"/>
      <c r="D722" s="421"/>
      <c r="E722" s="421"/>
      <c r="F722" s="421"/>
      <c r="G722" s="421" t="s">
        <v>543</v>
      </c>
      <c r="H722" s="236" t="str">
        <f>+IF(H711&lt;&gt;0,IF(L711&gt;=8,"SI","NO"),"")</f>
        <v/>
      </c>
      <c r="I722" s="422"/>
      <c r="J722" s="422"/>
      <c r="K722" s="422"/>
      <c r="L722" s="423"/>
    </row>
    <row r="723" spans="1:12" ht="13.5" customHeight="1" thickBot="1" x14ac:dyDescent="0.25">
      <c r="A723" s="57"/>
      <c r="B723" s="349" t="s">
        <v>544</v>
      </c>
      <c r="C723" s="350"/>
      <c r="D723" s="350"/>
      <c r="E723" s="350"/>
      <c r="F723" s="350"/>
      <c r="G723" s="350" t="s">
        <v>543</v>
      </c>
      <c r="H723" s="237" t="str">
        <f>+IF(H711&lt;&gt;0,IF(COUNTIF(H715:H718,"SI")&gt;=3,"SI","NO"),"")</f>
        <v/>
      </c>
      <c r="I723" s="416"/>
      <c r="J723" s="416"/>
      <c r="K723" s="416"/>
      <c r="L723" s="417"/>
    </row>
    <row r="724" spans="1:12" ht="16.5" customHeight="1" thickBot="1" x14ac:dyDescent="0.25">
      <c r="A724" s="197" t="str">
        <f>"E"&amp;A711</f>
        <v>E48</v>
      </c>
      <c r="D724" s="418" t="str">
        <f>+D709</f>
        <v>EL PROFESIONAL OFRECIDO POR EL PROPONENTE CUMPLE CON LOS REQUISITOS MÍNIMOS ESTABLECIDOS EN EL NUMERAL 4.1.2. (no se evalúa simultaneidad de procesos en esta celda)</v>
      </c>
      <c r="E724" s="419"/>
      <c r="F724" s="419"/>
      <c r="G724" s="419"/>
      <c r="H724" s="238" t="str">
        <f>IF(H711&lt;&gt;0,IF(AND(H720="SI",H722="SI",H723="SI"),"SI","NO"),"")</f>
        <v/>
      </c>
      <c r="J724" s="20"/>
      <c r="K724" s="20"/>
      <c r="L724" s="20"/>
    </row>
    <row r="725" spans="1:12" ht="12" thickBot="1" x14ac:dyDescent="0.25"/>
    <row r="726" spans="1:12" ht="45" x14ac:dyDescent="0.2">
      <c r="A726" s="442">
        <v>49</v>
      </c>
      <c r="B726" s="444" t="s">
        <v>932</v>
      </c>
      <c r="C726" s="444"/>
      <c r="D726" s="444"/>
      <c r="E726" s="444"/>
      <c r="F726" s="444"/>
      <c r="G726" s="446" t="s">
        <v>515</v>
      </c>
      <c r="H726" s="448">
        <v>0</v>
      </c>
      <c r="I726" s="225" t="s">
        <v>516</v>
      </c>
      <c r="J726" s="226" t="s">
        <v>517</v>
      </c>
      <c r="K726" s="450" t="s">
        <v>518</v>
      </c>
      <c r="L726" s="452" t="str">
        <f>+IF(J727&lt;&gt;0,ROUND(($E$4-J727)/360,0),"")</f>
        <v/>
      </c>
    </row>
    <row r="727" spans="1:12" ht="15" thickBot="1" x14ac:dyDescent="0.25">
      <c r="A727" s="443"/>
      <c r="B727" s="445"/>
      <c r="C727" s="445"/>
      <c r="D727" s="445"/>
      <c r="E727" s="445"/>
      <c r="F727" s="445"/>
      <c r="G727" s="447"/>
      <c r="H727" s="449"/>
      <c r="I727" s="227">
        <v>0</v>
      </c>
      <c r="J727" s="228">
        <v>0</v>
      </c>
      <c r="K727" s="451"/>
      <c r="L727" s="453"/>
    </row>
    <row r="728" spans="1:12" ht="11.25" customHeight="1" x14ac:dyDescent="0.2">
      <c r="A728" s="430" t="s">
        <v>171</v>
      </c>
      <c r="B728" s="431" t="s">
        <v>173</v>
      </c>
      <c r="C728" s="432"/>
      <c r="D728" s="432"/>
      <c r="E728" s="433"/>
      <c r="F728" s="434" t="s">
        <v>519</v>
      </c>
      <c r="G728" s="434" t="s">
        <v>520</v>
      </c>
      <c r="H728" s="434" t="s">
        <v>521</v>
      </c>
      <c r="I728" s="436" t="s">
        <v>522</v>
      </c>
      <c r="J728" s="437"/>
      <c r="K728" s="437"/>
      <c r="L728" s="438"/>
    </row>
    <row r="729" spans="1:12" ht="57.75" customHeight="1" thickBot="1" x14ac:dyDescent="0.25">
      <c r="A729" s="430"/>
      <c r="B729" s="26" t="s">
        <v>188</v>
      </c>
      <c r="C729" s="26" t="s">
        <v>189</v>
      </c>
      <c r="D729" s="26" t="s">
        <v>190</v>
      </c>
      <c r="E729" s="26" t="s">
        <v>191</v>
      </c>
      <c r="F729" s="435"/>
      <c r="G729" s="435"/>
      <c r="H729" s="435"/>
      <c r="I729" s="439"/>
      <c r="J729" s="440"/>
      <c r="K729" s="440"/>
      <c r="L729" s="441"/>
    </row>
    <row r="730" spans="1:12" s="27" customFormat="1" ht="12.75" x14ac:dyDescent="0.2">
      <c r="A730" s="28">
        <v>1</v>
      </c>
      <c r="B730" s="86"/>
      <c r="C730" s="87"/>
      <c r="D730" s="87"/>
      <c r="E730" s="86"/>
      <c r="F730" s="31"/>
      <c r="G730" s="33"/>
      <c r="H730" s="33" t="str">
        <f>+IF(B730&lt;&gt;"",IF(OR(F730="Otro",G730="NO"),"NO","SI"),"")</f>
        <v/>
      </c>
      <c r="I730" s="424"/>
      <c r="J730" s="424"/>
      <c r="K730" s="424"/>
      <c r="L730" s="425"/>
    </row>
    <row r="731" spans="1:12" s="27" customFormat="1" ht="12.75" x14ac:dyDescent="0.2">
      <c r="A731" s="38">
        <v>2</v>
      </c>
      <c r="B731" s="39"/>
      <c r="C731" s="46"/>
      <c r="D731" s="46"/>
      <c r="E731" s="39"/>
      <c r="F731" s="41"/>
      <c r="G731" s="43"/>
      <c r="H731" s="43" t="str">
        <f>+IF(B731&lt;&gt;"",IF(OR(F731="Otro",G731="NO"),"NO","SI"),"")</f>
        <v/>
      </c>
      <c r="I731" s="422"/>
      <c r="J731" s="422"/>
      <c r="K731" s="422"/>
      <c r="L731" s="423"/>
    </row>
    <row r="732" spans="1:12" s="27" customFormat="1" ht="12.75" x14ac:dyDescent="0.2">
      <c r="A732" s="38">
        <v>3</v>
      </c>
      <c r="B732" s="39"/>
      <c r="C732" s="46"/>
      <c r="D732" s="46"/>
      <c r="E732" s="39"/>
      <c r="F732" s="41"/>
      <c r="G732" s="43"/>
      <c r="H732" s="43" t="str">
        <f>+IF(B732&lt;&gt;"",IF(OR(F732="Otro",G732="NO"),"NO","SI"),"")</f>
        <v/>
      </c>
      <c r="I732" s="422"/>
      <c r="J732" s="422"/>
      <c r="K732" s="422"/>
      <c r="L732" s="423"/>
    </row>
    <row r="733" spans="1:12" s="27" customFormat="1" ht="13.5" thickBot="1" x14ac:dyDescent="0.25">
      <c r="A733" s="47">
        <v>4</v>
      </c>
      <c r="B733" s="230"/>
      <c r="C733" s="231"/>
      <c r="D733" s="231"/>
      <c r="E733" s="230"/>
      <c r="F733" s="232"/>
      <c r="G733" s="233"/>
      <c r="H733" s="233" t="str">
        <f>+IF(B733&lt;&gt;"",IF(OR(F733="Otro",G733="NO"),"NO","SI"),"")</f>
        <v/>
      </c>
      <c r="I733" s="426"/>
      <c r="J733" s="426"/>
      <c r="K733" s="426"/>
      <c r="L733" s="427"/>
    </row>
    <row r="734" spans="1:12" ht="12.75" customHeight="1" x14ac:dyDescent="0.2">
      <c r="A734" s="197" t="str">
        <f>"D"&amp;A726</f>
        <v>D49</v>
      </c>
      <c r="B734" s="428" t="s">
        <v>538</v>
      </c>
      <c r="C734" s="429"/>
      <c r="D734" s="429"/>
      <c r="E734" s="429"/>
      <c r="F734" s="429"/>
      <c r="G734" s="429"/>
      <c r="H734" s="33"/>
      <c r="I734" s="424"/>
      <c r="J734" s="424"/>
      <c r="K734" s="424"/>
      <c r="L734" s="425"/>
    </row>
    <row r="735" spans="1:12" ht="12.75" customHeight="1" x14ac:dyDescent="0.2">
      <c r="A735" s="234"/>
      <c r="B735" s="420" t="s">
        <v>539</v>
      </c>
      <c r="C735" s="421"/>
      <c r="D735" s="421"/>
      <c r="E735" s="421"/>
      <c r="F735" s="421"/>
      <c r="G735" s="421"/>
      <c r="H735" s="43"/>
      <c r="I735" s="422"/>
      <c r="J735" s="422"/>
      <c r="K735" s="422"/>
      <c r="L735" s="423"/>
    </row>
    <row r="736" spans="1:12" ht="12.75" customHeight="1" x14ac:dyDescent="0.2">
      <c r="A736" s="197" t="str">
        <f>"F"&amp;A726</f>
        <v>F49</v>
      </c>
      <c r="B736" s="420" t="s">
        <v>540</v>
      </c>
      <c r="C736" s="421"/>
      <c r="D736" s="421"/>
      <c r="E736" s="421"/>
      <c r="F736" s="421"/>
      <c r="G736" s="421" t="s">
        <v>541</v>
      </c>
      <c r="H736" s="235" t="s">
        <v>932</v>
      </c>
      <c r="I736" s="422"/>
      <c r="J736" s="422"/>
      <c r="K736" s="422"/>
      <c r="L736" s="423"/>
    </row>
    <row r="737" spans="1:12" ht="12.75" customHeight="1" x14ac:dyDescent="0.2">
      <c r="A737" s="57"/>
      <c r="B737" s="420" t="s">
        <v>542</v>
      </c>
      <c r="C737" s="421"/>
      <c r="D737" s="421"/>
      <c r="E737" s="421"/>
      <c r="F737" s="421"/>
      <c r="G737" s="421" t="s">
        <v>543</v>
      </c>
      <c r="H737" s="236" t="str">
        <f>+IF(H726&lt;&gt;0,IF(L726&gt;=8,"SI","NO"),"")</f>
        <v/>
      </c>
      <c r="I737" s="422"/>
      <c r="J737" s="422"/>
      <c r="K737" s="422"/>
      <c r="L737" s="423"/>
    </row>
    <row r="738" spans="1:12" ht="13.5" customHeight="1" thickBot="1" x14ac:dyDescent="0.25">
      <c r="A738" s="57"/>
      <c r="B738" s="349" t="s">
        <v>544</v>
      </c>
      <c r="C738" s="350"/>
      <c r="D738" s="350"/>
      <c r="E738" s="350"/>
      <c r="F738" s="350"/>
      <c r="G738" s="350" t="s">
        <v>543</v>
      </c>
      <c r="H738" s="237" t="str">
        <f>+IF(H726&lt;&gt;0,IF(COUNTIF(H730:H733,"SI")&gt;=3,"SI","NO"),"")</f>
        <v/>
      </c>
      <c r="I738" s="416"/>
      <c r="J738" s="416"/>
      <c r="K738" s="416"/>
      <c r="L738" s="417"/>
    </row>
    <row r="739" spans="1:12" ht="16.5" customHeight="1" thickBot="1" x14ac:dyDescent="0.25">
      <c r="A739" s="197" t="str">
        <f>"E"&amp;A726</f>
        <v>E49</v>
      </c>
      <c r="D739" s="418" t="str">
        <f>+D724</f>
        <v>EL PROFESIONAL OFRECIDO POR EL PROPONENTE CUMPLE CON LOS REQUISITOS MÍNIMOS ESTABLECIDOS EN EL NUMERAL 4.1.2. (no se evalúa simultaneidad de procesos en esta celda)</v>
      </c>
      <c r="E739" s="419"/>
      <c r="F739" s="419"/>
      <c r="G739" s="419"/>
      <c r="H739" s="238" t="str">
        <f>IF(H726&lt;&gt;0,IF(AND(H735="SI",H737="SI",H738="SI"),"SI","NO"),"")</f>
        <v/>
      </c>
      <c r="J739" s="20"/>
      <c r="K739" s="20"/>
      <c r="L739" s="20"/>
    </row>
    <row r="740" spans="1:12" ht="12" thickBot="1" x14ac:dyDescent="0.25"/>
    <row r="741" spans="1:12" ht="45" x14ac:dyDescent="0.2">
      <c r="A741" s="442">
        <v>50</v>
      </c>
      <c r="B741" s="444" t="s">
        <v>932</v>
      </c>
      <c r="C741" s="444"/>
      <c r="D741" s="444"/>
      <c r="E741" s="444"/>
      <c r="F741" s="444"/>
      <c r="G741" s="446" t="s">
        <v>515</v>
      </c>
      <c r="H741" s="448">
        <v>0</v>
      </c>
      <c r="I741" s="225" t="s">
        <v>516</v>
      </c>
      <c r="J741" s="226" t="s">
        <v>517</v>
      </c>
      <c r="K741" s="450" t="s">
        <v>518</v>
      </c>
      <c r="L741" s="452" t="str">
        <f>+IF(J742&lt;&gt;0,ROUND(($E$4-J742)/360,0),"")</f>
        <v/>
      </c>
    </row>
    <row r="742" spans="1:12" ht="15" thickBot="1" x14ac:dyDescent="0.25">
      <c r="A742" s="443"/>
      <c r="B742" s="445"/>
      <c r="C742" s="445"/>
      <c r="D742" s="445"/>
      <c r="E742" s="445"/>
      <c r="F742" s="445"/>
      <c r="G742" s="447"/>
      <c r="H742" s="449"/>
      <c r="I742" s="227">
        <v>0</v>
      </c>
      <c r="J742" s="228">
        <v>0</v>
      </c>
      <c r="K742" s="451"/>
      <c r="L742" s="453"/>
    </row>
    <row r="743" spans="1:12" ht="11.25" customHeight="1" x14ac:dyDescent="0.2">
      <c r="A743" s="430" t="s">
        <v>171</v>
      </c>
      <c r="B743" s="431" t="s">
        <v>173</v>
      </c>
      <c r="C743" s="432"/>
      <c r="D743" s="432"/>
      <c r="E743" s="433"/>
      <c r="F743" s="434" t="s">
        <v>519</v>
      </c>
      <c r="G743" s="434" t="s">
        <v>520</v>
      </c>
      <c r="H743" s="434" t="s">
        <v>521</v>
      </c>
      <c r="I743" s="436" t="s">
        <v>522</v>
      </c>
      <c r="J743" s="437"/>
      <c r="K743" s="437"/>
      <c r="L743" s="438"/>
    </row>
    <row r="744" spans="1:12" ht="57.75" customHeight="1" thickBot="1" x14ac:dyDescent="0.25">
      <c r="A744" s="430"/>
      <c r="B744" s="26" t="s">
        <v>188</v>
      </c>
      <c r="C744" s="26" t="s">
        <v>189</v>
      </c>
      <c r="D744" s="26" t="s">
        <v>190</v>
      </c>
      <c r="E744" s="26" t="s">
        <v>191</v>
      </c>
      <c r="F744" s="435"/>
      <c r="G744" s="435"/>
      <c r="H744" s="435"/>
      <c r="I744" s="439"/>
      <c r="J744" s="440"/>
      <c r="K744" s="440"/>
      <c r="L744" s="441"/>
    </row>
    <row r="745" spans="1:12" s="27" customFormat="1" ht="12.75" x14ac:dyDescent="0.2">
      <c r="A745" s="28">
        <v>1</v>
      </c>
      <c r="B745" s="86"/>
      <c r="C745" s="87"/>
      <c r="D745" s="87"/>
      <c r="E745" s="86"/>
      <c r="F745" s="31"/>
      <c r="G745" s="33"/>
      <c r="H745" s="33" t="str">
        <f>+IF(B745&lt;&gt;"",IF(OR(F745="Otro",G745="NO"),"NO","SI"),"")</f>
        <v/>
      </c>
      <c r="I745" s="424"/>
      <c r="J745" s="424"/>
      <c r="K745" s="424"/>
      <c r="L745" s="425"/>
    </row>
    <row r="746" spans="1:12" s="27" customFormat="1" ht="12.75" x14ac:dyDescent="0.2">
      <c r="A746" s="38">
        <v>2</v>
      </c>
      <c r="B746" s="39"/>
      <c r="C746" s="46"/>
      <c r="D746" s="46"/>
      <c r="E746" s="39"/>
      <c r="F746" s="41"/>
      <c r="G746" s="43"/>
      <c r="H746" s="43" t="str">
        <f>+IF(B746&lt;&gt;"",IF(OR(F746="Otro",G746="NO"),"NO","SI"),"")</f>
        <v/>
      </c>
      <c r="I746" s="422"/>
      <c r="J746" s="422"/>
      <c r="K746" s="422"/>
      <c r="L746" s="423"/>
    </row>
    <row r="747" spans="1:12" s="27" customFormat="1" ht="12.75" x14ac:dyDescent="0.2">
      <c r="A747" s="38">
        <v>3</v>
      </c>
      <c r="B747" s="39"/>
      <c r="C747" s="46"/>
      <c r="D747" s="46"/>
      <c r="E747" s="39"/>
      <c r="F747" s="41"/>
      <c r="G747" s="43"/>
      <c r="H747" s="43" t="str">
        <f>+IF(B747&lt;&gt;"",IF(OR(F747="Otro",G747="NO"),"NO","SI"),"")</f>
        <v/>
      </c>
      <c r="I747" s="422"/>
      <c r="J747" s="422"/>
      <c r="K747" s="422"/>
      <c r="L747" s="423"/>
    </row>
    <row r="748" spans="1:12" s="27" customFormat="1" ht="13.5" thickBot="1" x14ac:dyDescent="0.25">
      <c r="A748" s="47">
        <v>4</v>
      </c>
      <c r="B748" s="230"/>
      <c r="C748" s="231"/>
      <c r="D748" s="231"/>
      <c r="E748" s="230"/>
      <c r="F748" s="232"/>
      <c r="G748" s="233"/>
      <c r="H748" s="233" t="str">
        <f>+IF(B748&lt;&gt;"",IF(OR(F748="Otro",G748="NO"),"NO","SI"),"")</f>
        <v/>
      </c>
      <c r="I748" s="426"/>
      <c r="J748" s="426"/>
      <c r="K748" s="426"/>
      <c r="L748" s="427"/>
    </row>
    <row r="749" spans="1:12" ht="12.75" customHeight="1" x14ac:dyDescent="0.2">
      <c r="A749" s="197" t="str">
        <f>"D"&amp;A741</f>
        <v>D50</v>
      </c>
      <c r="B749" s="428" t="s">
        <v>538</v>
      </c>
      <c r="C749" s="429"/>
      <c r="D749" s="429"/>
      <c r="E749" s="429"/>
      <c r="F749" s="429"/>
      <c r="G749" s="429"/>
      <c r="H749" s="33"/>
      <c r="I749" s="424"/>
      <c r="J749" s="424"/>
      <c r="K749" s="424"/>
      <c r="L749" s="425"/>
    </row>
    <row r="750" spans="1:12" ht="12.75" customHeight="1" x14ac:dyDescent="0.2">
      <c r="A750" s="234"/>
      <c r="B750" s="420" t="s">
        <v>539</v>
      </c>
      <c r="C750" s="421"/>
      <c r="D750" s="421"/>
      <c r="E750" s="421"/>
      <c r="F750" s="421"/>
      <c r="G750" s="421"/>
      <c r="H750" s="43"/>
      <c r="I750" s="422"/>
      <c r="J750" s="422"/>
      <c r="K750" s="422"/>
      <c r="L750" s="423"/>
    </row>
    <row r="751" spans="1:12" ht="12.75" customHeight="1" x14ac:dyDescent="0.2">
      <c r="A751" s="197" t="str">
        <f>"F"&amp;A741</f>
        <v>F50</v>
      </c>
      <c r="B751" s="420" t="s">
        <v>540</v>
      </c>
      <c r="C751" s="421"/>
      <c r="D751" s="421"/>
      <c r="E751" s="421"/>
      <c r="F751" s="421"/>
      <c r="G751" s="421" t="s">
        <v>541</v>
      </c>
      <c r="H751" s="235" t="s">
        <v>932</v>
      </c>
      <c r="I751" s="422"/>
      <c r="J751" s="422"/>
      <c r="K751" s="422"/>
      <c r="L751" s="423"/>
    </row>
    <row r="752" spans="1:12" ht="12.75" customHeight="1" x14ac:dyDescent="0.2">
      <c r="A752" s="57"/>
      <c r="B752" s="420" t="s">
        <v>542</v>
      </c>
      <c r="C752" s="421"/>
      <c r="D752" s="421"/>
      <c r="E752" s="421"/>
      <c r="F752" s="421"/>
      <c r="G752" s="421" t="s">
        <v>543</v>
      </c>
      <c r="H752" s="236" t="str">
        <f>+IF(H741&lt;&gt;0,IF(L741&gt;=8,"SI","NO"),"")</f>
        <v/>
      </c>
      <c r="I752" s="422"/>
      <c r="J752" s="422"/>
      <c r="K752" s="422"/>
      <c r="L752" s="423"/>
    </row>
    <row r="753" spans="1:12" ht="13.5" customHeight="1" thickBot="1" x14ac:dyDescent="0.25">
      <c r="A753" s="57"/>
      <c r="B753" s="349" t="s">
        <v>544</v>
      </c>
      <c r="C753" s="350"/>
      <c r="D753" s="350"/>
      <c r="E753" s="350"/>
      <c r="F753" s="350"/>
      <c r="G753" s="350" t="s">
        <v>543</v>
      </c>
      <c r="H753" s="237" t="str">
        <f>+IF(H741&lt;&gt;0,IF(COUNTIF(H745:H748,"SI")&gt;=3,"SI","NO"),"")</f>
        <v/>
      </c>
      <c r="I753" s="416"/>
      <c r="J753" s="416"/>
      <c r="K753" s="416"/>
      <c r="L753" s="417"/>
    </row>
    <row r="754" spans="1:12" ht="16.5" customHeight="1" thickBot="1" x14ac:dyDescent="0.25">
      <c r="A754" s="197" t="str">
        <f>"E"&amp;A741</f>
        <v>E50</v>
      </c>
      <c r="D754" s="418" t="str">
        <f>+D739</f>
        <v>EL PROFESIONAL OFRECIDO POR EL PROPONENTE CUMPLE CON LOS REQUISITOS MÍNIMOS ESTABLECIDOS EN EL NUMERAL 4.1.2. (no se evalúa simultaneidad de procesos en esta celda)</v>
      </c>
      <c r="E754" s="419"/>
      <c r="F754" s="419"/>
      <c r="G754" s="419"/>
      <c r="H754" s="238" t="str">
        <f>IF(H741&lt;&gt;0,IF(AND(H750="SI",H752="SI",H753="SI"),"SI","NO"),"")</f>
        <v/>
      </c>
      <c r="J754" s="20"/>
      <c r="K754" s="20"/>
      <c r="L754" s="20"/>
    </row>
    <row r="755" spans="1:12" ht="12" thickBot="1" x14ac:dyDescent="0.25"/>
    <row r="756" spans="1:12" ht="45" x14ac:dyDescent="0.2">
      <c r="A756" s="442">
        <v>51</v>
      </c>
      <c r="B756" s="444" t="s">
        <v>932</v>
      </c>
      <c r="C756" s="444"/>
      <c r="D756" s="444"/>
      <c r="E756" s="444"/>
      <c r="F756" s="444"/>
      <c r="G756" s="446" t="s">
        <v>515</v>
      </c>
      <c r="H756" s="448">
        <v>0</v>
      </c>
      <c r="I756" s="225" t="s">
        <v>516</v>
      </c>
      <c r="J756" s="226" t="s">
        <v>517</v>
      </c>
      <c r="K756" s="450" t="s">
        <v>518</v>
      </c>
      <c r="L756" s="452" t="str">
        <f>+IF(J757&lt;&gt;0,ROUND(($E$4-J757)/360,0),"")</f>
        <v/>
      </c>
    </row>
    <row r="757" spans="1:12" ht="15" thickBot="1" x14ac:dyDescent="0.25">
      <c r="A757" s="443"/>
      <c r="B757" s="445"/>
      <c r="C757" s="445"/>
      <c r="D757" s="445"/>
      <c r="E757" s="445"/>
      <c r="F757" s="445"/>
      <c r="G757" s="447"/>
      <c r="H757" s="449"/>
      <c r="I757" s="227">
        <v>0</v>
      </c>
      <c r="J757" s="228">
        <v>0</v>
      </c>
      <c r="K757" s="451"/>
      <c r="L757" s="453"/>
    </row>
    <row r="758" spans="1:12" ht="11.25" customHeight="1" x14ac:dyDescent="0.2">
      <c r="A758" s="430" t="s">
        <v>171</v>
      </c>
      <c r="B758" s="431" t="s">
        <v>173</v>
      </c>
      <c r="C758" s="432"/>
      <c r="D758" s="432"/>
      <c r="E758" s="433"/>
      <c r="F758" s="434" t="s">
        <v>519</v>
      </c>
      <c r="G758" s="434" t="s">
        <v>520</v>
      </c>
      <c r="H758" s="434" t="s">
        <v>521</v>
      </c>
      <c r="I758" s="436" t="s">
        <v>522</v>
      </c>
      <c r="J758" s="437"/>
      <c r="K758" s="437"/>
      <c r="L758" s="438"/>
    </row>
    <row r="759" spans="1:12" ht="57.75" customHeight="1" thickBot="1" x14ac:dyDescent="0.25">
      <c r="A759" s="430"/>
      <c r="B759" s="26" t="s">
        <v>188</v>
      </c>
      <c r="C759" s="26" t="s">
        <v>189</v>
      </c>
      <c r="D759" s="26" t="s">
        <v>190</v>
      </c>
      <c r="E759" s="26" t="s">
        <v>191</v>
      </c>
      <c r="F759" s="435"/>
      <c r="G759" s="435"/>
      <c r="H759" s="435"/>
      <c r="I759" s="439"/>
      <c r="J759" s="440"/>
      <c r="K759" s="440"/>
      <c r="L759" s="441"/>
    </row>
    <row r="760" spans="1:12" s="27" customFormat="1" ht="12.75" x14ac:dyDescent="0.2">
      <c r="A760" s="28">
        <v>1</v>
      </c>
      <c r="B760" s="86"/>
      <c r="C760" s="87"/>
      <c r="D760" s="87"/>
      <c r="E760" s="86"/>
      <c r="F760" s="31"/>
      <c r="G760" s="33"/>
      <c r="H760" s="33" t="str">
        <f>+IF(B760&lt;&gt;"",IF(OR(F760="Otro",G760="NO"),"NO","SI"),"")</f>
        <v/>
      </c>
      <c r="I760" s="424"/>
      <c r="J760" s="424"/>
      <c r="K760" s="424"/>
      <c r="L760" s="425"/>
    </row>
    <row r="761" spans="1:12" s="27" customFormat="1" ht="12.75" x14ac:dyDescent="0.2">
      <c r="A761" s="38">
        <v>2</v>
      </c>
      <c r="B761" s="39"/>
      <c r="C761" s="46"/>
      <c r="D761" s="46"/>
      <c r="E761" s="39"/>
      <c r="F761" s="41"/>
      <c r="G761" s="43"/>
      <c r="H761" s="43" t="str">
        <f>+IF(B761&lt;&gt;"",IF(OR(F761="Otro",G761="NO"),"NO","SI"),"")</f>
        <v/>
      </c>
      <c r="I761" s="422"/>
      <c r="J761" s="422"/>
      <c r="K761" s="422"/>
      <c r="L761" s="423"/>
    </row>
    <row r="762" spans="1:12" s="27" customFormat="1" ht="12.75" x14ac:dyDescent="0.2">
      <c r="A762" s="38">
        <v>3</v>
      </c>
      <c r="B762" s="39"/>
      <c r="C762" s="46"/>
      <c r="D762" s="46"/>
      <c r="E762" s="39"/>
      <c r="F762" s="41"/>
      <c r="G762" s="43"/>
      <c r="H762" s="43" t="str">
        <f>+IF(B762&lt;&gt;"",IF(OR(F762="Otro",G762="NO"),"NO","SI"),"")</f>
        <v/>
      </c>
      <c r="I762" s="422"/>
      <c r="J762" s="422"/>
      <c r="K762" s="422"/>
      <c r="L762" s="423"/>
    </row>
    <row r="763" spans="1:12" s="27" customFormat="1" ht="13.5" thickBot="1" x14ac:dyDescent="0.25">
      <c r="A763" s="47">
        <v>4</v>
      </c>
      <c r="B763" s="230"/>
      <c r="C763" s="231"/>
      <c r="D763" s="231"/>
      <c r="E763" s="230"/>
      <c r="F763" s="232"/>
      <c r="G763" s="233"/>
      <c r="H763" s="233" t="str">
        <f>+IF(B763&lt;&gt;"",IF(OR(F763="Otro",G763="NO"),"NO","SI"),"")</f>
        <v/>
      </c>
      <c r="I763" s="426"/>
      <c r="J763" s="426"/>
      <c r="K763" s="426"/>
      <c r="L763" s="427"/>
    </row>
    <row r="764" spans="1:12" ht="12.75" customHeight="1" x14ac:dyDescent="0.2">
      <c r="A764" s="197" t="str">
        <f>"D"&amp;A756</f>
        <v>D51</v>
      </c>
      <c r="B764" s="428" t="s">
        <v>538</v>
      </c>
      <c r="C764" s="429"/>
      <c r="D764" s="429"/>
      <c r="E764" s="429"/>
      <c r="F764" s="429"/>
      <c r="G764" s="429"/>
      <c r="H764" s="33"/>
      <c r="I764" s="424"/>
      <c r="J764" s="424"/>
      <c r="K764" s="424"/>
      <c r="L764" s="425"/>
    </row>
    <row r="765" spans="1:12" ht="12.75" customHeight="1" x14ac:dyDescent="0.2">
      <c r="A765" s="234"/>
      <c r="B765" s="420" t="s">
        <v>539</v>
      </c>
      <c r="C765" s="421"/>
      <c r="D765" s="421"/>
      <c r="E765" s="421"/>
      <c r="F765" s="421"/>
      <c r="G765" s="421"/>
      <c r="H765" s="43"/>
      <c r="I765" s="422"/>
      <c r="J765" s="422"/>
      <c r="K765" s="422"/>
      <c r="L765" s="423"/>
    </row>
    <row r="766" spans="1:12" ht="12.75" customHeight="1" x14ac:dyDescent="0.2">
      <c r="A766" s="197" t="str">
        <f>"F"&amp;A756</f>
        <v>F51</v>
      </c>
      <c r="B766" s="420" t="s">
        <v>540</v>
      </c>
      <c r="C766" s="421"/>
      <c r="D766" s="421"/>
      <c r="E766" s="421"/>
      <c r="F766" s="421"/>
      <c r="G766" s="421" t="s">
        <v>541</v>
      </c>
      <c r="H766" s="235" t="s">
        <v>932</v>
      </c>
      <c r="I766" s="422"/>
      <c r="J766" s="422"/>
      <c r="K766" s="422"/>
      <c r="L766" s="423"/>
    </row>
    <row r="767" spans="1:12" ht="12.75" customHeight="1" x14ac:dyDescent="0.2">
      <c r="A767" s="57"/>
      <c r="B767" s="420" t="s">
        <v>542</v>
      </c>
      <c r="C767" s="421"/>
      <c r="D767" s="421"/>
      <c r="E767" s="421"/>
      <c r="F767" s="421"/>
      <c r="G767" s="421" t="s">
        <v>543</v>
      </c>
      <c r="H767" s="236" t="str">
        <f>+IF(H756&lt;&gt;0,IF(L756&gt;=8,"SI","NO"),"")</f>
        <v/>
      </c>
      <c r="I767" s="422"/>
      <c r="J767" s="422"/>
      <c r="K767" s="422"/>
      <c r="L767" s="423"/>
    </row>
    <row r="768" spans="1:12" ht="13.5" customHeight="1" thickBot="1" x14ac:dyDescent="0.25">
      <c r="A768" s="57"/>
      <c r="B768" s="349" t="s">
        <v>544</v>
      </c>
      <c r="C768" s="350"/>
      <c r="D768" s="350"/>
      <c r="E768" s="350"/>
      <c r="F768" s="350"/>
      <c r="G768" s="350" t="s">
        <v>543</v>
      </c>
      <c r="H768" s="237" t="str">
        <f>+IF(H756&lt;&gt;0,IF(COUNTIF(H760:H763,"SI")&gt;=3,"SI","NO"),"")</f>
        <v/>
      </c>
      <c r="I768" s="416"/>
      <c r="J768" s="416"/>
      <c r="K768" s="416"/>
      <c r="L768" s="417"/>
    </row>
    <row r="769" spans="1:12" ht="16.5" customHeight="1" thickBot="1" x14ac:dyDescent="0.25">
      <c r="A769" s="197" t="str">
        <f>"E"&amp;A756</f>
        <v>E51</v>
      </c>
      <c r="D769" s="418" t="str">
        <f>+D754</f>
        <v>EL PROFESIONAL OFRECIDO POR EL PROPONENTE CUMPLE CON LOS REQUISITOS MÍNIMOS ESTABLECIDOS EN EL NUMERAL 4.1.2. (no se evalúa simultaneidad de procesos en esta celda)</v>
      </c>
      <c r="E769" s="419"/>
      <c r="F769" s="419"/>
      <c r="G769" s="419"/>
      <c r="H769" s="238" t="str">
        <f>IF(H756&lt;&gt;0,IF(AND(H765="SI",H767="SI",H768="SI"),"SI","NO"),"")</f>
        <v/>
      </c>
      <c r="J769" s="20"/>
      <c r="K769" s="20"/>
      <c r="L769" s="20"/>
    </row>
    <row r="770" spans="1:12" ht="12" thickBot="1" x14ac:dyDescent="0.25"/>
    <row r="771" spans="1:12" ht="45" x14ac:dyDescent="0.2">
      <c r="A771" s="442">
        <v>52</v>
      </c>
      <c r="B771" s="444" t="s">
        <v>932</v>
      </c>
      <c r="C771" s="444"/>
      <c r="D771" s="444"/>
      <c r="E771" s="444"/>
      <c r="F771" s="444"/>
      <c r="G771" s="446" t="s">
        <v>515</v>
      </c>
      <c r="H771" s="448">
        <v>0</v>
      </c>
      <c r="I771" s="225" t="s">
        <v>516</v>
      </c>
      <c r="J771" s="226" t="s">
        <v>517</v>
      </c>
      <c r="K771" s="450" t="s">
        <v>518</v>
      </c>
      <c r="L771" s="452" t="str">
        <f>+IF(J772&lt;&gt;0,ROUND(($E$4-J772)/360,0),"")</f>
        <v/>
      </c>
    </row>
    <row r="772" spans="1:12" ht="15" thickBot="1" x14ac:dyDescent="0.25">
      <c r="A772" s="443"/>
      <c r="B772" s="445"/>
      <c r="C772" s="445"/>
      <c r="D772" s="445"/>
      <c r="E772" s="445"/>
      <c r="F772" s="445"/>
      <c r="G772" s="447"/>
      <c r="H772" s="449"/>
      <c r="I772" s="227">
        <v>0</v>
      </c>
      <c r="J772" s="228">
        <v>0</v>
      </c>
      <c r="K772" s="451"/>
      <c r="L772" s="453"/>
    </row>
    <row r="773" spans="1:12" ht="11.25" customHeight="1" x14ac:dyDescent="0.2">
      <c r="A773" s="430" t="s">
        <v>171</v>
      </c>
      <c r="B773" s="431" t="s">
        <v>173</v>
      </c>
      <c r="C773" s="432"/>
      <c r="D773" s="432"/>
      <c r="E773" s="433"/>
      <c r="F773" s="434" t="s">
        <v>519</v>
      </c>
      <c r="G773" s="434" t="s">
        <v>520</v>
      </c>
      <c r="H773" s="434" t="s">
        <v>521</v>
      </c>
      <c r="I773" s="436" t="s">
        <v>522</v>
      </c>
      <c r="J773" s="437"/>
      <c r="K773" s="437"/>
      <c r="L773" s="438"/>
    </row>
    <row r="774" spans="1:12" ht="57.75" customHeight="1" thickBot="1" x14ac:dyDescent="0.25">
      <c r="A774" s="430"/>
      <c r="B774" s="26" t="s">
        <v>188</v>
      </c>
      <c r="C774" s="26" t="s">
        <v>189</v>
      </c>
      <c r="D774" s="26" t="s">
        <v>190</v>
      </c>
      <c r="E774" s="26" t="s">
        <v>191</v>
      </c>
      <c r="F774" s="435"/>
      <c r="G774" s="435"/>
      <c r="H774" s="435"/>
      <c r="I774" s="439"/>
      <c r="J774" s="440"/>
      <c r="K774" s="440"/>
      <c r="L774" s="441"/>
    </row>
    <row r="775" spans="1:12" s="27" customFormat="1" ht="12.75" x14ac:dyDescent="0.2">
      <c r="A775" s="28">
        <v>1</v>
      </c>
      <c r="B775" s="86"/>
      <c r="C775" s="87"/>
      <c r="D775" s="87"/>
      <c r="E775" s="86"/>
      <c r="F775" s="31"/>
      <c r="G775" s="33"/>
      <c r="H775" s="33" t="str">
        <f>+IF(B775&lt;&gt;"",IF(OR(F775="Otro",G775="NO"),"NO","SI"),"")</f>
        <v/>
      </c>
      <c r="I775" s="424"/>
      <c r="J775" s="424"/>
      <c r="K775" s="424"/>
      <c r="L775" s="425"/>
    </row>
    <row r="776" spans="1:12" s="27" customFormat="1" ht="12.75" x14ac:dyDescent="0.2">
      <c r="A776" s="38">
        <v>2</v>
      </c>
      <c r="B776" s="39"/>
      <c r="C776" s="46"/>
      <c r="D776" s="46"/>
      <c r="E776" s="39"/>
      <c r="F776" s="41"/>
      <c r="G776" s="43"/>
      <c r="H776" s="43" t="str">
        <f>+IF(B776&lt;&gt;"",IF(OR(F776="Otro",G776="NO"),"NO","SI"),"")</f>
        <v/>
      </c>
      <c r="I776" s="422"/>
      <c r="J776" s="422"/>
      <c r="K776" s="422"/>
      <c r="L776" s="423"/>
    </row>
    <row r="777" spans="1:12" s="27" customFormat="1" ht="12.75" x14ac:dyDescent="0.2">
      <c r="A777" s="38">
        <v>3</v>
      </c>
      <c r="B777" s="39"/>
      <c r="C777" s="46"/>
      <c r="D777" s="46"/>
      <c r="E777" s="39"/>
      <c r="F777" s="41"/>
      <c r="G777" s="43"/>
      <c r="H777" s="43" t="str">
        <f>+IF(B777&lt;&gt;"",IF(OR(F777="Otro",G777="NO"),"NO","SI"),"")</f>
        <v/>
      </c>
      <c r="I777" s="422"/>
      <c r="J777" s="422"/>
      <c r="K777" s="422"/>
      <c r="L777" s="423"/>
    </row>
    <row r="778" spans="1:12" s="27" customFormat="1" ht="13.5" thickBot="1" x14ac:dyDescent="0.25">
      <c r="A778" s="47">
        <v>4</v>
      </c>
      <c r="B778" s="230"/>
      <c r="C778" s="231"/>
      <c r="D778" s="231"/>
      <c r="E778" s="230"/>
      <c r="F778" s="232"/>
      <c r="G778" s="233"/>
      <c r="H778" s="233" t="str">
        <f>+IF(B778&lt;&gt;"",IF(OR(F778="Otro",G778="NO"),"NO","SI"),"")</f>
        <v/>
      </c>
      <c r="I778" s="426"/>
      <c r="J778" s="426"/>
      <c r="K778" s="426"/>
      <c r="L778" s="427"/>
    </row>
    <row r="779" spans="1:12" ht="12.75" customHeight="1" x14ac:dyDescent="0.2">
      <c r="A779" s="197" t="str">
        <f>"D"&amp;A771</f>
        <v>D52</v>
      </c>
      <c r="B779" s="428" t="s">
        <v>538</v>
      </c>
      <c r="C779" s="429"/>
      <c r="D779" s="429"/>
      <c r="E779" s="429"/>
      <c r="F779" s="429"/>
      <c r="G779" s="429"/>
      <c r="H779" s="33"/>
      <c r="I779" s="424"/>
      <c r="J779" s="424"/>
      <c r="K779" s="424"/>
      <c r="L779" s="425"/>
    </row>
    <row r="780" spans="1:12" ht="12.75" customHeight="1" x14ac:dyDescent="0.2">
      <c r="A780" s="234"/>
      <c r="B780" s="420" t="s">
        <v>539</v>
      </c>
      <c r="C780" s="421"/>
      <c r="D780" s="421"/>
      <c r="E780" s="421"/>
      <c r="F780" s="421"/>
      <c r="G780" s="421"/>
      <c r="H780" s="43"/>
      <c r="I780" s="422"/>
      <c r="J780" s="422"/>
      <c r="K780" s="422"/>
      <c r="L780" s="423"/>
    </row>
    <row r="781" spans="1:12" ht="12.75" customHeight="1" x14ac:dyDescent="0.2">
      <c r="A781" s="197" t="str">
        <f>"F"&amp;A771</f>
        <v>F52</v>
      </c>
      <c r="B781" s="420" t="s">
        <v>540</v>
      </c>
      <c r="C781" s="421"/>
      <c r="D781" s="421"/>
      <c r="E781" s="421"/>
      <c r="F781" s="421"/>
      <c r="G781" s="421" t="s">
        <v>541</v>
      </c>
      <c r="H781" s="235" t="s">
        <v>932</v>
      </c>
      <c r="I781" s="422"/>
      <c r="J781" s="422"/>
      <c r="K781" s="422"/>
      <c r="L781" s="423"/>
    </row>
    <row r="782" spans="1:12" ht="12.75" customHeight="1" x14ac:dyDescent="0.2">
      <c r="A782" s="57"/>
      <c r="B782" s="420" t="s">
        <v>542</v>
      </c>
      <c r="C782" s="421"/>
      <c r="D782" s="421"/>
      <c r="E782" s="421"/>
      <c r="F782" s="421"/>
      <c r="G782" s="421" t="s">
        <v>543</v>
      </c>
      <c r="H782" s="236" t="str">
        <f>+IF(H771&lt;&gt;0,IF(L771&gt;=8,"SI","NO"),"")</f>
        <v/>
      </c>
      <c r="I782" s="422"/>
      <c r="J782" s="422"/>
      <c r="K782" s="422"/>
      <c r="L782" s="423"/>
    </row>
    <row r="783" spans="1:12" ht="13.5" customHeight="1" thickBot="1" x14ac:dyDescent="0.25">
      <c r="A783" s="57"/>
      <c r="B783" s="349" t="s">
        <v>544</v>
      </c>
      <c r="C783" s="350"/>
      <c r="D783" s="350"/>
      <c r="E783" s="350"/>
      <c r="F783" s="350"/>
      <c r="G783" s="350" t="s">
        <v>543</v>
      </c>
      <c r="H783" s="237" t="str">
        <f>+IF(H771&lt;&gt;0,IF(COUNTIF(H775:H778,"SI")&gt;=3,"SI","NO"),"")</f>
        <v/>
      </c>
      <c r="I783" s="416"/>
      <c r="J783" s="416"/>
      <c r="K783" s="416"/>
      <c r="L783" s="417"/>
    </row>
    <row r="784" spans="1:12" ht="16.5" customHeight="1" thickBot="1" x14ac:dyDescent="0.25">
      <c r="A784" s="197" t="str">
        <f>"E"&amp;A771</f>
        <v>E52</v>
      </c>
      <c r="D784" s="418" t="str">
        <f>+D769</f>
        <v>EL PROFESIONAL OFRECIDO POR EL PROPONENTE CUMPLE CON LOS REQUISITOS MÍNIMOS ESTABLECIDOS EN EL NUMERAL 4.1.2. (no se evalúa simultaneidad de procesos en esta celda)</v>
      </c>
      <c r="E784" s="419"/>
      <c r="F784" s="419"/>
      <c r="G784" s="419"/>
      <c r="H784" s="238" t="str">
        <f>IF(H771&lt;&gt;0,IF(AND(H780="SI",H782="SI",H783="SI"),"SI","NO"),"")</f>
        <v/>
      </c>
      <c r="J784" s="20"/>
      <c r="K784" s="20"/>
      <c r="L784" s="20"/>
    </row>
    <row r="785" spans="1:12" ht="12" thickBot="1" x14ac:dyDescent="0.25"/>
    <row r="786" spans="1:12" ht="45" x14ac:dyDescent="0.2">
      <c r="A786" s="442">
        <v>53</v>
      </c>
      <c r="B786" s="444" t="s">
        <v>932</v>
      </c>
      <c r="C786" s="444"/>
      <c r="D786" s="444"/>
      <c r="E786" s="444"/>
      <c r="F786" s="444"/>
      <c r="G786" s="446" t="s">
        <v>515</v>
      </c>
      <c r="H786" s="448">
        <v>0</v>
      </c>
      <c r="I786" s="225" t="s">
        <v>516</v>
      </c>
      <c r="J786" s="226" t="s">
        <v>517</v>
      </c>
      <c r="K786" s="450" t="s">
        <v>518</v>
      </c>
      <c r="L786" s="452" t="str">
        <f>+IF(J787&lt;&gt;0,ROUND(($E$4-J787)/360,0),"")</f>
        <v/>
      </c>
    </row>
    <row r="787" spans="1:12" ht="15" thickBot="1" x14ac:dyDescent="0.25">
      <c r="A787" s="443"/>
      <c r="B787" s="445"/>
      <c r="C787" s="445"/>
      <c r="D787" s="445"/>
      <c r="E787" s="445"/>
      <c r="F787" s="445"/>
      <c r="G787" s="447"/>
      <c r="H787" s="449"/>
      <c r="I787" s="227">
        <v>0</v>
      </c>
      <c r="J787" s="228">
        <v>0</v>
      </c>
      <c r="K787" s="451"/>
      <c r="L787" s="453"/>
    </row>
    <row r="788" spans="1:12" ht="11.25" customHeight="1" x14ac:dyDescent="0.2">
      <c r="A788" s="430" t="s">
        <v>171</v>
      </c>
      <c r="B788" s="431" t="s">
        <v>173</v>
      </c>
      <c r="C788" s="432"/>
      <c r="D788" s="432"/>
      <c r="E788" s="433"/>
      <c r="F788" s="434" t="s">
        <v>519</v>
      </c>
      <c r="G788" s="434" t="s">
        <v>520</v>
      </c>
      <c r="H788" s="434" t="s">
        <v>521</v>
      </c>
      <c r="I788" s="436" t="s">
        <v>522</v>
      </c>
      <c r="J788" s="437"/>
      <c r="K788" s="437"/>
      <c r="L788" s="438"/>
    </row>
    <row r="789" spans="1:12" ht="57.75" customHeight="1" thickBot="1" x14ac:dyDescent="0.25">
      <c r="A789" s="430"/>
      <c r="B789" s="26" t="s">
        <v>188</v>
      </c>
      <c r="C789" s="26" t="s">
        <v>189</v>
      </c>
      <c r="D789" s="26" t="s">
        <v>190</v>
      </c>
      <c r="E789" s="26" t="s">
        <v>191</v>
      </c>
      <c r="F789" s="435"/>
      <c r="G789" s="435"/>
      <c r="H789" s="435"/>
      <c r="I789" s="439"/>
      <c r="J789" s="440"/>
      <c r="K789" s="440"/>
      <c r="L789" s="441"/>
    </row>
    <row r="790" spans="1:12" s="27" customFormat="1" ht="12.75" x14ac:dyDescent="0.2">
      <c r="A790" s="28">
        <v>1</v>
      </c>
      <c r="B790" s="86"/>
      <c r="C790" s="87"/>
      <c r="D790" s="87"/>
      <c r="E790" s="86"/>
      <c r="F790" s="31"/>
      <c r="G790" s="33"/>
      <c r="H790" s="33" t="str">
        <f>+IF(B790&lt;&gt;"",IF(OR(F790="Otro",G790="NO"),"NO","SI"),"")</f>
        <v/>
      </c>
      <c r="I790" s="424"/>
      <c r="J790" s="424"/>
      <c r="K790" s="424"/>
      <c r="L790" s="425"/>
    </row>
    <row r="791" spans="1:12" s="27" customFormat="1" ht="12.75" x14ac:dyDescent="0.2">
      <c r="A791" s="38">
        <v>2</v>
      </c>
      <c r="B791" s="39"/>
      <c r="C791" s="46"/>
      <c r="D791" s="46"/>
      <c r="E791" s="39"/>
      <c r="F791" s="41"/>
      <c r="G791" s="43"/>
      <c r="H791" s="43" t="str">
        <f>+IF(B791&lt;&gt;"",IF(OR(F791="Otro",G791="NO"),"NO","SI"),"")</f>
        <v/>
      </c>
      <c r="I791" s="422"/>
      <c r="J791" s="422"/>
      <c r="K791" s="422"/>
      <c r="L791" s="423"/>
    </row>
    <row r="792" spans="1:12" s="27" customFormat="1" ht="12.75" x14ac:dyDescent="0.2">
      <c r="A792" s="38">
        <v>3</v>
      </c>
      <c r="B792" s="39"/>
      <c r="C792" s="46"/>
      <c r="D792" s="46"/>
      <c r="E792" s="39"/>
      <c r="F792" s="41"/>
      <c r="G792" s="43"/>
      <c r="H792" s="43" t="str">
        <f>+IF(B792&lt;&gt;"",IF(OR(F792="Otro",G792="NO"),"NO","SI"),"")</f>
        <v/>
      </c>
      <c r="I792" s="422"/>
      <c r="J792" s="422"/>
      <c r="K792" s="422"/>
      <c r="L792" s="423"/>
    </row>
    <row r="793" spans="1:12" s="27" customFormat="1" ht="13.5" thickBot="1" x14ac:dyDescent="0.25">
      <c r="A793" s="47">
        <v>4</v>
      </c>
      <c r="B793" s="230"/>
      <c r="C793" s="231"/>
      <c r="D793" s="231"/>
      <c r="E793" s="230"/>
      <c r="F793" s="232"/>
      <c r="G793" s="233"/>
      <c r="H793" s="233" t="str">
        <f>+IF(B793&lt;&gt;"",IF(OR(F793="Otro",G793="NO"),"NO","SI"),"")</f>
        <v/>
      </c>
      <c r="I793" s="426"/>
      <c r="J793" s="426"/>
      <c r="K793" s="426"/>
      <c r="L793" s="427"/>
    </row>
    <row r="794" spans="1:12" ht="12.75" customHeight="1" x14ac:dyDescent="0.2">
      <c r="A794" s="197" t="str">
        <f>"D"&amp;A786</f>
        <v>D53</v>
      </c>
      <c r="B794" s="428" t="s">
        <v>538</v>
      </c>
      <c r="C794" s="429"/>
      <c r="D794" s="429"/>
      <c r="E794" s="429"/>
      <c r="F794" s="429"/>
      <c r="G794" s="429"/>
      <c r="H794" s="33"/>
      <c r="I794" s="424"/>
      <c r="J794" s="424"/>
      <c r="K794" s="424"/>
      <c r="L794" s="425"/>
    </row>
    <row r="795" spans="1:12" ht="12.75" customHeight="1" x14ac:dyDescent="0.2">
      <c r="A795" s="234"/>
      <c r="B795" s="420" t="s">
        <v>539</v>
      </c>
      <c r="C795" s="421"/>
      <c r="D795" s="421"/>
      <c r="E795" s="421"/>
      <c r="F795" s="421"/>
      <c r="G795" s="421"/>
      <c r="H795" s="43"/>
      <c r="I795" s="422"/>
      <c r="J795" s="422"/>
      <c r="K795" s="422"/>
      <c r="L795" s="423"/>
    </row>
    <row r="796" spans="1:12" ht="12.75" customHeight="1" x14ac:dyDescent="0.2">
      <c r="A796" s="197" t="str">
        <f>"F"&amp;A786</f>
        <v>F53</v>
      </c>
      <c r="B796" s="420" t="s">
        <v>540</v>
      </c>
      <c r="C796" s="421"/>
      <c r="D796" s="421"/>
      <c r="E796" s="421"/>
      <c r="F796" s="421"/>
      <c r="G796" s="421" t="s">
        <v>541</v>
      </c>
      <c r="H796" s="235" t="s">
        <v>932</v>
      </c>
      <c r="I796" s="422"/>
      <c r="J796" s="422"/>
      <c r="K796" s="422"/>
      <c r="L796" s="423"/>
    </row>
    <row r="797" spans="1:12" ht="12.75" customHeight="1" x14ac:dyDescent="0.2">
      <c r="A797" s="57"/>
      <c r="B797" s="420" t="s">
        <v>542</v>
      </c>
      <c r="C797" s="421"/>
      <c r="D797" s="421"/>
      <c r="E797" s="421"/>
      <c r="F797" s="421"/>
      <c r="G797" s="421" t="s">
        <v>543</v>
      </c>
      <c r="H797" s="236" t="str">
        <f>+IF(H786&lt;&gt;0,IF(L786&gt;=8,"SI","NO"),"")</f>
        <v/>
      </c>
      <c r="I797" s="422"/>
      <c r="J797" s="422"/>
      <c r="K797" s="422"/>
      <c r="L797" s="423"/>
    </row>
    <row r="798" spans="1:12" ht="13.5" customHeight="1" thickBot="1" x14ac:dyDescent="0.25">
      <c r="A798" s="57"/>
      <c r="B798" s="349" t="s">
        <v>544</v>
      </c>
      <c r="C798" s="350"/>
      <c r="D798" s="350"/>
      <c r="E798" s="350"/>
      <c r="F798" s="350"/>
      <c r="G798" s="350" t="s">
        <v>543</v>
      </c>
      <c r="H798" s="237" t="str">
        <f>+IF(H786&lt;&gt;0,IF(COUNTIF(H790:H793,"SI")&gt;=3,"SI","NO"),"")</f>
        <v/>
      </c>
      <c r="I798" s="416"/>
      <c r="J798" s="416"/>
      <c r="K798" s="416"/>
      <c r="L798" s="417"/>
    </row>
    <row r="799" spans="1:12" ht="16.5" customHeight="1" thickBot="1" x14ac:dyDescent="0.25">
      <c r="A799" s="197" t="str">
        <f>"E"&amp;A786</f>
        <v>E53</v>
      </c>
      <c r="D799" s="418" t="str">
        <f>+D784</f>
        <v>EL PROFESIONAL OFRECIDO POR EL PROPONENTE CUMPLE CON LOS REQUISITOS MÍNIMOS ESTABLECIDOS EN EL NUMERAL 4.1.2. (no se evalúa simultaneidad de procesos en esta celda)</v>
      </c>
      <c r="E799" s="419"/>
      <c r="F799" s="419"/>
      <c r="G799" s="419"/>
      <c r="H799" s="238" t="str">
        <f>IF(H786&lt;&gt;0,IF(AND(H795="SI",H797="SI",H798="SI"),"SI","NO"),"")</f>
        <v/>
      </c>
      <c r="J799" s="20"/>
      <c r="K799" s="20"/>
      <c r="L799" s="20"/>
    </row>
    <row r="800" spans="1:12" ht="12" thickBot="1" x14ac:dyDescent="0.25"/>
    <row r="801" spans="1:12" ht="45" x14ac:dyDescent="0.2">
      <c r="A801" s="442">
        <v>54</v>
      </c>
      <c r="B801" s="444" t="s">
        <v>932</v>
      </c>
      <c r="C801" s="444"/>
      <c r="D801" s="444"/>
      <c r="E801" s="444"/>
      <c r="F801" s="444"/>
      <c r="G801" s="446" t="s">
        <v>515</v>
      </c>
      <c r="H801" s="448">
        <v>0</v>
      </c>
      <c r="I801" s="225" t="s">
        <v>516</v>
      </c>
      <c r="J801" s="226" t="s">
        <v>517</v>
      </c>
      <c r="K801" s="450" t="s">
        <v>518</v>
      </c>
      <c r="L801" s="452" t="str">
        <f>+IF(J802&lt;&gt;0,ROUND(($E$4-J802)/360,0),"")</f>
        <v/>
      </c>
    </row>
    <row r="802" spans="1:12" ht="15" thickBot="1" x14ac:dyDescent="0.25">
      <c r="A802" s="443"/>
      <c r="B802" s="445"/>
      <c r="C802" s="445"/>
      <c r="D802" s="445"/>
      <c r="E802" s="445"/>
      <c r="F802" s="445"/>
      <c r="G802" s="447"/>
      <c r="H802" s="449"/>
      <c r="I802" s="227">
        <v>0</v>
      </c>
      <c r="J802" s="228">
        <v>0</v>
      </c>
      <c r="K802" s="451"/>
      <c r="L802" s="453"/>
    </row>
    <row r="803" spans="1:12" ht="11.25" customHeight="1" x14ac:dyDescent="0.2">
      <c r="A803" s="430" t="s">
        <v>171</v>
      </c>
      <c r="B803" s="431" t="s">
        <v>173</v>
      </c>
      <c r="C803" s="432"/>
      <c r="D803" s="432"/>
      <c r="E803" s="433"/>
      <c r="F803" s="434" t="s">
        <v>519</v>
      </c>
      <c r="G803" s="434" t="s">
        <v>520</v>
      </c>
      <c r="H803" s="434" t="s">
        <v>521</v>
      </c>
      <c r="I803" s="436" t="s">
        <v>522</v>
      </c>
      <c r="J803" s="437"/>
      <c r="K803" s="437"/>
      <c r="L803" s="438"/>
    </row>
    <row r="804" spans="1:12" ht="57.75" customHeight="1" thickBot="1" x14ac:dyDescent="0.25">
      <c r="A804" s="430"/>
      <c r="B804" s="26" t="s">
        <v>188</v>
      </c>
      <c r="C804" s="26" t="s">
        <v>189</v>
      </c>
      <c r="D804" s="26" t="s">
        <v>190</v>
      </c>
      <c r="E804" s="26" t="s">
        <v>191</v>
      </c>
      <c r="F804" s="435"/>
      <c r="G804" s="435"/>
      <c r="H804" s="435"/>
      <c r="I804" s="439"/>
      <c r="J804" s="440"/>
      <c r="K804" s="440"/>
      <c r="L804" s="441"/>
    </row>
    <row r="805" spans="1:12" s="27" customFormat="1" ht="12.75" x14ac:dyDescent="0.2">
      <c r="A805" s="28">
        <v>1</v>
      </c>
      <c r="B805" s="86"/>
      <c r="C805" s="87"/>
      <c r="D805" s="87"/>
      <c r="E805" s="86"/>
      <c r="F805" s="31"/>
      <c r="G805" s="33"/>
      <c r="H805" s="33" t="str">
        <f>+IF(B805&lt;&gt;"",IF(OR(F805="Otro",G805="NO"),"NO","SI"),"")</f>
        <v/>
      </c>
      <c r="I805" s="424"/>
      <c r="J805" s="424"/>
      <c r="K805" s="424"/>
      <c r="L805" s="425"/>
    </row>
    <row r="806" spans="1:12" s="27" customFormat="1" ht="12.75" x14ac:dyDescent="0.2">
      <c r="A806" s="38">
        <v>2</v>
      </c>
      <c r="B806" s="39"/>
      <c r="C806" s="46"/>
      <c r="D806" s="46"/>
      <c r="E806" s="39"/>
      <c r="F806" s="41"/>
      <c r="G806" s="43"/>
      <c r="H806" s="43" t="str">
        <f>+IF(B806&lt;&gt;"",IF(OR(F806="Otro",G806="NO"),"NO","SI"),"")</f>
        <v/>
      </c>
      <c r="I806" s="422"/>
      <c r="J806" s="422"/>
      <c r="K806" s="422"/>
      <c r="L806" s="423"/>
    </row>
    <row r="807" spans="1:12" s="27" customFormat="1" ht="12.75" x14ac:dyDescent="0.2">
      <c r="A807" s="38">
        <v>3</v>
      </c>
      <c r="B807" s="39"/>
      <c r="C807" s="46"/>
      <c r="D807" s="46"/>
      <c r="E807" s="39"/>
      <c r="F807" s="41"/>
      <c r="G807" s="43"/>
      <c r="H807" s="43" t="str">
        <f>+IF(B807&lt;&gt;"",IF(OR(F807="Otro",G807="NO"),"NO","SI"),"")</f>
        <v/>
      </c>
      <c r="I807" s="422"/>
      <c r="J807" s="422"/>
      <c r="K807" s="422"/>
      <c r="L807" s="423"/>
    </row>
    <row r="808" spans="1:12" s="27" customFormat="1" ht="13.5" thickBot="1" x14ac:dyDescent="0.25">
      <c r="A808" s="47">
        <v>4</v>
      </c>
      <c r="B808" s="230"/>
      <c r="C808" s="231"/>
      <c r="D808" s="231"/>
      <c r="E808" s="230"/>
      <c r="F808" s="232"/>
      <c r="G808" s="233"/>
      <c r="H808" s="233" t="str">
        <f>+IF(B808&lt;&gt;"",IF(OR(F808="Otro",G808="NO"),"NO","SI"),"")</f>
        <v/>
      </c>
      <c r="I808" s="426"/>
      <c r="J808" s="426"/>
      <c r="K808" s="426"/>
      <c r="L808" s="427"/>
    </row>
    <row r="809" spans="1:12" ht="12.75" customHeight="1" x14ac:dyDescent="0.2">
      <c r="A809" s="197" t="str">
        <f>"D"&amp;A801</f>
        <v>D54</v>
      </c>
      <c r="B809" s="428" t="s">
        <v>538</v>
      </c>
      <c r="C809" s="429"/>
      <c r="D809" s="429"/>
      <c r="E809" s="429"/>
      <c r="F809" s="429"/>
      <c r="G809" s="429"/>
      <c r="H809" s="33"/>
      <c r="I809" s="424"/>
      <c r="J809" s="424"/>
      <c r="K809" s="424"/>
      <c r="L809" s="425"/>
    </row>
    <row r="810" spans="1:12" ht="12.75" customHeight="1" x14ac:dyDescent="0.2">
      <c r="A810" s="234"/>
      <c r="B810" s="420" t="s">
        <v>539</v>
      </c>
      <c r="C810" s="421"/>
      <c r="D810" s="421"/>
      <c r="E810" s="421"/>
      <c r="F810" s="421"/>
      <c r="G810" s="421"/>
      <c r="H810" s="43"/>
      <c r="I810" s="422"/>
      <c r="J810" s="422"/>
      <c r="K810" s="422"/>
      <c r="L810" s="423"/>
    </row>
    <row r="811" spans="1:12" ht="12.75" customHeight="1" x14ac:dyDescent="0.2">
      <c r="A811" s="197" t="str">
        <f>"F"&amp;A801</f>
        <v>F54</v>
      </c>
      <c r="B811" s="420" t="s">
        <v>540</v>
      </c>
      <c r="C811" s="421"/>
      <c r="D811" s="421"/>
      <c r="E811" s="421"/>
      <c r="F811" s="421"/>
      <c r="G811" s="421" t="s">
        <v>541</v>
      </c>
      <c r="H811" s="235" t="s">
        <v>932</v>
      </c>
      <c r="I811" s="422"/>
      <c r="J811" s="422"/>
      <c r="K811" s="422"/>
      <c r="L811" s="423"/>
    </row>
    <row r="812" spans="1:12" ht="12.75" customHeight="1" x14ac:dyDescent="0.2">
      <c r="A812" s="57"/>
      <c r="B812" s="420" t="s">
        <v>542</v>
      </c>
      <c r="C812" s="421"/>
      <c r="D812" s="421"/>
      <c r="E812" s="421"/>
      <c r="F812" s="421"/>
      <c r="G812" s="421" t="s">
        <v>543</v>
      </c>
      <c r="H812" s="236" t="str">
        <f>+IF(H801&lt;&gt;0,IF(L801&gt;=8,"SI","NO"),"")</f>
        <v/>
      </c>
      <c r="I812" s="422"/>
      <c r="J812" s="422"/>
      <c r="K812" s="422"/>
      <c r="L812" s="423"/>
    </row>
    <row r="813" spans="1:12" ht="13.5" customHeight="1" thickBot="1" x14ac:dyDescent="0.25">
      <c r="A813" s="57"/>
      <c r="B813" s="349" t="s">
        <v>544</v>
      </c>
      <c r="C813" s="350"/>
      <c r="D813" s="350"/>
      <c r="E813" s="350"/>
      <c r="F813" s="350"/>
      <c r="G813" s="350" t="s">
        <v>543</v>
      </c>
      <c r="H813" s="237" t="str">
        <f>+IF(H801&lt;&gt;0,IF(COUNTIF(H805:H808,"SI")&gt;=3,"SI","NO"),"")</f>
        <v/>
      </c>
      <c r="I813" s="416"/>
      <c r="J813" s="416"/>
      <c r="K813" s="416"/>
      <c r="L813" s="417"/>
    </row>
    <row r="814" spans="1:12" ht="16.5" customHeight="1" thickBot="1" x14ac:dyDescent="0.25">
      <c r="A814" s="197" t="str">
        <f>"E"&amp;A801</f>
        <v>E54</v>
      </c>
      <c r="D814" s="418" t="str">
        <f>+D799</f>
        <v>EL PROFESIONAL OFRECIDO POR EL PROPONENTE CUMPLE CON LOS REQUISITOS MÍNIMOS ESTABLECIDOS EN EL NUMERAL 4.1.2. (no se evalúa simultaneidad de procesos en esta celda)</v>
      </c>
      <c r="E814" s="419"/>
      <c r="F814" s="419"/>
      <c r="G814" s="419"/>
      <c r="H814" s="238" t="str">
        <f>IF(H801&lt;&gt;0,IF(AND(H810="SI",H812="SI",H813="SI"),"SI","NO"),"")</f>
        <v/>
      </c>
      <c r="J814" s="20"/>
      <c r="K814" s="20"/>
      <c r="L814" s="20"/>
    </row>
    <row r="815" spans="1:12" ht="12" thickBot="1" x14ac:dyDescent="0.25"/>
    <row r="816" spans="1:12" ht="45" x14ac:dyDescent="0.2">
      <c r="A816" s="442">
        <v>55</v>
      </c>
      <c r="B816" s="444" t="s">
        <v>932</v>
      </c>
      <c r="C816" s="444"/>
      <c r="D816" s="444"/>
      <c r="E816" s="444"/>
      <c r="F816" s="444"/>
      <c r="G816" s="446" t="s">
        <v>515</v>
      </c>
      <c r="H816" s="448">
        <v>0</v>
      </c>
      <c r="I816" s="225" t="s">
        <v>516</v>
      </c>
      <c r="J816" s="226" t="s">
        <v>517</v>
      </c>
      <c r="K816" s="450" t="s">
        <v>518</v>
      </c>
      <c r="L816" s="452" t="str">
        <f>+IF(J817&lt;&gt;0,ROUND(($E$4-J817)/360,0),"")</f>
        <v/>
      </c>
    </row>
    <row r="817" spans="1:12" ht="15" thickBot="1" x14ac:dyDescent="0.25">
      <c r="A817" s="443"/>
      <c r="B817" s="445"/>
      <c r="C817" s="445"/>
      <c r="D817" s="445"/>
      <c r="E817" s="445"/>
      <c r="F817" s="445"/>
      <c r="G817" s="447"/>
      <c r="H817" s="449"/>
      <c r="I817" s="227">
        <v>0</v>
      </c>
      <c r="J817" s="228">
        <v>0</v>
      </c>
      <c r="K817" s="451"/>
      <c r="L817" s="453"/>
    </row>
    <row r="818" spans="1:12" ht="11.25" customHeight="1" x14ac:dyDescent="0.2">
      <c r="A818" s="430" t="s">
        <v>171</v>
      </c>
      <c r="B818" s="431" t="s">
        <v>173</v>
      </c>
      <c r="C818" s="432"/>
      <c r="D818" s="432"/>
      <c r="E818" s="433"/>
      <c r="F818" s="434" t="s">
        <v>519</v>
      </c>
      <c r="G818" s="434" t="s">
        <v>520</v>
      </c>
      <c r="H818" s="434" t="s">
        <v>521</v>
      </c>
      <c r="I818" s="436" t="s">
        <v>522</v>
      </c>
      <c r="J818" s="437"/>
      <c r="K818" s="437"/>
      <c r="L818" s="438"/>
    </row>
    <row r="819" spans="1:12" ht="57.75" customHeight="1" thickBot="1" x14ac:dyDescent="0.25">
      <c r="A819" s="430"/>
      <c r="B819" s="26" t="s">
        <v>188</v>
      </c>
      <c r="C819" s="26" t="s">
        <v>189</v>
      </c>
      <c r="D819" s="26" t="s">
        <v>190</v>
      </c>
      <c r="E819" s="26" t="s">
        <v>191</v>
      </c>
      <c r="F819" s="435"/>
      <c r="G819" s="435"/>
      <c r="H819" s="435"/>
      <c r="I819" s="439"/>
      <c r="J819" s="440"/>
      <c r="K819" s="440"/>
      <c r="L819" s="441"/>
    </row>
    <row r="820" spans="1:12" s="27" customFormat="1" ht="12.75" x14ac:dyDescent="0.2">
      <c r="A820" s="28">
        <v>1</v>
      </c>
      <c r="B820" s="86"/>
      <c r="C820" s="87"/>
      <c r="D820" s="87"/>
      <c r="E820" s="86"/>
      <c r="F820" s="31"/>
      <c r="G820" s="33"/>
      <c r="H820" s="33" t="str">
        <f>+IF(B820&lt;&gt;"",IF(OR(F820="Otro",G820="NO"),"NO","SI"),"")</f>
        <v/>
      </c>
      <c r="I820" s="424"/>
      <c r="J820" s="424"/>
      <c r="K820" s="424"/>
      <c r="L820" s="425"/>
    </row>
    <row r="821" spans="1:12" s="27" customFormat="1" ht="12.75" x14ac:dyDescent="0.2">
      <c r="A821" s="38">
        <v>2</v>
      </c>
      <c r="B821" s="39"/>
      <c r="C821" s="46"/>
      <c r="D821" s="46"/>
      <c r="E821" s="39"/>
      <c r="F821" s="41"/>
      <c r="G821" s="43"/>
      <c r="H821" s="43" t="str">
        <f>+IF(B821&lt;&gt;"",IF(OR(F821="Otro",G821="NO"),"NO","SI"),"")</f>
        <v/>
      </c>
      <c r="I821" s="422"/>
      <c r="J821" s="422"/>
      <c r="K821" s="422"/>
      <c r="L821" s="423"/>
    </row>
    <row r="822" spans="1:12" s="27" customFormat="1" ht="12.75" x14ac:dyDescent="0.2">
      <c r="A822" s="38">
        <v>3</v>
      </c>
      <c r="B822" s="39"/>
      <c r="C822" s="46"/>
      <c r="D822" s="46"/>
      <c r="E822" s="39"/>
      <c r="F822" s="41"/>
      <c r="G822" s="43"/>
      <c r="H822" s="43" t="str">
        <f>+IF(B822&lt;&gt;"",IF(OR(F822="Otro",G822="NO"),"NO","SI"),"")</f>
        <v/>
      </c>
      <c r="I822" s="422"/>
      <c r="J822" s="422"/>
      <c r="K822" s="422"/>
      <c r="L822" s="423"/>
    </row>
    <row r="823" spans="1:12" s="27" customFormat="1" ht="13.5" thickBot="1" x14ac:dyDescent="0.25">
      <c r="A823" s="47">
        <v>4</v>
      </c>
      <c r="B823" s="230"/>
      <c r="C823" s="231"/>
      <c r="D823" s="231"/>
      <c r="E823" s="230"/>
      <c r="F823" s="232"/>
      <c r="G823" s="233"/>
      <c r="H823" s="233" t="str">
        <f>+IF(B823&lt;&gt;"",IF(OR(F823="Otro",G823="NO"),"NO","SI"),"")</f>
        <v/>
      </c>
      <c r="I823" s="426"/>
      <c r="J823" s="426"/>
      <c r="K823" s="426"/>
      <c r="L823" s="427"/>
    </row>
    <row r="824" spans="1:12" ht="12.75" customHeight="1" x14ac:dyDescent="0.2">
      <c r="A824" s="197" t="str">
        <f>"D"&amp;A816</f>
        <v>D55</v>
      </c>
      <c r="B824" s="428" t="s">
        <v>538</v>
      </c>
      <c r="C824" s="429"/>
      <c r="D824" s="429"/>
      <c r="E824" s="429"/>
      <c r="F824" s="429"/>
      <c r="G824" s="429"/>
      <c r="H824" s="33"/>
      <c r="I824" s="424"/>
      <c r="J824" s="424"/>
      <c r="K824" s="424"/>
      <c r="L824" s="425"/>
    </row>
    <row r="825" spans="1:12" ht="12.75" customHeight="1" x14ac:dyDescent="0.2">
      <c r="A825" s="234"/>
      <c r="B825" s="420" t="s">
        <v>539</v>
      </c>
      <c r="C825" s="421"/>
      <c r="D825" s="421"/>
      <c r="E825" s="421"/>
      <c r="F825" s="421"/>
      <c r="G825" s="421"/>
      <c r="H825" s="43"/>
      <c r="I825" s="422"/>
      <c r="J825" s="422"/>
      <c r="K825" s="422"/>
      <c r="L825" s="423"/>
    </row>
    <row r="826" spans="1:12" ht="12.75" customHeight="1" x14ac:dyDescent="0.2">
      <c r="A826" s="197" t="str">
        <f>"F"&amp;A816</f>
        <v>F55</v>
      </c>
      <c r="B826" s="420" t="s">
        <v>540</v>
      </c>
      <c r="C826" s="421"/>
      <c r="D826" s="421"/>
      <c r="E826" s="421"/>
      <c r="F826" s="421"/>
      <c r="G826" s="421" t="s">
        <v>541</v>
      </c>
      <c r="H826" s="235" t="s">
        <v>932</v>
      </c>
      <c r="I826" s="422"/>
      <c r="J826" s="422"/>
      <c r="K826" s="422"/>
      <c r="L826" s="423"/>
    </row>
    <row r="827" spans="1:12" ht="12.75" customHeight="1" x14ac:dyDescent="0.2">
      <c r="A827" s="57"/>
      <c r="B827" s="420" t="s">
        <v>542</v>
      </c>
      <c r="C827" s="421"/>
      <c r="D827" s="421"/>
      <c r="E827" s="421"/>
      <c r="F827" s="421"/>
      <c r="G827" s="421" t="s">
        <v>543</v>
      </c>
      <c r="H827" s="236" t="str">
        <f>+IF(H816&lt;&gt;0,IF(L816&gt;=8,"SI","NO"),"")</f>
        <v/>
      </c>
      <c r="I827" s="422"/>
      <c r="J827" s="422"/>
      <c r="K827" s="422"/>
      <c r="L827" s="423"/>
    </row>
    <row r="828" spans="1:12" ht="13.5" customHeight="1" thickBot="1" x14ac:dyDescent="0.25">
      <c r="A828" s="57"/>
      <c r="B828" s="349" t="s">
        <v>544</v>
      </c>
      <c r="C828" s="350"/>
      <c r="D828" s="350"/>
      <c r="E828" s="350"/>
      <c r="F828" s="350"/>
      <c r="G828" s="350" t="s">
        <v>543</v>
      </c>
      <c r="H828" s="237" t="str">
        <f>+IF(H816&lt;&gt;0,IF(COUNTIF(H820:H823,"SI")&gt;=3,"SI","NO"),"")</f>
        <v/>
      </c>
      <c r="I828" s="416"/>
      <c r="J828" s="416"/>
      <c r="K828" s="416"/>
      <c r="L828" s="417"/>
    </row>
    <row r="829" spans="1:12" ht="34.5" customHeight="1" thickBot="1" x14ac:dyDescent="0.25">
      <c r="A829" s="197" t="str">
        <f>"E"&amp;A816</f>
        <v>E55</v>
      </c>
      <c r="D829" s="418" t="str">
        <f>+D814</f>
        <v>EL PROFESIONAL OFRECIDO POR EL PROPONENTE CUMPLE CON LOS REQUISITOS MÍNIMOS ESTABLECIDOS EN EL NUMERAL 4.1.2. (no se evalúa simultaneidad de procesos en esta celda)</v>
      </c>
      <c r="E829" s="419"/>
      <c r="F829" s="419"/>
      <c r="G829" s="419"/>
      <c r="H829" s="238" t="str">
        <f>IF(H816&lt;&gt;0,IF(AND(H825="SI",H827="SI",H828="SI"),"SI","NO"),"")</f>
        <v/>
      </c>
      <c r="J829" s="20"/>
      <c r="K829" s="20"/>
      <c r="L829" s="20"/>
    </row>
  </sheetData>
  <sheetProtection selectLockedCells="1" selectUnlockedCells="1"/>
  <protectedRanges>
    <protectedRange sqref="E4" name="Rango1_5"/>
  </protectedRanges>
  <dataConsolidate/>
  <mergeCells count="1493">
    <mergeCell ref="A4:D4"/>
    <mergeCell ref="F4:L4"/>
    <mergeCell ref="A6:A7"/>
    <mergeCell ref="B6:F7"/>
    <mergeCell ref="G6:G7"/>
    <mergeCell ref="H6:H7"/>
    <mergeCell ref="K6:K7"/>
    <mergeCell ref="L6:L7"/>
    <mergeCell ref="A1:B2"/>
    <mergeCell ref="C1:L1"/>
    <mergeCell ref="C2:L2"/>
    <mergeCell ref="A3:C3"/>
    <mergeCell ref="D3:E3"/>
    <mergeCell ref="F3:L3"/>
    <mergeCell ref="B15:G15"/>
    <mergeCell ref="I15:L15"/>
    <mergeCell ref="B16:G16"/>
    <mergeCell ref="I16:L16"/>
    <mergeCell ref="B17:G17"/>
    <mergeCell ref="I17:L17"/>
    <mergeCell ref="I10:L10"/>
    <mergeCell ref="I11:L11"/>
    <mergeCell ref="I12:L12"/>
    <mergeCell ref="I13:L13"/>
    <mergeCell ref="B14:G14"/>
    <mergeCell ref="I14:L14"/>
    <mergeCell ref="A8:A9"/>
    <mergeCell ref="B8:E8"/>
    <mergeCell ref="F8:F9"/>
    <mergeCell ref="G8:G9"/>
    <mergeCell ref="H8:H9"/>
    <mergeCell ref="I8:L9"/>
    <mergeCell ref="I25:L25"/>
    <mergeCell ref="I26:L26"/>
    <mergeCell ref="I27:L27"/>
    <mergeCell ref="I28:L28"/>
    <mergeCell ref="B29:G29"/>
    <mergeCell ref="I29:L29"/>
    <mergeCell ref="A23:A24"/>
    <mergeCell ref="B23:E23"/>
    <mergeCell ref="F23:F24"/>
    <mergeCell ref="G23:G24"/>
    <mergeCell ref="H23:H24"/>
    <mergeCell ref="I23:L24"/>
    <mergeCell ref="B18:G18"/>
    <mergeCell ref="I18:L18"/>
    <mergeCell ref="D19:G19"/>
    <mergeCell ref="A21:A22"/>
    <mergeCell ref="B21:F22"/>
    <mergeCell ref="G21:G22"/>
    <mergeCell ref="H21:H22"/>
    <mergeCell ref="K21:K22"/>
    <mergeCell ref="L21:L22"/>
    <mergeCell ref="A38:A39"/>
    <mergeCell ref="B38:E38"/>
    <mergeCell ref="F38:F39"/>
    <mergeCell ref="G38:G39"/>
    <mergeCell ref="H38:H39"/>
    <mergeCell ref="I38:L39"/>
    <mergeCell ref="B33:G33"/>
    <mergeCell ref="I33:L33"/>
    <mergeCell ref="D34:G34"/>
    <mergeCell ref="A36:A37"/>
    <mergeCell ref="B36:F37"/>
    <mergeCell ref="G36:G37"/>
    <mergeCell ref="H36:H37"/>
    <mergeCell ref="K36:K37"/>
    <mergeCell ref="L36:L37"/>
    <mergeCell ref="B30:G30"/>
    <mergeCell ref="I30:L30"/>
    <mergeCell ref="B31:G31"/>
    <mergeCell ref="I31:L31"/>
    <mergeCell ref="B32:G32"/>
    <mergeCell ref="I32:L32"/>
    <mergeCell ref="B48:G48"/>
    <mergeCell ref="I48:L48"/>
    <mergeCell ref="D49:G49"/>
    <mergeCell ref="A51:A52"/>
    <mergeCell ref="B51:F52"/>
    <mergeCell ref="G51:G52"/>
    <mergeCell ref="H51:H52"/>
    <mergeCell ref="K51:K52"/>
    <mergeCell ref="L51:L52"/>
    <mergeCell ref="B45:G45"/>
    <mergeCell ref="I45:L45"/>
    <mergeCell ref="B46:G46"/>
    <mergeCell ref="I46:L46"/>
    <mergeCell ref="B47:G47"/>
    <mergeCell ref="I47:L47"/>
    <mergeCell ref="I40:L40"/>
    <mergeCell ref="I41:L41"/>
    <mergeCell ref="I42:L42"/>
    <mergeCell ref="I43:L43"/>
    <mergeCell ref="B44:G44"/>
    <mergeCell ref="I44:L44"/>
    <mergeCell ref="B60:G60"/>
    <mergeCell ref="I60:L60"/>
    <mergeCell ref="B61:G61"/>
    <mergeCell ref="I61:L61"/>
    <mergeCell ref="B62:G62"/>
    <mergeCell ref="I62:L62"/>
    <mergeCell ref="I55:L55"/>
    <mergeCell ref="I56:L56"/>
    <mergeCell ref="I57:L57"/>
    <mergeCell ref="I58:L58"/>
    <mergeCell ref="B59:G59"/>
    <mergeCell ref="I59:L59"/>
    <mergeCell ref="A53:A54"/>
    <mergeCell ref="B53:E53"/>
    <mergeCell ref="F53:F54"/>
    <mergeCell ref="G53:G54"/>
    <mergeCell ref="H53:H54"/>
    <mergeCell ref="I53:L54"/>
    <mergeCell ref="I70:L70"/>
    <mergeCell ref="I71:L71"/>
    <mergeCell ref="I72:L72"/>
    <mergeCell ref="I73:L73"/>
    <mergeCell ref="B74:G74"/>
    <mergeCell ref="I74:L74"/>
    <mergeCell ref="A68:A69"/>
    <mergeCell ref="B68:E68"/>
    <mergeCell ref="F68:F69"/>
    <mergeCell ref="G68:G69"/>
    <mergeCell ref="H68:H69"/>
    <mergeCell ref="I68:L69"/>
    <mergeCell ref="B63:G63"/>
    <mergeCell ref="I63:L63"/>
    <mergeCell ref="D64:G64"/>
    <mergeCell ref="A66:A67"/>
    <mergeCell ref="B66:F67"/>
    <mergeCell ref="G66:G67"/>
    <mergeCell ref="H66:H67"/>
    <mergeCell ref="K66:K67"/>
    <mergeCell ref="L66:L67"/>
    <mergeCell ref="A83:A84"/>
    <mergeCell ref="B83:E83"/>
    <mergeCell ref="F83:F84"/>
    <mergeCell ref="G83:G84"/>
    <mergeCell ref="H83:H84"/>
    <mergeCell ref="I83:L84"/>
    <mergeCell ref="B78:G78"/>
    <mergeCell ref="I78:L78"/>
    <mergeCell ref="D79:G79"/>
    <mergeCell ref="A81:A82"/>
    <mergeCell ref="B81:F82"/>
    <mergeCell ref="G81:G82"/>
    <mergeCell ref="H81:H82"/>
    <mergeCell ref="K81:K82"/>
    <mergeCell ref="L81:L82"/>
    <mergeCell ref="B75:G75"/>
    <mergeCell ref="I75:L75"/>
    <mergeCell ref="B76:G76"/>
    <mergeCell ref="I76:L76"/>
    <mergeCell ref="B77:G77"/>
    <mergeCell ref="I77:L77"/>
    <mergeCell ref="B93:G93"/>
    <mergeCell ref="I93:L93"/>
    <mergeCell ref="D94:G94"/>
    <mergeCell ref="A96:A97"/>
    <mergeCell ref="B96:F97"/>
    <mergeCell ref="G96:G97"/>
    <mergeCell ref="H96:H97"/>
    <mergeCell ref="K96:K97"/>
    <mergeCell ref="L96:L97"/>
    <mergeCell ref="B90:G90"/>
    <mergeCell ref="I90:L90"/>
    <mergeCell ref="B91:G91"/>
    <mergeCell ref="I91:L91"/>
    <mergeCell ref="B92:G92"/>
    <mergeCell ref="I92:L92"/>
    <mergeCell ref="I85:L85"/>
    <mergeCell ref="I86:L86"/>
    <mergeCell ref="I87:L87"/>
    <mergeCell ref="I88:L88"/>
    <mergeCell ref="B89:G89"/>
    <mergeCell ref="I89:L89"/>
    <mergeCell ref="B105:G105"/>
    <mergeCell ref="I105:L105"/>
    <mergeCell ref="B106:G106"/>
    <mergeCell ref="I106:L106"/>
    <mergeCell ref="B107:G107"/>
    <mergeCell ref="I107:L107"/>
    <mergeCell ref="I100:L100"/>
    <mergeCell ref="I101:L101"/>
    <mergeCell ref="I102:L102"/>
    <mergeCell ref="I103:L103"/>
    <mergeCell ref="B104:G104"/>
    <mergeCell ref="I104:L104"/>
    <mergeCell ref="A98:A99"/>
    <mergeCell ref="B98:E98"/>
    <mergeCell ref="F98:F99"/>
    <mergeCell ref="G98:G99"/>
    <mergeCell ref="H98:H99"/>
    <mergeCell ref="I98:L99"/>
    <mergeCell ref="I115:L115"/>
    <mergeCell ref="I116:L116"/>
    <mergeCell ref="I117:L117"/>
    <mergeCell ref="I118:L118"/>
    <mergeCell ref="B119:G119"/>
    <mergeCell ref="I119:L119"/>
    <mergeCell ref="A113:A114"/>
    <mergeCell ref="B113:E113"/>
    <mergeCell ref="F113:F114"/>
    <mergeCell ref="G113:G114"/>
    <mergeCell ref="H113:H114"/>
    <mergeCell ref="I113:L114"/>
    <mergeCell ref="B108:G108"/>
    <mergeCell ref="I108:L108"/>
    <mergeCell ref="D109:G109"/>
    <mergeCell ref="A111:A112"/>
    <mergeCell ref="B111:F112"/>
    <mergeCell ref="G111:G112"/>
    <mergeCell ref="H111:H112"/>
    <mergeCell ref="K111:K112"/>
    <mergeCell ref="L111:L112"/>
    <mergeCell ref="A128:A129"/>
    <mergeCell ref="B128:E128"/>
    <mergeCell ref="F128:F129"/>
    <mergeCell ref="G128:G129"/>
    <mergeCell ref="H128:H129"/>
    <mergeCell ref="I128:L129"/>
    <mergeCell ref="B123:G123"/>
    <mergeCell ref="I123:L123"/>
    <mergeCell ref="D124:G124"/>
    <mergeCell ref="A126:A127"/>
    <mergeCell ref="B126:F127"/>
    <mergeCell ref="G126:G127"/>
    <mergeCell ref="H126:H127"/>
    <mergeCell ref="K126:K127"/>
    <mergeCell ref="L126:L127"/>
    <mergeCell ref="B120:G120"/>
    <mergeCell ref="I120:L120"/>
    <mergeCell ref="B121:G121"/>
    <mergeCell ref="I121:L121"/>
    <mergeCell ref="B122:G122"/>
    <mergeCell ref="I122:L122"/>
    <mergeCell ref="B138:G138"/>
    <mergeCell ref="I138:L138"/>
    <mergeCell ref="D139:G139"/>
    <mergeCell ref="A141:A142"/>
    <mergeCell ref="B141:F142"/>
    <mergeCell ref="G141:G142"/>
    <mergeCell ref="H141:H142"/>
    <mergeCell ref="K141:K142"/>
    <mergeCell ref="L141:L142"/>
    <mergeCell ref="B135:G135"/>
    <mergeCell ref="I135:L135"/>
    <mergeCell ref="B136:G136"/>
    <mergeCell ref="I136:L136"/>
    <mergeCell ref="B137:G137"/>
    <mergeCell ref="I137:L137"/>
    <mergeCell ref="I130:L130"/>
    <mergeCell ref="I131:L131"/>
    <mergeCell ref="I132:L132"/>
    <mergeCell ref="I133:L133"/>
    <mergeCell ref="B134:G134"/>
    <mergeCell ref="I134:L134"/>
    <mergeCell ref="B150:G150"/>
    <mergeCell ref="I150:L150"/>
    <mergeCell ref="B151:G151"/>
    <mergeCell ref="I151:L151"/>
    <mergeCell ref="B152:G152"/>
    <mergeCell ref="I152:L152"/>
    <mergeCell ref="I145:L145"/>
    <mergeCell ref="I146:L146"/>
    <mergeCell ref="I147:L147"/>
    <mergeCell ref="I148:L148"/>
    <mergeCell ref="B149:G149"/>
    <mergeCell ref="I149:L149"/>
    <mergeCell ref="A143:A144"/>
    <mergeCell ref="B143:E143"/>
    <mergeCell ref="F143:F144"/>
    <mergeCell ref="G143:G144"/>
    <mergeCell ref="H143:H144"/>
    <mergeCell ref="I143:L144"/>
    <mergeCell ref="I160:L160"/>
    <mergeCell ref="I161:L161"/>
    <mergeCell ref="I162:L162"/>
    <mergeCell ref="I163:L163"/>
    <mergeCell ref="B164:G164"/>
    <mergeCell ref="I164:L164"/>
    <mergeCell ref="A158:A159"/>
    <mergeCell ref="B158:E158"/>
    <mergeCell ref="F158:F159"/>
    <mergeCell ref="G158:G159"/>
    <mergeCell ref="H158:H159"/>
    <mergeCell ref="I158:L159"/>
    <mergeCell ref="B153:G153"/>
    <mergeCell ref="I153:L153"/>
    <mergeCell ref="D154:G154"/>
    <mergeCell ref="A156:A157"/>
    <mergeCell ref="B156:F157"/>
    <mergeCell ref="G156:G157"/>
    <mergeCell ref="H156:H157"/>
    <mergeCell ref="K156:K157"/>
    <mergeCell ref="L156:L157"/>
    <mergeCell ref="A173:A174"/>
    <mergeCell ref="B173:E173"/>
    <mergeCell ref="F173:F174"/>
    <mergeCell ref="G173:G174"/>
    <mergeCell ref="H173:H174"/>
    <mergeCell ref="I173:L174"/>
    <mergeCell ref="B168:G168"/>
    <mergeCell ref="I168:L168"/>
    <mergeCell ref="D169:G169"/>
    <mergeCell ref="A171:A172"/>
    <mergeCell ref="B171:F172"/>
    <mergeCell ref="G171:G172"/>
    <mergeCell ref="H171:H172"/>
    <mergeCell ref="K171:K172"/>
    <mergeCell ref="L171:L172"/>
    <mergeCell ref="B165:G165"/>
    <mergeCell ref="I165:L165"/>
    <mergeCell ref="B166:G166"/>
    <mergeCell ref="I166:L166"/>
    <mergeCell ref="B167:G167"/>
    <mergeCell ref="I167:L167"/>
    <mergeCell ref="B183:G183"/>
    <mergeCell ref="I183:L183"/>
    <mergeCell ref="D184:G184"/>
    <mergeCell ref="A186:A187"/>
    <mergeCell ref="B186:F187"/>
    <mergeCell ref="G186:G187"/>
    <mergeCell ref="H186:H187"/>
    <mergeCell ref="K186:K187"/>
    <mergeCell ref="L186:L187"/>
    <mergeCell ref="B180:G180"/>
    <mergeCell ref="I180:L180"/>
    <mergeCell ref="B181:G181"/>
    <mergeCell ref="I181:L181"/>
    <mergeCell ref="B182:G182"/>
    <mergeCell ref="I182:L182"/>
    <mergeCell ref="I175:L175"/>
    <mergeCell ref="I176:L176"/>
    <mergeCell ref="I177:L177"/>
    <mergeCell ref="I178:L178"/>
    <mergeCell ref="B179:G179"/>
    <mergeCell ref="I179:L179"/>
    <mergeCell ref="B195:G195"/>
    <mergeCell ref="I195:L195"/>
    <mergeCell ref="B196:G196"/>
    <mergeCell ref="I196:L196"/>
    <mergeCell ref="B197:G197"/>
    <mergeCell ref="I197:L197"/>
    <mergeCell ref="I190:L190"/>
    <mergeCell ref="I191:L191"/>
    <mergeCell ref="I192:L192"/>
    <mergeCell ref="I193:L193"/>
    <mergeCell ref="B194:G194"/>
    <mergeCell ref="I194:L194"/>
    <mergeCell ref="A188:A189"/>
    <mergeCell ref="B188:E188"/>
    <mergeCell ref="F188:F189"/>
    <mergeCell ref="G188:G189"/>
    <mergeCell ref="H188:H189"/>
    <mergeCell ref="I188:L189"/>
    <mergeCell ref="I205:L205"/>
    <mergeCell ref="I206:L206"/>
    <mergeCell ref="I207:L207"/>
    <mergeCell ref="I208:L208"/>
    <mergeCell ref="B209:G209"/>
    <mergeCell ref="I209:L209"/>
    <mergeCell ref="A203:A204"/>
    <mergeCell ref="B203:E203"/>
    <mergeCell ref="F203:F204"/>
    <mergeCell ref="G203:G204"/>
    <mergeCell ref="H203:H204"/>
    <mergeCell ref="I203:L204"/>
    <mergeCell ref="B198:G198"/>
    <mergeCell ref="I198:L198"/>
    <mergeCell ref="D199:G199"/>
    <mergeCell ref="A201:A202"/>
    <mergeCell ref="B201:F202"/>
    <mergeCell ref="G201:G202"/>
    <mergeCell ref="H201:H202"/>
    <mergeCell ref="K201:K202"/>
    <mergeCell ref="L201:L202"/>
    <mergeCell ref="A218:A219"/>
    <mergeCell ref="B218:E218"/>
    <mergeCell ref="F218:F219"/>
    <mergeCell ref="G218:G219"/>
    <mergeCell ref="H218:H219"/>
    <mergeCell ref="I218:L219"/>
    <mergeCell ref="B213:G213"/>
    <mergeCell ref="I213:L213"/>
    <mergeCell ref="D214:G214"/>
    <mergeCell ref="A216:A217"/>
    <mergeCell ref="B216:F217"/>
    <mergeCell ref="G216:G217"/>
    <mergeCell ref="H216:H217"/>
    <mergeCell ref="K216:K217"/>
    <mergeCell ref="L216:L217"/>
    <mergeCell ref="B210:G210"/>
    <mergeCell ref="I210:L210"/>
    <mergeCell ref="B211:G211"/>
    <mergeCell ref="I211:L211"/>
    <mergeCell ref="B212:G212"/>
    <mergeCell ref="I212:L212"/>
    <mergeCell ref="B228:G228"/>
    <mergeCell ref="I228:L228"/>
    <mergeCell ref="D229:G229"/>
    <mergeCell ref="A231:A232"/>
    <mergeCell ref="B231:F232"/>
    <mergeCell ref="G231:G232"/>
    <mergeCell ref="H231:H232"/>
    <mergeCell ref="K231:K232"/>
    <mergeCell ref="L231:L232"/>
    <mergeCell ref="B225:G225"/>
    <mergeCell ref="I225:L225"/>
    <mergeCell ref="B226:G226"/>
    <mergeCell ref="I226:L226"/>
    <mergeCell ref="B227:G227"/>
    <mergeCell ref="I227:L227"/>
    <mergeCell ref="I220:L220"/>
    <mergeCell ref="I221:L221"/>
    <mergeCell ref="I222:L222"/>
    <mergeCell ref="I223:L223"/>
    <mergeCell ref="B224:G224"/>
    <mergeCell ref="I224:L224"/>
    <mergeCell ref="B240:G240"/>
    <mergeCell ref="I240:L240"/>
    <mergeCell ref="B241:G241"/>
    <mergeCell ref="I241:L241"/>
    <mergeCell ref="B242:G242"/>
    <mergeCell ref="I242:L242"/>
    <mergeCell ref="I235:L235"/>
    <mergeCell ref="I236:L236"/>
    <mergeCell ref="I237:L237"/>
    <mergeCell ref="I238:L238"/>
    <mergeCell ref="B239:G239"/>
    <mergeCell ref="I239:L239"/>
    <mergeCell ref="A233:A234"/>
    <mergeCell ref="B233:E233"/>
    <mergeCell ref="F233:F234"/>
    <mergeCell ref="G233:G234"/>
    <mergeCell ref="H233:H234"/>
    <mergeCell ref="I233:L234"/>
    <mergeCell ref="I250:L250"/>
    <mergeCell ref="I251:L251"/>
    <mergeCell ref="I252:L252"/>
    <mergeCell ref="I253:L253"/>
    <mergeCell ref="B254:G254"/>
    <mergeCell ref="I254:L254"/>
    <mergeCell ref="A248:A249"/>
    <mergeCell ref="B248:E248"/>
    <mergeCell ref="F248:F249"/>
    <mergeCell ref="G248:G249"/>
    <mergeCell ref="H248:H249"/>
    <mergeCell ref="I248:L249"/>
    <mergeCell ref="B243:G243"/>
    <mergeCell ref="I243:L243"/>
    <mergeCell ref="D244:G244"/>
    <mergeCell ref="A246:A247"/>
    <mergeCell ref="B246:F247"/>
    <mergeCell ref="G246:G247"/>
    <mergeCell ref="H246:H247"/>
    <mergeCell ref="K246:K247"/>
    <mergeCell ref="L246:L247"/>
    <mergeCell ref="A263:A264"/>
    <mergeCell ref="B263:E263"/>
    <mergeCell ref="F263:F264"/>
    <mergeCell ref="G263:G264"/>
    <mergeCell ref="H263:H264"/>
    <mergeCell ref="I263:L264"/>
    <mergeCell ref="B258:G258"/>
    <mergeCell ref="I258:L258"/>
    <mergeCell ref="D259:G259"/>
    <mergeCell ref="A261:A262"/>
    <mergeCell ref="B261:F262"/>
    <mergeCell ref="G261:G262"/>
    <mergeCell ref="H261:H262"/>
    <mergeCell ref="K261:K262"/>
    <mergeCell ref="L261:L262"/>
    <mergeCell ref="B255:G255"/>
    <mergeCell ref="I255:L255"/>
    <mergeCell ref="B256:G256"/>
    <mergeCell ref="I256:L256"/>
    <mergeCell ref="B257:G257"/>
    <mergeCell ref="I257:L257"/>
    <mergeCell ref="B273:G273"/>
    <mergeCell ref="I273:L273"/>
    <mergeCell ref="D274:G274"/>
    <mergeCell ref="A276:A277"/>
    <mergeCell ref="B276:F277"/>
    <mergeCell ref="G276:G277"/>
    <mergeCell ref="H276:H277"/>
    <mergeCell ref="K276:K277"/>
    <mergeCell ref="L276:L277"/>
    <mergeCell ref="B270:G270"/>
    <mergeCell ref="I270:L270"/>
    <mergeCell ref="B271:G271"/>
    <mergeCell ref="I271:L271"/>
    <mergeCell ref="B272:G272"/>
    <mergeCell ref="I272:L272"/>
    <mergeCell ref="I265:L265"/>
    <mergeCell ref="I266:L266"/>
    <mergeCell ref="I267:L267"/>
    <mergeCell ref="I268:L268"/>
    <mergeCell ref="B269:G269"/>
    <mergeCell ref="I269:L269"/>
    <mergeCell ref="B285:G285"/>
    <mergeCell ref="I285:L285"/>
    <mergeCell ref="B286:G286"/>
    <mergeCell ref="I286:L286"/>
    <mergeCell ref="B287:G287"/>
    <mergeCell ref="I287:L287"/>
    <mergeCell ref="I280:L280"/>
    <mergeCell ref="I281:L281"/>
    <mergeCell ref="I282:L282"/>
    <mergeCell ref="I283:L283"/>
    <mergeCell ref="B284:G284"/>
    <mergeCell ref="I284:L284"/>
    <mergeCell ref="A278:A279"/>
    <mergeCell ref="B278:E278"/>
    <mergeCell ref="F278:F279"/>
    <mergeCell ref="G278:G279"/>
    <mergeCell ref="H278:H279"/>
    <mergeCell ref="I278:L279"/>
    <mergeCell ref="I295:L295"/>
    <mergeCell ref="I296:L296"/>
    <mergeCell ref="I297:L297"/>
    <mergeCell ref="I298:L298"/>
    <mergeCell ref="B299:G299"/>
    <mergeCell ref="I299:L299"/>
    <mergeCell ref="A293:A294"/>
    <mergeCell ref="B293:E293"/>
    <mergeCell ref="F293:F294"/>
    <mergeCell ref="G293:G294"/>
    <mergeCell ref="H293:H294"/>
    <mergeCell ref="I293:L294"/>
    <mergeCell ref="B288:G288"/>
    <mergeCell ref="I288:L288"/>
    <mergeCell ref="D289:G289"/>
    <mergeCell ref="A291:A292"/>
    <mergeCell ref="B291:F292"/>
    <mergeCell ref="G291:G292"/>
    <mergeCell ref="H291:H292"/>
    <mergeCell ref="K291:K292"/>
    <mergeCell ref="L291:L292"/>
    <mergeCell ref="A308:A309"/>
    <mergeCell ref="B308:E308"/>
    <mergeCell ref="F308:F309"/>
    <mergeCell ref="G308:G309"/>
    <mergeCell ref="H308:H309"/>
    <mergeCell ref="I308:L309"/>
    <mergeCell ref="B303:G303"/>
    <mergeCell ref="I303:L303"/>
    <mergeCell ref="D304:G304"/>
    <mergeCell ref="A306:A307"/>
    <mergeCell ref="B306:F307"/>
    <mergeCell ref="G306:G307"/>
    <mergeCell ref="H306:H307"/>
    <mergeCell ref="K306:K307"/>
    <mergeCell ref="L306:L307"/>
    <mergeCell ref="B300:G300"/>
    <mergeCell ref="I300:L300"/>
    <mergeCell ref="B301:G301"/>
    <mergeCell ref="I301:L301"/>
    <mergeCell ref="B302:G302"/>
    <mergeCell ref="I302:L302"/>
    <mergeCell ref="B318:G318"/>
    <mergeCell ref="I318:L318"/>
    <mergeCell ref="D319:G319"/>
    <mergeCell ref="A321:A322"/>
    <mergeCell ref="B321:F322"/>
    <mergeCell ref="G321:G322"/>
    <mergeCell ref="H321:H322"/>
    <mergeCell ref="K321:K322"/>
    <mergeCell ref="L321:L322"/>
    <mergeCell ref="B315:G315"/>
    <mergeCell ref="I315:L315"/>
    <mergeCell ref="B316:G316"/>
    <mergeCell ref="I316:L316"/>
    <mergeCell ref="B317:G317"/>
    <mergeCell ref="I317:L317"/>
    <mergeCell ref="I310:L310"/>
    <mergeCell ref="I311:L311"/>
    <mergeCell ref="I312:L312"/>
    <mergeCell ref="I313:L313"/>
    <mergeCell ref="B314:G314"/>
    <mergeCell ref="I314:L314"/>
    <mergeCell ref="B330:G330"/>
    <mergeCell ref="I330:L330"/>
    <mergeCell ref="B331:G331"/>
    <mergeCell ref="I331:L331"/>
    <mergeCell ref="B332:G332"/>
    <mergeCell ref="I332:L332"/>
    <mergeCell ref="I325:L325"/>
    <mergeCell ref="I326:L326"/>
    <mergeCell ref="I327:L327"/>
    <mergeCell ref="I328:L328"/>
    <mergeCell ref="B329:G329"/>
    <mergeCell ref="I329:L329"/>
    <mergeCell ref="A323:A324"/>
    <mergeCell ref="B323:E323"/>
    <mergeCell ref="F323:F324"/>
    <mergeCell ref="G323:G324"/>
    <mergeCell ref="H323:H324"/>
    <mergeCell ref="I323:L324"/>
    <mergeCell ref="I340:L340"/>
    <mergeCell ref="I341:L341"/>
    <mergeCell ref="I342:L342"/>
    <mergeCell ref="I343:L343"/>
    <mergeCell ref="B344:G344"/>
    <mergeCell ref="I344:L344"/>
    <mergeCell ref="A338:A339"/>
    <mergeCell ref="B338:E338"/>
    <mergeCell ref="F338:F339"/>
    <mergeCell ref="G338:G339"/>
    <mergeCell ref="H338:H339"/>
    <mergeCell ref="I338:L339"/>
    <mergeCell ref="B333:G333"/>
    <mergeCell ref="I333:L333"/>
    <mergeCell ref="D334:G334"/>
    <mergeCell ref="A336:A337"/>
    <mergeCell ref="B336:F337"/>
    <mergeCell ref="G336:G337"/>
    <mergeCell ref="H336:H337"/>
    <mergeCell ref="K336:K337"/>
    <mergeCell ref="L336:L337"/>
    <mergeCell ref="A353:A354"/>
    <mergeCell ref="B353:E353"/>
    <mergeCell ref="F353:F354"/>
    <mergeCell ref="G353:G354"/>
    <mergeCell ref="H353:H354"/>
    <mergeCell ref="I353:L354"/>
    <mergeCell ref="B348:G348"/>
    <mergeCell ref="I348:L348"/>
    <mergeCell ref="D349:G349"/>
    <mergeCell ref="A351:A352"/>
    <mergeCell ref="B351:F352"/>
    <mergeCell ref="G351:G352"/>
    <mergeCell ref="H351:H352"/>
    <mergeCell ref="K351:K352"/>
    <mergeCell ref="L351:L352"/>
    <mergeCell ref="B345:G345"/>
    <mergeCell ref="I345:L345"/>
    <mergeCell ref="B346:G346"/>
    <mergeCell ref="I346:L346"/>
    <mergeCell ref="B347:G347"/>
    <mergeCell ref="I347:L347"/>
    <mergeCell ref="B363:G363"/>
    <mergeCell ref="I363:L363"/>
    <mergeCell ref="D364:G364"/>
    <mergeCell ref="A366:A367"/>
    <mergeCell ref="B366:F367"/>
    <mergeCell ref="G366:G367"/>
    <mergeCell ref="H366:H367"/>
    <mergeCell ref="K366:K367"/>
    <mergeCell ref="L366:L367"/>
    <mergeCell ref="B360:G360"/>
    <mergeCell ref="I360:L360"/>
    <mergeCell ref="B361:G361"/>
    <mergeCell ref="I361:L361"/>
    <mergeCell ref="B362:G362"/>
    <mergeCell ref="I362:L362"/>
    <mergeCell ref="I355:L355"/>
    <mergeCell ref="I356:L356"/>
    <mergeCell ref="I357:L357"/>
    <mergeCell ref="I358:L358"/>
    <mergeCell ref="B359:G359"/>
    <mergeCell ref="I359:L359"/>
    <mergeCell ref="B375:G375"/>
    <mergeCell ref="I375:L375"/>
    <mergeCell ref="B376:G376"/>
    <mergeCell ref="I376:L376"/>
    <mergeCell ref="B377:G377"/>
    <mergeCell ref="I377:L377"/>
    <mergeCell ref="I370:L370"/>
    <mergeCell ref="I371:L371"/>
    <mergeCell ref="I372:L372"/>
    <mergeCell ref="I373:L373"/>
    <mergeCell ref="B374:G374"/>
    <mergeCell ref="I374:L374"/>
    <mergeCell ref="A368:A369"/>
    <mergeCell ref="B368:E368"/>
    <mergeCell ref="F368:F369"/>
    <mergeCell ref="G368:G369"/>
    <mergeCell ref="H368:H369"/>
    <mergeCell ref="I368:L369"/>
    <mergeCell ref="I385:L385"/>
    <mergeCell ref="I386:L386"/>
    <mergeCell ref="I387:L387"/>
    <mergeCell ref="I388:L388"/>
    <mergeCell ref="B389:G389"/>
    <mergeCell ref="I389:L389"/>
    <mergeCell ref="A383:A384"/>
    <mergeCell ref="B383:E383"/>
    <mergeCell ref="F383:F384"/>
    <mergeCell ref="G383:G384"/>
    <mergeCell ref="H383:H384"/>
    <mergeCell ref="I383:L384"/>
    <mergeCell ref="B378:G378"/>
    <mergeCell ref="I378:L378"/>
    <mergeCell ref="D379:G379"/>
    <mergeCell ref="A381:A382"/>
    <mergeCell ref="B381:F382"/>
    <mergeCell ref="G381:G382"/>
    <mergeCell ref="H381:H382"/>
    <mergeCell ref="K381:K382"/>
    <mergeCell ref="L381:L382"/>
    <mergeCell ref="A398:A399"/>
    <mergeCell ref="B398:E398"/>
    <mergeCell ref="F398:F399"/>
    <mergeCell ref="G398:G399"/>
    <mergeCell ref="H398:H399"/>
    <mergeCell ref="I398:L399"/>
    <mergeCell ref="B393:G393"/>
    <mergeCell ref="I393:L393"/>
    <mergeCell ref="D394:G394"/>
    <mergeCell ref="A396:A397"/>
    <mergeCell ref="B396:F397"/>
    <mergeCell ref="G396:G397"/>
    <mergeCell ref="H396:H397"/>
    <mergeCell ref="K396:K397"/>
    <mergeCell ref="L396:L397"/>
    <mergeCell ref="B390:G390"/>
    <mergeCell ref="I390:L390"/>
    <mergeCell ref="B391:G391"/>
    <mergeCell ref="I391:L391"/>
    <mergeCell ref="B392:G392"/>
    <mergeCell ref="I392:L392"/>
    <mergeCell ref="B408:G408"/>
    <mergeCell ref="I408:L408"/>
    <mergeCell ref="D409:G409"/>
    <mergeCell ref="A411:A412"/>
    <mergeCell ref="B411:F412"/>
    <mergeCell ref="G411:G412"/>
    <mergeCell ref="H411:H412"/>
    <mergeCell ref="K411:K412"/>
    <mergeCell ref="L411:L412"/>
    <mergeCell ref="B405:G405"/>
    <mergeCell ref="I405:L405"/>
    <mergeCell ref="B406:G406"/>
    <mergeCell ref="I406:L406"/>
    <mergeCell ref="B407:G407"/>
    <mergeCell ref="I407:L407"/>
    <mergeCell ref="I400:L400"/>
    <mergeCell ref="I401:L401"/>
    <mergeCell ref="I402:L402"/>
    <mergeCell ref="I403:L403"/>
    <mergeCell ref="B404:G404"/>
    <mergeCell ref="I404:L404"/>
    <mergeCell ref="B420:G420"/>
    <mergeCell ref="I420:L420"/>
    <mergeCell ref="B421:G421"/>
    <mergeCell ref="I421:L421"/>
    <mergeCell ref="B422:G422"/>
    <mergeCell ref="I422:L422"/>
    <mergeCell ref="I415:L415"/>
    <mergeCell ref="I416:L416"/>
    <mergeCell ref="I417:L417"/>
    <mergeCell ref="I418:L418"/>
    <mergeCell ref="B419:G419"/>
    <mergeCell ref="I419:L419"/>
    <mergeCell ref="A413:A414"/>
    <mergeCell ref="B413:E413"/>
    <mergeCell ref="F413:F414"/>
    <mergeCell ref="G413:G414"/>
    <mergeCell ref="H413:H414"/>
    <mergeCell ref="I413:L414"/>
    <mergeCell ref="I430:L430"/>
    <mergeCell ref="I431:L431"/>
    <mergeCell ref="I432:L432"/>
    <mergeCell ref="I433:L433"/>
    <mergeCell ref="B434:G434"/>
    <mergeCell ref="I434:L434"/>
    <mergeCell ref="A428:A429"/>
    <mergeCell ref="B428:E428"/>
    <mergeCell ref="F428:F429"/>
    <mergeCell ref="G428:G429"/>
    <mergeCell ref="H428:H429"/>
    <mergeCell ref="I428:L429"/>
    <mergeCell ref="B423:G423"/>
    <mergeCell ref="I423:L423"/>
    <mergeCell ref="D424:G424"/>
    <mergeCell ref="A426:A427"/>
    <mergeCell ref="B426:F427"/>
    <mergeCell ref="G426:G427"/>
    <mergeCell ref="H426:H427"/>
    <mergeCell ref="K426:K427"/>
    <mergeCell ref="L426:L427"/>
    <mergeCell ref="A443:A444"/>
    <mergeCell ref="B443:E443"/>
    <mergeCell ref="F443:F444"/>
    <mergeCell ref="G443:G444"/>
    <mergeCell ref="H443:H444"/>
    <mergeCell ref="I443:L444"/>
    <mergeCell ref="B438:G438"/>
    <mergeCell ref="I438:L438"/>
    <mergeCell ref="D439:G439"/>
    <mergeCell ref="A441:A442"/>
    <mergeCell ref="B441:F442"/>
    <mergeCell ref="G441:G442"/>
    <mergeCell ref="H441:H442"/>
    <mergeCell ref="K441:K442"/>
    <mergeCell ref="L441:L442"/>
    <mergeCell ref="B435:G435"/>
    <mergeCell ref="I435:L435"/>
    <mergeCell ref="B436:G436"/>
    <mergeCell ref="I436:L436"/>
    <mergeCell ref="B437:G437"/>
    <mergeCell ref="I437:L437"/>
    <mergeCell ref="B453:G453"/>
    <mergeCell ref="I453:L453"/>
    <mergeCell ref="D454:G454"/>
    <mergeCell ref="A456:A457"/>
    <mergeCell ref="B456:F457"/>
    <mergeCell ref="G456:G457"/>
    <mergeCell ref="H456:H457"/>
    <mergeCell ref="K456:K457"/>
    <mergeCell ref="L456:L457"/>
    <mergeCell ref="B450:G450"/>
    <mergeCell ref="I450:L450"/>
    <mergeCell ref="B451:G451"/>
    <mergeCell ref="I451:L451"/>
    <mergeCell ref="B452:G452"/>
    <mergeCell ref="I452:L452"/>
    <mergeCell ref="I445:L445"/>
    <mergeCell ref="I446:L446"/>
    <mergeCell ref="I447:L447"/>
    <mergeCell ref="I448:L448"/>
    <mergeCell ref="B449:G449"/>
    <mergeCell ref="I449:L449"/>
    <mergeCell ref="B465:G465"/>
    <mergeCell ref="I465:L465"/>
    <mergeCell ref="B466:G466"/>
    <mergeCell ref="I466:L466"/>
    <mergeCell ref="B467:G467"/>
    <mergeCell ref="I467:L467"/>
    <mergeCell ref="I460:L460"/>
    <mergeCell ref="I461:L461"/>
    <mergeCell ref="I462:L462"/>
    <mergeCell ref="I463:L463"/>
    <mergeCell ref="B464:G464"/>
    <mergeCell ref="I464:L464"/>
    <mergeCell ref="A458:A459"/>
    <mergeCell ref="B458:E458"/>
    <mergeCell ref="F458:F459"/>
    <mergeCell ref="G458:G459"/>
    <mergeCell ref="H458:H459"/>
    <mergeCell ref="I458:L459"/>
    <mergeCell ref="I475:L475"/>
    <mergeCell ref="I476:L476"/>
    <mergeCell ref="I477:L477"/>
    <mergeCell ref="I478:L478"/>
    <mergeCell ref="B479:G479"/>
    <mergeCell ref="I479:L479"/>
    <mergeCell ref="A473:A474"/>
    <mergeCell ref="B473:E473"/>
    <mergeCell ref="F473:F474"/>
    <mergeCell ref="G473:G474"/>
    <mergeCell ref="H473:H474"/>
    <mergeCell ref="I473:L474"/>
    <mergeCell ref="B468:G468"/>
    <mergeCell ref="I468:L468"/>
    <mergeCell ref="D469:G469"/>
    <mergeCell ref="A471:A472"/>
    <mergeCell ref="B471:F472"/>
    <mergeCell ref="G471:G472"/>
    <mergeCell ref="H471:H472"/>
    <mergeCell ref="K471:K472"/>
    <mergeCell ref="L471:L472"/>
    <mergeCell ref="A488:A489"/>
    <mergeCell ref="B488:E488"/>
    <mergeCell ref="F488:F489"/>
    <mergeCell ref="G488:G489"/>
    <mergeCell ref="H488:H489"/>
    <mergeCell ref="I488:L489"/>
    <mergeCell ref="B483:G483"/>
    <mergeCell ref="I483:L483"/>
    <mergeCell ref="D484:G484"/>
    <mergeCell ref="A486:A487"/>
    <mergeCell ref="B486:F487"/>
    <mergeCell ref="G486:G487"/>
    <mergeCell ref="H486:H487"/>
    <mergeCell ref="K486:K487"/>
    <mergeCell ref="L486:L487"/>
    <mergeCell ref="B480:G480"/>
    <mergeCell ref="I480:L480"/>
    <mergeCell ref="B481:G481"/>
    <mergeCell ref="I481:L481"/>
    <mergeCell ref="B482:G482"/>
    <mergeCell ref="I482:L482"/>
    <mergeCell ref="B498:G498"/>
    <mergeCell ref="I498:L498"/>
    <mergeCell ref="D499:G499"/>
    <mergeCell ref="A501:A502"/>
    <mergeCell ref="B501:F502"/>
    <mergeCell ref="G501:G502"/>
    <mergeCell ref="H501:H502"/>
    <mergeCell ref="K501:K502"/>
    <mergeCell ref="L501:L502"/>
    <mergeCell ref="B495:G495"/>
    <mergeCell ref="I495:L495"/>
    <mergeCell ref="B496:G496"/>
    <mergeCell ref="I496:L496"/>
    <mergeCell ref="B497:G497"/>
    <mergeCell ref="I497:L497"/>
    <mergeCell ref="I490:L490"/>
    <mergeCell ref="I491:L491"/>
    <mergeCell ref="I492:L492"/>
    <mergeCell ref="I493:L493"/>
    <mergeCell ref="B494:G494"/>
    <mergeCell ref="I494:L494"/>
    <mergeCell ref="B510:G510"/>
    <mergeCell ref="I510:L510"/>
    <mergeCell ref="B511:G511"/>
    <mergeCell ref="I511:L511"/>
    <mergeCell ref="B512:G512"/>
    <mergeCell ref="I512:L512"/>
    <mergeCell ref="I505:L505"/>
    <mergeCell ref="I506:L506"/>
    <mergeCell ref="I507:L507"/>
    <mergeCell ref="I508:L508"/>
    <mergeCell ref="B509:G509"/>
    <mergeCell ref="I509:L509"/>
    <mergeCell ref="A503:A504"/>
    <mergeCell ref="B503:E503"/>
    <mergeCell ref="F503:F504"/>
    <mergeCell ref="G503:G504"/>
    <mergeCell ref="H503:H504"/>
    <mergeCell ref="I503:L504"/>
    <mergeCell ref="I520:L520"/>
    <mergeCell ref="I521:L521"/>
    <mergeCell ref="I522:L522"/>
    <mergeCell ref="I523:L523"/>
    <mergeCell ref="B524:G524"/>
    <mergeCell ref="I524:L524"/>
    <mergeCell ref="A518:A519"/>
    <mergeCell ref="B518:E518"/>
    <mergeCell ref="F518:F519"/>
    <mergeCell ref="G518:G519"/>
    <mergeCell ref="H518:H519"/>
    <mergeCell ref="I518:L519"/>
    <mergeCell ref="B513:G513"/>
    <mergeCell ref="I513:L513"/>
    <mergeCell ref="D514:G514"/>
    <mergeCell ref="A516:A517"/>
    <mergeCell ref="B516:F517"/>
    <mergeCell ref="G516:G517"/>
    <mergeCell ref="H516:H517"/>
    <mergeCell ref="K516:K517"/>
    <mergeCell ref="L516:L517"/>
    <mergeCell ref="A533:A534"/>
    <mergeCell ref="B533:E533"/>
    <mergeCell ref="F533:F534"/>
    <mergeCell ref="G533:G534"/>
    <mergeCell ref="H533:H534"/>
    <mergeCell ref="I533:L534"/>
    <mergeCell ref="B528:G528"/>
    <mergeCell ref="I528:L528"/>
    <mergeCell ref="D529:G529"/>
    <mergeCell ref="A531:A532"/>
    <mergeCell ref="B531:F532"/>
    <mergeCell ref="G531:G532"/>
    <mergeCell ref="H531:H532"/>
    <mergeCell ref="K531:K532"/>
    <mergeCell ref="L531:L532"/>
    <mergeCell ref="B525:G525"/>
    <mergeCell ref="I525:L525"/>
    <mergeCell ref="B526:G526"/>
    <mergeCell ref="I526:L526"/>
    <mergeCell ref="B527:G527"/>
    <mergeCell ref="I527:L527"/>
    <mergeCell ref="B543:G543"/>
    <mergeCell ref="I543:L543"/>
    <mergeCell ref="D544:G544"/>
    <mergeCell ref="A546:A547"/>
    <mergeCell ref="B546:F547"/>
    <mergeCell ref="G546:G547"/>
    <mergeCell ref="H546:H547"/>
    <mergeCell ref="K546:K547"/>
    <mergeCell ref="L546:L547"/>
    <mergeCell ref="B540:G540"/>
    <mergeCell ref="I540:L540"/>
    <mergeCell ref="B541:G541"/>
    <mergeCell ref="I541:L541"/>
    <mergeCell ref="B542:G542"/>
    <mergeCell ref="I542:L542"/>
    <mergeCell ref="I535:L535"/>
    <mergeCell ref="I536:L536"/>
    <mergeCell ref="I537:L537"/>
    <mergeCell ref="I538:L538"/>
    <mergeCell ref="B539:G539"/>
    <mergeCell ref="I539:L539"/>
    <mergeCell ref="B555:G555"/>
    <mergeCell ref="I555:L555"/>
    <mergeCell ref="B556:G556"/>
    <mergeCell ref="I556:L556"/>
    <mergeCell ref="B557:G557"/>
    <mergeCell ref="I557:L557"/>
    <mergeCell ref="I550:L550"/>
    <mergeCell ref="I551:L551"/>
    <mergeCell ref="I552:L552"/>
    <mergeCell ref="I553:L553"/>
    <mergeCell ref="B554:G554"/>
    <mergeCell ref="I554:L554"/>
    <mergeCell ref="A548:A549"/>
    <mergeCell ref="B548:E548"/>
    <mergeCell ref="F548:F549"/>
    <mergeCell ref="G548:G549"/>
    <mergeCell ref="H548:H549"/>
    <mergeCell ref="I548:L549"/>
    <mergeCell ref="I565:L565"/>
    <mergeCell ref="I566:L566"/>
    <mergeCell ref="I567:L567"/>
    <mergeCell ref="I568:L568"/>
    <mergeCell ref="B569:G569"/>
    <mergeCell ref="I569:L569"/>
    <mergeCell ref="A563:A564"/>
    <mergeCell ref="B563:E563"/>
    <mergeCell ref="F563:F564"/>
    <mergeCell ref="G563:G564"/>
    <mergeCell ref="H563:H564"/>
    <mergeCell ref="I563:L564"/>
    <mergeCell ref="B558:G558"/>
    <mergeCell ref="I558:L558"/>
    <mergeCell ref="D559:G559"/>
    <mergeCell ref="A561:A562"/>
    <mergeCell ref="B561:F562"/>
    <mergeCell ref="G561:G562"/>
    <mergeCell ref="H561:H562"/>
    <mergeCell ref="K561:K562"/>
    <mergeCell ref="L561:L562"/>
    <mergeCell ref="A578:A579"/>
    <mergeCell ref="B578:E578"/>
    <mergeCell ref="F578:F579"/>
    <mergeCell ref="G578:G579"/>
    <mergeCell ref="H578:H579"/>
    <mergeCell ref="I578:L579"/>
    <mergeCell ref="B573:G573"/>
    <mergeCell ref="I573:L573"/>
    <mergeCell ref="D574:G574"/>
    <mergeCell ref="A576:A577"/>
    <mergeCell ref="B576:F577"/>
    <mergeCell ref="G576:G577"/>
    <mergeCell ref="H576:H577"/>
    <mergeCell ref="K576:K577"/>
    <mergeCell ref="L576:L577"/>
    <mergeCell ref="B570:G570"/>
    <mergeCell ref="I570:L570"/>
    <mergeCell ref="B571:G571"/>
    <mergeCell ref="I571:L571"/>
    <mergeCell ref="B572:G572"/>
    <mergeCell ref="I572:L572"/>
    <mergeCell ref="B588:G588"/>
    <mergeCell ref="I588:L588"/>
    <mergeCell ref="D589:G589"/>
    <mergeCell ref="A591:A592"/>
    <mergeCell ref="B591:F592"/>
    <mergeCell ref="G591:G592"/>
    <mergeCell ref="H591:H592"/>
    <mergeCell ref="K591:K592"/>
    <mergeCell ref="L591:L592"/>
    <mergeCell ref="B585:G585"/>
    <mergeCell ref="I585:L585"/>
    <mergeCell ref="B586:G586"/>
    <mergeCell ref="I586:L586"/>
    <mergeCell ref="B587:G587"/>
    <mergeCell ref="I587:L587"/>
    <mergeCell ref="I580:L580"/>
    <mergeCell ref="I581:L581"/>
    <mergeCell ref="I582:L582"/>
    <mergeCell ref="I583:L583"/>
    <mergeCell ref="B584:G584"/>
    <mergeCell ref="I584:L584"/>
    <mergeCell ref="B600:G600"/>
    <mergeCell ref="I600:L600"/>
    <mergeCell ref="B601:G601"/>
    <mergeCell ref="I601:L601"/>
    <mergeCell ref="B602:G602"/>
    <mergeCell ref="I602:L602"/>
    <mergeCell ref="I595:L595"/>
    <mergeCell ref="I596:L596"/>
    <mergeCell ref="I597:L597"/>
    <mergeCell ref="I598:L598"/>
    <mergeCell ref="B599:G599"/>
    <mergeCell ref="I599:L599"/>
    <mergeCell ref="A593:A594"/>
    <mergeCell ref="B593:E593"/>
    <mergeCell ref="F593:F594"/>
    <mergeCell ref="G593:G594"/>
    <mergeCell ref="H593:H594"/>
    <mergeCell ref="I593:L594"/>
    <mergeCell ref="I610:L610"/>
    <mergeCell ref="I611:L611"/>
    <mergeCell ref="I612:L612"/>
    <mergeCell ref="I613:L613"/>
    <mergeCell ref="B614:G614"/>
    <mergeCell ref="I614:L614"/>
    <mergeCell ref="A608:A609"/>
    <mergeCell ref="B608:E608"/>
    <mergeCell ref="F608:F609"/>
    <mergeCell ref="G608:G609"/>
    <mergeCell ref="H608:H609"/>
    <mergeCell ref="I608:L609"/>
    <mergeCell ref="B603:G603"/>
    <mergeCell ref="I603:L603"/>
    <mergeCell ref="D604:G604"/>
    <mergeCell ref="A606:A607"/>
    <mergeCell ref="B606:F607"/>
    <mergeCell ref="G606:G607"/>
    <mergeCell ref="H606:H607"/>
    <mergeCell ref="K606:K607"/>
    <mergeCell ref="L606:L607"/>
    <mergeCell ref="A623:A624"/>
    <mergeCell ref="B623:E623"/>
    <mergeCell ref="F623:F624"/>
    <mergeCell ref="G623:G624"/>
    <mergeCell ref="H623:H624"/>
    <mergeCell ref="I623:L624"/>
    <mergeCell ref="B618:G618"/>
    <mergeCell ref="I618:L618"/>
    <mergeCell ref="D619:G619"/>
    <mergeCell ref="A621:A622"/>
    <mergeCell ref="B621:F622"/>
    <mergeCell ref="G621:G622"/>
    <mergeCell ref="H621:H622"/>
    <mergeCell ref="K621:K622"/>
    <mergeCell ref="L621:L622"/>
    <mergeCell ref="B615:G615"/>
    <mergeCell ref="I615:L615"/>
    <mergeCell ref="B616:G616"/>
    <mergeCell ref="I616:L616"/>
    <mergeCell ref="B617:G617"/>
    <mergeCell ref="I617:L617"/>
    <mergeCell ref="B633:G633"/>
    <mergeCell ref="I633:L633"/>
    <mergeCell ref="D634:G634"/>
    <mergeCell ref="A636:A637"/>
    <mergeCell ref="B636:F637"/>
    <mergeCell ref="G636:G637"/>
    <mergeCell ref="H636:H637"/>
    <mergeCell ref="K636:K637"/>
    <mergeCell ref="L636:L637"/>
    <mergeCell ref="B630:G630"/>
    <mergeCell ref="I630:L630"/>
    <mergeCell ref="B631:G631"/>
    <mergeCell ref="I631:L631"/>
    <mergeCell ref="B632:G632"/>
    <mergeCell ref="I632:L632"/>
    <mergeCell ref="I625:L625"/>
    <mergeCell ref="I626:L626"/>
    <mergeCell ref="I627:L627"/>
    <mergeCell ref="I628:L628"/>
    <mergeCell ref="B629:G629"/>
    <mergeCell ref="I629:L629"/>
    <mergeCell ref="B645:G645"/>
    <mergeCell ref="I645:L645"/>
    <mergeCell ref="B646:G646"/>
    <mergeCell ref="I646:L646"/>
    <mergeCell ref="B647:G647"/>
    <mergeCell ref="I647:L647"/>
    <mergeCell ref="I640:L640"/>
    <mergeCell ref="I641:L641"/>
    <mergeCell ref="I642:L642"/>
    <mergeCell ref="I643:L643"/>
    <mergeCell ref="B644:G644"/>
    <mergeCell ref="I644:L644"/>
    <mergeCell ref="A638:A639"/>
    <mergeCell ref="B638:E638"/>
    <mergeCell ref="F638:F639"/>
    <mergeCell ref="G638:G639"/>
    <mergeCell ref="H638:H639"/>
    <mergeCell ref="I638:L639"/>
    <mergeCell ref="I655:L655"/>
    <mergeCell ref="I656:L656"/>
    <mergeCell ref="I657:L657"/>
    <mergeCell ref="I658:L658"/>
    <mergeCell ref="B659:G659"/>
    <mergeCell ref="I659:L659"/>
    <mergeCell ref="A653:A654"/>
    <mergeCell ref="B653:E653"/>
    <mergeCell ref="F653:F654"/>
    <mergeCell ref="G653:G654"/>
    <mergeCell ref="H653:H654"/>
    <mergeCell ref="I653:L654"/>
    <mergeCell ref="B648:G648"/>
    <mergeCell ref="I648:L648"/>
    <mergeCell ref="D649:G649"/>
    <mergeCell ref="A651:A652"/>
    <mergeCell ref="B651:F652"/>
    <mergeCell ref="G651:G652"/>
    <mergeCell ref="H651:H652"/>
    <mergeCell ref="K651:K652"/>
    <mergeCell ref="L651:L652"/>
    <mergeCell ref="A668:A669"/>
    <mergeCell ref="B668:E668"/>
    <mergeCell ref="F668:F669"/>
    <mergeCell ref="G668:G669"/>
    <mergeCell ref="H668:H669"/>
    <mergeCell ref="I668:L669"/>
    <mergeCell ref="B663:G663"/>
    <mergeCell ref="I663:L663"/>
    <mergeCell ref="D664:G664"/>
    <mergeCell ref="A666:A667"/>
    <mergeCell ref="B666:F667"/>
    <mergeCell ref="G666:G667"/>
    <mergeCell ref="H666:H667"/>
    <mergeCell ref="K666:K667"/>
    <mergeCell ref="L666:L667"/>
    <mergeCell ref="B660:G660"/>
    <mergeCell ref="I660:L660"/>
    <mergeCell ref="B661:G661"/>
    <mergeCell ref="I661:L661"/>
    <mergeCell ref="B662:G662"/>
    <mergeCell ref="I662:L662"/>
    <mergeCell ref="B678:G678"/>
    <mergeCell ref="I678:L678"/>
    <mergeCell ref="D679:G679"/>
    <mergeCell ref="A681:A682"/>
    <mergeCell ref="B681:F682"/>
    <mergeCell ref="G681:G682"/>
    <mergeCell ref="H681:H682"/>
    <mergeCell ref="K681:K682"/>
    <mergeCell ref="L681:L682"/>
    <mergeCell ref="B675:G675"/>
    <mergeCell ref="I675:L675"/>
    <mergeCell ref="B676:G676"/>
    <mergeCell ref="I676:L676"/>
    <mergeCell ref="B677:G677"/>
    <mergeCell ref="I677:L677"/>
    <mergeCell ref="I670:L670"/>
    <mergeCell ref="I671:L671"/>
    <mergeCell ref="I672:L672"/>
    <mergeCell ref="I673:L673"/>
    <mergeCell ref="B674:G674"/>
    <mergeCell ref="I674:L674"/>
    <mergeCell ref="B690:G690"/>
    <mergeCell ref="I690:L690"/>
    <mergeCell ref="B691:G691"/>
    <mergeCell ref="I691:L691"/>
    <mergeCell ref="B692:G692"/>
    <mergeCell ref="I692:L692"/>
    <mergeCell ref="I685:L685"/>
    <mergeCell ref="I686:L686"/>
    <mergeCell ref="I687:L687"/>
    <mergeCell ref="I688:L688"/>
    <mergeCell ref="B689:G689"/>
    <mergeCell ref="I689:L689"/>
    <mergeCell ref="A683:A684"/>
    <mergeCell ref="B683:E683"/>
    <mergeCell ref="F683:F684"/>
    <mergeCell ref="G683:G684"/>
    <mergeCell ref="H683:H684"/>
    <mergeCell ref="I683:L684"/>
    <mergeCell ref="I700:L700"/>
    <mergeCell ref="I701:L701"/>
    <mergeCell ref="I702:L702"/>
    <mergeCell ref="I703:L703"/>
    <mergeCell ref="B704:G704"/>
    <mergeCell ref="I704:L704"/>
    <mergeCell ref="A698:A699"/>
    <mergeCell ref="B698:E698"/>
    <mergeCell ref="F698:F699"/>
    <mergeCell ref="G698:G699"/>
    <mergeCell ref="H698:H699"/>
    <mergeCell ref="I698:L699"/>
    <mergeCell ref="B693:G693"/>
    <mergeCell ref="I693:L693"/>
    <mergeCell ref="D694:G694"/>
    <mergeCell ref="A696:A697"/>
    <mergeCell ref="B696:F697"/>
    <mergeCell ref="G696:G697"/>
    <mergeCell ref="H696:H697"/>
    <mergeCell ref="K696:K697"/>
    <mergeCell ref="L696:L697"/>
    <mergeCell ref="A713:A714"/>
    <mergeCell ref="B713:E713"/>
    <mergeCell ref="F713:F714"/>
    <mergeCell ref="G713:G714"/>
    <mergeCell ref="H713:H714"/>
    <mergeCell ref="I713:L714"/>
    <mergeCell ref="B708:G708"/>
    <mergeCell ref="I708:L708"/>
    <mergeCell ref="D709:G709"/>
    <mergeCell ref="A711:A712"/>
    <mergeCell ref="B711:F712"/>
    <mergeCell ref="G711:G712"/>
    <mergeCell ref="H711:H712"/>
    <mergeCell ref="K711:K712"/>
    <mergeCell ref="L711:L712"/>
    <mergeCell ref="B705:G705"/>
    <mergeCell ref="I705:L705"/>
    <mergeCell ref="B706:G706"/>
    <mergeCell ref="I706:L706"/>
    <mergeCell ref="B707:G707"/>
    <mergeCell ref="I707:L707"/>
    <mergeCell ref="B723:G723"/>
    <mergeCell ref="I723:L723"/>
    <mergeCell ref="D724:G724"/>
    <mergeCell ref="A726:A727"/>
    <mergeCell ref="B726:F727"/>
    <mergeCell ref="G726:G727"/>
    <mergeCell ref="H726:H727"/>
    <mergeCell ref="K726:K727"/>
    <mergeCell ref="L726:L727"/>
    <mergeCell ref="B720:G720"/>
    <mergeCell ref="I720:L720"/>
    <mergeCell ref="B721:G721"/>
    <mergeCell ref="I721:L721"/>
    <mergeCell ref="B722:G722"/>
    <mergeCell ref="I722:L722"/>
    <mergeCell ref="I715:L715"/>
    <mergeCell ref="I716:L716"/>
    <mergeCell ref="I717:L717"/>
    <mergeCell ref="I718:L718"/>
    <mergeCell ref="B719:G719"/>
    <mergeCell ref="I719:L719"/>
    <mergeCell ref="B735:G735"/>
    <mergeCell ref="I735:L735"/>
    <mergeCell ref="B736:G736"/>
    <mergeCell ref="I736:L736"/>
    <mergeCell ref="B737:G737"/>
    <mergeCell ref="I737:L737"/>
    <mergeCell ref="I730:L730"/>
    <mergeCell ref="I731:L731"/>
    <mergeCell ref="I732:L732"/>
    <mergeCell ref="I733:L733"/>
    <mergeCell ref="B734:G734"/>
    <mergeCell ref="I734:L734"/>
    <mergeCell ref="A728:A729"/>
    <mergeCell ref="B728:E728"/>
    <mergeCell ref="F728:F729"/>
    <mergeCell ref="G728:G729"/>
    <mergeCell ref="H728:H729"/>
    <mergeCell ref="I728:L729"/>
    <mergeCell ref="I745:L745"/>
    <mergeCell ref="I746:L746"/>
    <mergeCell ref="I747:L747"/>
    <mergeCell ref="I748:L748"/>
    <mergeCell ref="B749:G749"/>
    <mergeCell ref="I749:L749"/>
    <mergeCell ref="A743:A744"/>
    <mergeCell ref="B743:E743"/>
    <mergeCell ref="F743:F744"/>
    <mergeCell ref="G743:G744"/>
    <mergeCell ref="H743:H744"/>
    <mergeCell ref="I743:L744"/>
    <mergeCell ref="B738:G738"/>
    <mergeCell ref="I738:L738"/>
    <mergeCell ref="D739:G739"/>
    <mergeCell ref="A741:A742"/>
    <mergeCell ref="B741:F742"/>
    <mergeCell ref="G741:G742"/>
    <mergeCell ref="H741:H742"/>
    <mergeCell ref="K741:K742"/>
    <mergeCell ref="L741:L742"/>
    <mergeCell ref="A758:A759"/>
    <mergeCell ref="B758:E758"/>
    <mergeCell ref="F758:F759"/>
    <mergeCell ref="G758:G759"/>
    <mergeCell ref="H758:H759"/>
    <mergeCell ref="I758:L759"/>
    <mergeCell ref="B753:G753"/>
    <mergeCell ref="I753:L753"/>
    <mergeCell ref="D754:G754"/>
    <mergeCell ref="A756:A757"/>
    <mergeCell ref="B756:F757"/>
    <mergeCell ref="G756:G757"/>
    <mergeCell ref="H756:H757"/>
    <mergeCell ref="K756:K757"/>
    <mergeCell ref="L756:L757"/>
    <mergeCell ref="B750:G750"/>
    <mergeCell ref="I750:L750"/>
    <mergeCell ref="B751:G751"/>
    <mergeCell ref="I751:L751"/>
    <mergeCell ref="B752:G752"/>
    <mergeCell ref="I752:L752"/>
    <mergeCell ref="B768:G768"/>
    <mergeCell ref="I768:L768"/>
    <mergeCell ref="D769:G769"/>
    <mergeCell ref="A771:A772"/>
    <mergeCell ref="B771:F772"/>
    <mergeCell ref="G771:G772"/>
    <mergeCell ref="H771:H772"/>
    <mergeCell ref="K771:K772"/>
    <mergeCell ref="L771:L772"/>
    <mergeCell ref="B765:G765"/>
    <mergeCell ref="I765:L765"/>
    <mergeCell ref="B766:G766"/>
    <mergeCell ref="I766:L766"/>
    <mergeCell ref="B767:G767"/>
    <mergeCell ref="I767:L767"/>
    <mergeCell ref="I760:L760"/>
    <mergeCell ref="I761:L761"/>
    <mergeCell ref="I762:L762"/>
    <mergeCell ref="I763:L763"/>
    <mergeCell ref="B764:G764"/>
    <mergeCell ref="I764:L764"/>
    <mergeCell ref="B780:G780"/>
    <mergeCell ref="I780:L780"/>
    <mergeCell ref="B781:G781"/>
    <mergeCell ref="I781:L781"/>
    <mergeCell ref="B782:G782"/>
    <mergeCell ref="I782:L782"/>
    <mergeCell ref="I775:L775"/>
    <mergeCell ref="I776:L776"/>
    <mergeCell ref="I777:L777"/>
    <mergeCell ref="I778:L778"/>
    <mergeCell ref="B779:G779"/>
    <mergeCell ref="I779:L779"/>
    <mergeCell ref="A773:A774"/>
    <mergeCell ref="B773:E773"/>
    <mergeCell ref="F773:F774"/>
    <mergeCell ref="G773:G774"/>
    <mergeCell ref="H773:H774"/>
    <mergeCell ref="I773:L774"/>
    <mergeCell ref="I790:L790"/>
    <mergeCell ref="I791:L791"/>
    <mergeCell ref="I792:L792"/>
    <mergeCell ref="I793:L793"/>
    <mergeCell ref="B794:G794"/>
    <mergeCell ref="I794:L794"/>
    <mergeCell ref="A788:A789"/>
    <mergeCell ref="B788:E788"/>
    <mergeCell ref="F788:F789"/>
    <mergeCell ref="G788:G789"/>
    <mergeCell ref="H788:H789"/>
    <mergeCell ref="I788:L789"/>
    <mergeCell ref="B783:G783"/>
    <mergeCell ref="I783:L783"/>
    <mergeCell ref="D784:G784"/>
    <mergeCell ref="A786:A787"/>
    <mergeCell ref="B786:F787"/>
    <mergeCell ref="G786:G787"/>
    <mergeCell ref="H786:H787"/>
    <mergeCell ref="K786:K787"/>
    <mergeCell ref="L786:L787"/>
    <mergeCell ref="A803:A804"/>
    <mergeCell ref="B803:E803"/>
    <mergeCell ref="F803:F804"/>
    <mergeCell ref="G803:G804"/>
    <mergeCell ref="H803:H804"/>
    <mergeCell ref="I803:L804"/>
    <mergeCell ref="B798:G798"/>
    <mergeCell ref="I798:L798"/>
    <mergeCell ref="D799:G799"/>
    <mergeCell ref="A801:A802"/>
    <mergeCell ref="B801:F802"/>
    <mergeCell ref="G801:G802"/>
    <mergeCell ref="H801:H802"/>
    <mergeCell ref="K801:K802"/>
    <mergeCell ref="L801:L802"/>
    <mergeCell ref="B795:G795"/>
    <mergeCell ref="I795:L795"/>
    <mergeCell ref="B796:G796"/>
    <mergeCell ref="I796:L796"/>
    <mergeCell ref="B797:G797"/>
    <mergeCell ref="I797:L797"/>
    <mergeCell ref="B813:G813"/>
    <mergeCell ref="I813:L813"/>
    <mergeCell ref="D814:G814"/>
    <mergeCell ref="A816:A817"/>
    <mergeCell ref="B816:F817"/>
    <mergeCell ref="G816:G817"/>
    <mergeCell ref="H816:H817"/>
    <mergeCell ref="K816:K817"/>
    <mergeCell ref="L816:L817"/>
    <mergeCell ref="B810:G810"/>
    <mergeCell ref="I810:L810"/>
    <mergeCell ref="B811:G811"/>
    <mergeCell ref="I811:L811"/>
    <mergeCell ref="B812:G812"/>
    <mergeCell ref="I812:L812"/>
    <mergeCell ref="I805:L805"/>
    <mergeCell ref="I806:L806"/>
    <mergeCell ref="I807:L807"/>
    <mergeCell ref="I808:L808"/>
    <mergeCell ref="B809:G809"/>
    <mergeCell ref="I809:L809"/>
    <mergeCell ref="B828:G828"/>
    <mergeCell ref="I828:L828"/>
    <mergeCell ref="D829:G829"/>
    <mergeCell ref="B825:G825"/>
    <mergeCell ref="I825:L825"/>
    <mergeCell ref="B826:G826"/>
    <mergeCell ref="I826:L826"/>
    <mergeCell ref="B827:G827"/>
    <mergeCell ref="I827:L827"/>
    <mergeCell ref="I820:L820"/>
    <mergeCell ref="I821:L821"/>
    <mergeCell ref="I822:L822"/>
    <mergeCell ref="I823:L823"/>
    <mergeCell ref="B824:G824"/>
    <mergeCell ref="I824:L824"/>
    <mergeCell ref="A818:A819"/>
    <mergeCell ref="B818:E818"/>
    <mergeCell ref="F818:F819"/>
    <mergeCell ref="G818:G819"/>
    <mergeCell ref="H818:H819"/>
    <mergeCell ref="I818:L819"/>
  </mergeCells>
  <conditionalFormatting sqref="F20">
    <cfRule type="cellIs" dxfId="2147" priority="2118" operator="equal">
      <formula>"NO"</formula>
    </cfRule>
    <cfRule type="cellIs" dxfId="2146" priority="2119" operator="equal">
      <formula>"NA"</formula>
    </cfRule>
    <cfRule type="cellIs" dxfId="2145" priority="2120" operator="equal">
      <formula>"SI"</formula>
    </cfRule>
  </conditionalFormatting>
  <conditionalFormatting sqref="B10:G13 B71:G73 B70:C70 E70:G70 D85">
    <cfRule type="cellIs" dxfId="2144" priority="2117" stopIfTrue="1" operator="greaterThan">
      <formula>0</formula>
    </cfRule>
  </conditionalFormatting>
  <conditionalFormatting sqref="F10:F13">
    <cfRule type="cellIs" dxfId="2143" priority="2116" operator="equal">
      <formula>"NO"</formula>
    </cfRule>
  </conditionalFormatting>
  <conditionalFormatting sqref="G10:G13">
    <cfRule type="cellIs" dxfId="2142" priority="2115" stopIfTrue="1" operator="lessThan">
      <formula>0</formula>
    </cfRule>
  </conditionalFormatting>
  <conditionalFormatting sqref="I10">
    <cfRule type="cellIs" dxfId="2141" priority="2114" stopIfTrue="1" operator="greaterThan">
      <formula>0</formula>
    </cfRule>
  </conditionalFormatting>
  <conditionalFormatting sqref="I11">
    <cfRule type="cellIs" dxfId="2140" priority="2113" stopIfTrue="1" operator="greaterThan">
      <formula>0</formula>
    </cfRule>
  </conditionalFormatting>
  <conditionalFormatting sqref="I61">
    <cfRule type="cellIs" dxfId="2139" priority="2064" stopIfTrue="1" operator="greaterThan">
      <formula>0</formula>
    </cfRule>
  </conditionalFormatting>
  <conditionalFormatting sqref="I55">
    <cfRule type="cellIs" dxfId="2138" priority="2057" stopIfTrue="1" operator="greaterThan">
      <formula>0</formula>
    </cfRule>
  </conditionalFormatting>
  <conditionalFormatting sqref="I57">
    <cfRule type="cellIs" dxfId="2137" priority="2053" stopIfTrue="1" operator="greaterThan">
      <formula>0</formula>
    </cfRule>
  </conditionalFormatting>
  <conditionalFormatting sqref="I58">
    <cfRule type="cellIs" dxfId="2136" priority="2052" stopIfTrue="1" operator="greaterThan">
      <formula>0</formula>
    </cfRule>
  </conditionalFormatting>
  <conditionalFormatting sqref="I77">
    <cfRule type="cellIs" dxfId="2135" priority="2048" stopIfTrue="1" operator="greaterThan">
      <formula>0</formula>
    </cfRule>
  </conditionalFormatting>
  <conditionalFormatting sqref="I76">
    <cfRule type="cellIs" dxfId="2134" priority="2049" stopIfTrue="1" operator="greaterThan">
      <formula>0</formula>
    </cfRule>
  </conditionalFormatting>
  <conditionalFormatting sqref="I78">
    <cfRule type="cellIs" dxfId="2133" priority="2047" stopIfTrue="1" operator="greaterThan">
      <formula>0</formula>
    </cfRule>
  </conditionalFormatting>
  <conditionalFormatting sqref="I74">
    <cfRule type="cellIs" dxfId="2132" priority="2046" stopIfTrue="1" operator="greaterThan">
      <formula>0</formula>
    </cfRule>
  </conditionalFormatting>
  <conditionalFormatting sqref="I72">
    <cfRule type="cellIs" dxfId="2131" priority="2039" stopIfTrue="1" operator="greaterThan">
      <formula>0</formula>
    </cfRule>
  </conditionalFormatting>
  <conditionalFormatting sqref="I89">
    <cfRule type="cellIs" dxfId="2130" priority="2032" stopIfTrue="1" operator="greaterThan">
      <formula>0</formula>
    </cfRule>
  </conditionalFormatting>
  <conditionalFormatting sqref="B85:H88">
    <cfRule type="cellIs" dxfId="2129" priority="2031" stopIfTrue="1" operator="greaterThan">
      <formula>0</formula>
    </cfRule>
  </conditionalFormatting>
  <conditionalFormatting sqref="I87">
    <cfRule type="cellIs" dxfId="2128" priority="2023" stopIfTrue="1" operator="greaterThan">
      <formula>0</formula>
    </cfRule>
  </conditionalFormatting>
  <conditionalFormatting sqref="I105">
    <cfRule type="cellIs" dxfId="2127" priority="2020" stopIfTrue="1" operator="greaterThan">
      <formula>0</formula>
    </cfRule>
  </conditionalFormatting>
  <conditionalFormatting sqref="I107">
    <cfRule type="cellIs" dxfId="2126" priority="2018" stopIfTrue="1" operator="greaterThan">
      <formula>0</formula>
    </cfRule>
  </conditionalFormatting>
  <conditionalFormatting sqref="I104">
    <cfRule type="cellIs" dxfId="2125" priority="2016" stopIfTrue="1" operator="greaterThan">
      <formula>0</formula>
    </cfRule>
  </conditionalFormatting>
  <conditionalFormatting sqref="I103">
    <cfRule type="cellIs" dxfId="2124" priority="2007" stopIfTrue="1" operator="greaterThan">
      <formula>0</formula>
    </cfRule>
  </conditionalFormatting>
  <conditionalFormatting sqref="I119">
    <cfRule type="cellIs" dxfId="2123" priority="2001" stopIfTrue="1" operator="greaterThan">
      <formula>0</formula>
    </cfRule>
  </conditionalFormatting>
  <conditionalFormatting sqref="I135">
    <cfRule type="cellIs" dxfId="2122" priority="1991" stopIfTrue="1" operator="greaterThan">
      <formula>0</formula>
    </cfRule>
  </conditionalFormatting>
  <conditionalFormatting sqref="I136">
    <cfRule type="cellIs" dxfId="2121" priority="1990" stopIfTrue="1" operator="greaterThan">
      <formula>0</formula>
    </cfRule>
  </conditionalFormatting>
  <conditionalFormatting sqref="I134">
    <cfRule type="cellIs" dxfId="2120" priority="1987" stopIfTrue="1" operator="greaterThan">
      <formula>0</formula>
    </cfRule>
  </conditionalFormatting>
  <conditionalFormatting sqref="I133">
    <cfRule type="cellIs" dxfId="2119" priority="1978" stopIfTrue="1" operator="greaterThan">
      <formula>0</formula>
    </cfRule>
  </conditionalFormatting>
  <conditionalFormatting sqref="B145:H148">
    <cfRule type="cellIs" dxfId="2118" priority="1971" stopIfTrue="1" operator="greaterThan">
      <formula>0</formula>
    </cfRule>
  </conditionalFormatting>
  <conditionalFormatting sqref="I146">
    <cfRule type="cellIs" dxfId="2117" priority="1967" stopIfTrue="1" operator="greaterThan">
      <formula>0</formula>
    </cfRule>
  </conditionalFormatting>
  <conditionalFormatting sqref="I167">
    <cfRule type="cellIs" dxfId="2116" priority="1958" stopIfTrue="1" operator="greaterThan">
      <formula>0</formula>
    </cfRule>
  </conditionalFormatting>
  <conditionalFormatting sqref="I165">
    <cfRule type="cellIs" dxfId="2115" priority="1960" stopIfTrue="1" operator="greaterThan">
      <formula>0</formula>
    </cfRule>
  </conditionalFormatting>
  <conditionalFormatting sqref="I161">
    <cfRule type="cellIs" dxfId="2114" priority="1951" stopIfTrue="1" operator="greaterThan">
      <formula>0</formula>
    </cfRule>
  </conditionalFormatting>
  <conditionalFormatting sqref="I162">
    <cfRule type="cellIs" dxfId="2113" priority="1947" stopIfTrue="1" operator="greaterThan">
      <formula>0</formula>
    </cfRule>
  </conditionalFormatting>
  <conditionalFormatting sqref="I179">
    <cfRule type="cellIs" dxfId="2112" priority="1940" stopIfTrue="1" operator="greaterThan">
      <formula>0</formula>
    </cfRule>
  </conditionalFormatting>
  <conditionalFormatting sqref="I198">
    <cfRule type="cellIs" dxfId="2111" priority="1928" stopIfTrue="1" operator="greaterThan">
      <formula>0</formula>
    </cfRule>
  </conditionalFormatting>
  <conditionalFormatting sqref="G190:G193">
    <cfRule type="cellIs" dxfId="2110" priority="1924" stopIfTrue="1" operator="lessThan">
      <formula>0</formula>
    </cfRule>
  </conditionalFormatting>
  <conditionalFormatting sqref="I190">
    <cfRule type="cellIs" dxfId="2109" priority="1923" stopIfTrue="1" operator="greaterThan">
      <formula>0</formula>
    </cfRule>
  </conditionalFormatting>
  <conditionalFormatting sqref="I213">
    <cfRule type="cellIs" dxfId="2108" priority="1913" stopIfTrue="1" operator="greaterThan">
      <formula>0</formula>
    </cfRule>
  </conditionalFormatting>
  <conditionalFormatting sqref="I209">
    <cfRule type="cellIs" dxfId="2107" priority="1912" stopIfTrue="1" operator="greaterThan">
      <formula>0</formula>
    </cfRule>
  </conditionalFormatting>
  <conditionalFormatting sqref="I205">
    <cfRule type="cellIs" dxfId="2106" priority="1908" stopIfTrue="1" operator="greaterThan">
      <formula>0</formula>
    </cfRule>
  </conditionalFormatting>
  <conditionalFormatting sqref="I206">
    <cfRule type="cellIs" dxfId="2105" priority="1907" stopIfTrue="1" operator="greaterThan">
      <formula>0</formula>
    </cfRule>
  </conditionalFormatting>
  <conditionalFormatting sqref="I225">
    <cfRule type="cellIs" dxfId="2104" priority="1900" stopIfTrue="1" operator="greaterThan">
      <formula>0</formula>
    </cfRule>
  </conditionalFormatting>
  <conditionalFormatting sqref="I227">
    <cfRule type="cellIs" dxfId="2103" priority="1898" stopIfTrue="1" operator="greaterThan">
      <formula>0</formula>
    </cfRule>
  </conditionalFormatting>
  <conditionalFormatting sqref="I228">
    <cfRule type="cellIs" dxfId="2102" priority="1897" stopIfTrue="1" operator="greaterThan">
      <formula>0</formula>
    </cfRule>
  </conditionalFormatting>
  <conditionalFormatting sqref="I220">
    <cfRule type="cellIs" dxfId="2101" priority="1892" stopIfTrue="1" operator="greaterThan">
      <formula>0</formula>
    </cfRule>
  </conditionalFormatting>
  <conditionalFormatting sqref="I223">
    <cfRule type="cellIs" dxfId="2100" priority="1886" stopIfTrue="1" operator="greaterThan">
      <formula>0</formula>
    </cfRule>
  </conditionalFormatting>
  <conditionalFormatting sqref="I242">
    <cfRule type="cellIs" dxfId="2099" priority="1882" stopIfTrue="1" operator="greaterThan">
      <formula>0</formula>
    </cfRule>
  </conditionalFormatting>
  <conditionalFormatting sqref="I243">
    <cfRule type="cellIs" dxfId="2098" priority="1881" stopIfTrue="1" operator="greaterThan">
      <formula>0</formula>
    </cfRule>
  </conditionalFormatting>
  <conditionalFormatting sqref="I235">
    <cfRule type="cellIs" dxfId="2097" priority="1876" stopIfTrue="1" operator="greaterThan">
      <formula>0</formula>
    </cfRule>
  </conditionalFormatting>
  <conditionalFormatting sqref="I237">
    <cfRule type="cellIs" dxfId="2096" priority="1871" stopIfTrue="1" operator="greaterThan">
      <formula>0</formula>
    </cfRule>
  </conditionalFormatting>
  <conditionalFormatting sqref="I238">
    <cfRule type="cellIs" dxfId="2095" priority="1870" stopIfTrue="1" operator="greaterThan">
      <formula>0</formula>
    </cfRule>
  </conditionalFormatting>
  <conditionalFormatting sqref="I257">
    <cfRule type="cellIs" dxfId="2094" priority="1866" stopIfTrue="1" operator="greaterThan">
      <formula>0</formula>
    </cfRule>
  </conditionalFormatting>
  <conditionalFormatting sqref="I256">
    <cfRule type="cellIs" dxfId="2093" priority="1867" stopIfTrue="1" operator="greaterThan">
      <formula>0</formula>
    </cfRule>
  </conditionalFormatting>
  <conditionalFormatting sqref="I258">
    <cfRule type="cellIs" dxfId="2092" priority="1865" stopIfTrue="1" operator="greaterThan">
      <formula>0</formula>
    </cfRule>
  </conditionalFormatting>
  <conditionalFormatting sqref="I251">
    <cfRule type="cellIs" dxfId="2091" priority="1859" stopIfTrue="1" operator="greaterThan">
      <formula>0</formula>
    </cfRule>
  </conditionalFormatting>
  <conditionalFormatting sqref="I408">
    <cfRule type="cellIs" dxfId="2090" priority="1717" stopIfTrue="1" operator="greaterThan">
      <formula>0</formula>
    </cfRule>
  </conditionalFormatting>
  <conditionalFormatting sqref="G400:G403">
    <cfRule type="cellIs" dxfId="2089" priority="1714" stopIfTrue="1" operator="lessThan">
      <formula>0</formula>
    </cfRule>
  </conditionalFormatting>
  <conditionalFormatting sqref="I423">
    <cfRule type="cellIs" dxfId="2088" priority="1705" stopIfTrue="1" operator="greaterThan">
      <formula>0</formula>
    </cfRule>
  </conditionalFormatting>
  <conditionalFormatting sqref="I419">
    <cfRule type="cellIs" dxfId="2087" priority="1704" stopIfTrue="1" operator="greaterThan">
      <formula>0</formula>
    </cfRule>
  </conditionalFormatting>
  <conditionalFormatting sqref="I415">
    <cfRule type="cellIs" dxfId="2086" priority="1700" stopIfTrue="1" operator="greaterThan">
      <formula>0</formula>
    </cfRule>
  </conditionalFormatting>
  <conditionalFormatting sqref="I416">
    <cfRule type="cellIs" dxfId="2085" priority="1699" stopIfTrue="1" operator="greaterThan">
      <formula>0</formula>
    </cfRule>
  </conditionalFormatting>
  <conditionalFormatting sqref="I435">
    <cfRule type="cellIs" dxfId="2084" priority="1692" stopIfTrue="1" operator="greaterThan">
      <formula>0</formula>
    </cfRule>
  </conditionalFormatting>
  <conditionalFormatting sqref="I437">
    <cfRule type="cellIs" dxfId="2083" priority="1690" stopIfTrue="1" operator="greaterThan">
      <formula>0</formula>
    </cfRule>
  </conditionalFormatting>
  <conditionalFormatting sqref="I438">
    <cfRule type="cellIs" dxfId="2082" priority="1689" stopIfTrue="1" operator="greaterThan">
      <formula>0</formula>
    </cfRule>
  </conditionalFormatting>
  <conditionalFormatting sqref="I433">
    <cfRule type="cellIs" dxfId="2081" priority="1682" stopIfTrue="1" operator="greaterThan">
      <formula>0</formula>
    </cfRule>
  </conditionalFormatting>
  <conditionalFormatting sqref="I452">
    <cfRule type="cellIs" dxfId="2080" priority="1678" stopIfTrue="1" operator="greaterThan">
      <formula>0</formula>
    </cfRule>
  </conditionalFormatting>
  <conditionalFormatting sqref="I453">
    <cfRule type="cellIs" dxfId="2079" priority="1677" stopIfTrue="1" operator="greaterThan">
      <formula>0</formula>
    </cfRule>
  </conditionalFormatting>
  <conditionalFormatting sqref="I445">
    <cfRule type="cellIs" dxfId="2078" priority="1672" stopIfTrue="1" operator="greaterThan">
      <formula>0</formula>
    </cfRule>
  </conditionalFormatting>
  <conditionalFormatting sqref="I466">
    <cfRule type="cellIs" dxfId="2077" priority="1663" stopIfTrue="1" operator="greaterThan">
      <formula>0</formula>
    </cfRule>
  </conditionalFormatting>
  <conditionalFormatting sqref="I467">
    <cfRule type="cellIs" dxfId="2076" priority="1662" stopIfTrue="1" operator="greaterThan">
      <formula>0</formula>
    </cfRule>
  </conditionalFormatting>
  <conditionalFormatting sqref="I468">
    <cfRule type="cellIs" dxfId="2075" priority="1661" stopIfTrue="1" operator="greaterThan">
      <formula>0</formula>
    </cfRule>
  </conditionalFormatting>
  <conditionalFormatting sqref="I461">
    <cfRule type="cellIs" dxfId="2074" priority="1656" stopIfTrue="1" operator="greaterThan">
      <formula>0</formula>
    </cfRule>
  </conditionalFormatting>
  <conditionalFormatting sqref="I462">
    <cfRule type="cellIs" dxfId="2073" priority="1652" stopIfTrue="1" operator="greaterThan">
      <formula>0</formula>
    </cfRule>
  </conditionalFormatting>
  <conditionalFormatting sqref="I481">
    <cfRule type="cellIs" dxfId="2072" priority="1648" stopIfTrue="1" operator="greaterThan">
      <formula>0</formula>
    </cfRule>
  </conditionalFormatting>
  <conditionalFormatting sqref="I482">
    <cfRule type="cellIs" dxfId="2071" priority="1647" stopIfTrue="1" operator="greaterThan">
      <formula>0</formula>
    </cfRule>
  </conditionalFormatting>
  <conditionalFormatting sqref="B475:H478">
    <cfRule type="cellIs" dxfId="2070" priority="1644" stopIfTrue="1" operator="greaterThan">
      <formula>0</formula>
    </cfRule>
  </conditionalFormatting>
  <conditionalFormatting sqref="I495">
    <cfRule type="cellIs" dxfId="2069" priority="1633" stopIfTrue="1" operator="greaterThan">
      <formula>0</formula>
    </cfRule>
  </conditionalFormatting>
  <conditionalFormatting sqref="I496">
    <cfRule type="cellIs" dxfId="2068" priority="1632" stopIfTrue="1" operator="greaterThan">
      <formula>0</formula>
    </cfRule>
  </conditionalFormatting>
  <conditionalFormatting sqref="I497">
    <cfRule type="cellIs" dxfId="2067" priority="1631" stopIfTrue="1" operator="greaterThan">
      <formula>0</formula>
    </cfRule>
  </conditionalFormatting>
  <conditionalFormatting sqref="B490:H493">
    <cfRule type="cellIs" dxfId="2066" priority="1628" stopIfTrue="1" operator="greaterThan">
      <formula>0</formula>
    </cfRule>
  </conditionalFormatting>
  <conditionalFormatting sqref="I493">
    <cfRule type="cellIs" dxfId="2065" priority="1622" stopIfTrue="1" operator="greaterThan">
      <formula>0</formula>
    </cfRule>
  </conditionalFormatting>
  <conditionalFormatting sqref="I511">
    <cfRule type="cellIs" dxfId="2064" priority="1620" stopIfTrue="1" operator="greaterThan">
      <formula>0</formula>
    </cfRule>
  </conditionalFormatting>
  <conditionalFormatting sqref="I513">
    <cfRule type="cellIs" dxfId="2063" priority="1618" stopIfTrue="1" operator="greaterThan">
      <formula>0</formula>
    </cfRule>
  </conditionalFormatting>
  <conditionalFormatting sqref="B505:H508">
    <cfRule type="cellIs" dxfId="2062" priority="1617" stopIfTrue="1" operator="greaterThan">
      <formula>0</formula>
    </cfRule>
  </conditionalFormatting>
  <conditionalFormatting sqref="I525">
    <cfRule type="cellIs" dxfId="2061" priority="1606" stopIfTrue="1" operator="greaterThan">
      <formula>0</formula>
    </cfRule>
  </conditionalFormatting>
  <conditionalFormatting sqref="I526">
    <cfRule type="cellIs" dxfId="2060" priority="1605" stopIfTrue="1" operator="greaterThan">
      <formula>0</formula>
    </cfRule>
  </conditionalFormatting>
  <conditionalFormatting sqref="B520:H523">
    <cfRule type="cellIs" dxfId="2059" priority="1601" stopIfTrue="1" operator="greaterThan">
      <formula>0</formula>
    </cfRule>
  </conditionalFormatting>
  <conditionalFormatting sqref="I520">
    <cfRule type="cellIs" dxfId="2058" priority="1598" stopIfTrue="1" operator="greaterThan">
      <formula>0</formula>
    </cfRule>
  </conditionalFormatting>
  <conditionalFormatting sqref="I522">
    <cfRule type="cellIs" dxfId="2057" priority="1593" stopIfTrue="1" operator="greaterThan">
      <formula>0</formula>
    </cfRule>
  </conditionalFormatting>
  <conditionalFormatting sqref="I540">
    <cfRule type="cellIs" dxfId="2056" priority="1590" stopIfTrue="1" operator="greaterThan">
      <formula>0</formula>
    </cfRule>
  </conditionalFormatting>
  <conditionalFormatting sqref="I542">
    <cfRule type="cellIs" dxfId="2055" priority="1588" stopIfTrue="1" operator="greaterThan">
      <formula>0</formula>
    </cfRule>
  </conditionalFormatting>
  <conditionalFormatting sqref="I543">
    <cfRule type="cellIs" dxfId="2054" priority="1587" stopIfTrue="1" operator="greaterThan">
      <formula>0</formula>
    </cfRule>
  </conditionalFormatting>
  <conditionalFormatting sqref="B535:H538">
    <cfRule type="cellIs" dxfId="2053" priority="1585" stopIfTrue="1" operator="greaterThan">
      <formula>0</formula>
    </cfRule>
  </conditionalFormatting>
  <conditionalFormatting sqref="F535:F538">
    <cfRule type="cellIs" dxfId="2052" priority="1584" operator="equal">
      <formula>"NO"</formula>
    </cfRule>
  </conditionalFormatting>
  <conditionalFormatting sqref="I557">
    <cfRule type="cellIs" dxfId="2051" priority="1574" stopIfTrue="1" operator="greaterThan">
      <formula>0</formula>
    </cfRule>
  </conditionalFormatting>
  <conditionalFormatting sqref="I555">
    <cfRule type="cellIs" dxfId="2050" priority="1576" stopIfTrue="1" operator="greaterThan">
      <formula>0</formula>
    </cfRule>
  </conditionalFormatting>
  <conditionalFormatting sqref="I572">
    <cfRule type="cellIs" dxfId="2049" priority="1558" stopIfTrue="1" operator="greaterThan">
      <formula>0</formula>
    </cfRule>
  </conditionalFormatting>
  <conditionalFormatting sqref="I571">
    <cfRule type="cellIs" dxfId="2048" priority="1559" stopIfTrue="1" operator="greaterThan">
      <formula>0</formula>
    </cfRule>
  </conditionalFormatting>
  <conditionalFormatting sqref="I569">
    <cfRule type="cellIs" dxfId="2047" priority="1556" stopIfTrue="1" operator="greaterThan">
      <formula>0</formula>
    </cfRule>
  </conditionalFormatting>
  <conditionalFormatting sqref="I587">
    <cfRule type="cellIs" dxfId="2046" priority="1543" stopIfTrue="1" operator="greaterThan">
      <formula>0</formula>
    </cfRule>
  </conditionalFormatting>
  <conditionalFormatting sqref="B580:H583">
    <cfRule type="cellIs" dxfId="2045" priority="1541" stopIfTrue="1" operator="greaterThan">
      <formula>0</formula>
    </cfRule>
  </conditionalFormatting>
  <conditionalFormatting sqref="I581">
    <cfRule type="cellIs" dxfId="2044" priority="1538" stopIfTrue="1" operator="greaterThan">
      <formula>0</formula>
    </cfRule>
  </conditionalFormatting>
  <conditionalFormatting sqref="I602">
    <cfRule type="cellIs" dxfId="2043" priority="1530" stopIfTrue="1" operator="greaterThan">
      <formula>0</formula>
    </cfRule>
  </conditionalFormatting>
  <conditionalFormatting sqref="I601">
    <cfRule type="cellIs" dxfId="2042" priority="1531" stopIfTrue="1" operator="greaterThan">
      <formula>0</formula>
    </cfRule>
  </conditionalFormatting>
  <conditionalFormatting sqref="I597">
    <cfRule type="cellIs" dxfId="2041" priority="1521" stopIfTrue="1" operator="greaterThan">
      <formula>0</formula>
    </cfRule>
  </conditionalFormatting>
  <conditionalFormatting sqref="I614">
    <cfRule type="cellIs" dxfId="2040" priority="1514" stopIfTrue="1" operator="greaterThan">
      <formula>0</formula>
    </cfRule>
  </conditionalFormatting>
  <conditionalFormatting sqref="B613:H613 B610:G612">
    <cfRule type="cellIs" dxfId="2039" priority="1513" stopIfTrue="1" operator="greaterThan">
      <formula>0</formula>
    </cfRule>
  </conditionalFormatting>
  <conditionalFormatting sqref="I630">
    <cfRule type="cellIs" dxfId="2038" priority="1502" stopIfTrue="1" operator="greaterThan">
      <formula>0</formula>
    </cfRule>
  </conditionalFormatting>
  <conditionalFormatting sqref="I632">
    <cfRule type="cellIs" dxfId="2037" priority="1500" stopIfTrue="1" operator="greaterThan">
      <formula>0</formula>
    </cfRule>
  </conditionalFormatting>
  <conditionalFormatting sqref="B628:H628 B625:G627">
    <cfRule type="cellIs" dxfId="2036" priority="1497" stopIfTrue="1" operator="greaterThan">
      <formula>0</formula>
    </cfRule>
  </conditionalFormatting>
  <conditionalFormatting sqref="I626">
    <cfRule type="cellIs" dxfId="2035" priority="1493" stopIfTrue="1" operator="greaterThan">
      <formula>0</formula>
    </cfRule>
  </conditionalFormatting>
  <conditionalFormatting sqref="I627">
    <cfRule type="cellIs" dxfId="2034" priority="1489" stopIfTrue="1" operator="greaterThan">
      <formula>0</formula>
    </cfRule>
  </conditionalFormatting>
  <conditionalFormatting sqref="I628">
    <cfRule type="cellIs" dxfId="2033" priority="1488" stopIfTrue="1" operator="greaterThan">
      <formula>0</formula>
    </cfRule>
  </conditionalFormatting>
  <conditionalFormatting sqref="I647">
    <cfRule type="cellIs" dxfId="2032" priority="1485" stopIfTrue="1" operator="greaterThan">
      <formula>0</formula>
    </cfRule>
  </conditionalFormatting>
  <conditionalFormatting sqref="I646">
    <cfRule type="cellIs" dxfId="2031" priority="1486" stopIfTrue="1" operator="greaterThan">
      <formula>0</formula>
    </cfRule>
  </conditionalFormatting>
  <conditionalFormatting sqref="I648">
    <cfRule type="cellIs" dxfId="2030" priority="1484" stopIfTrue="1" operator="greaterThan">
      <formula>0</formula>
    </cfRule>
  </conditionalFormatting>
  <conditionalFormatting sqref="I641">
    <cfRule type="cellIs" dxfId="2029" priority="1479" stopIfTrue="1" operator="greaterThan">
      <formula>0</formula>
    </cfRule>
  </conditionalFormatting>
  <conditionalFormatting sqref="I642">
    <cfRule type="cellIs" dxfId="2028" priority="1475" stopIfTrue="1" operator="greaterThan">
      <formula>0</formula>
    </cfRule>
  </conditionalFormatting>
  <conditionalFormatting sqref="I661">
    <cfRule type="cellIs" dxfId="2027" priority="1471" stopIfTrue="1" operator="greaterThan">
      <formula>0</formula>
    </cfRule>
  </conditionalFormatting>
  <conditionalFormatting sqref="I662">
    <cfRule type="cellIs" dxfId="2026" priority="1470" stopIfTrue="1" operator="greaterThan">
      <formula>0</formula>
    </cfRule>
  </conditionalFormatting>
  <conditionalFormatting sqref="I670">
    <cfRule type="cellIs" dxfId="2025" priority="1450" stopIfTrue="1" operator="greaterThan">
      <formula>0</formula>
    </cfRule>
  </conditionalFormatting>
  <conditionalFormatting sqref="I671">
    <cfRule type="cellIs" dxfId="2024" priority="1449" stopIfTrue="1" operator="greaterThan">
      <formula>0</formula>
    </cfRule>
  </conditionalFormatting>
  <conditionalFormatting sqref="I692">
    <cfRule type="cellIs" dxfId="2023" priority="1441" stopIfTrue="1" operator="greaterThan">
      <formula>0</formula>
    </cfRule>
  </conditionalFormatting>
  <conditionalFormatting sqref="I691">
    <cfRule type="cellIs" dxfId="2022" priority="1442" stopIfTrue="1" operator="greaterThan">
      <formula>0</formula>
    </cfRule>
  </conditionalFormatting>
  <conditionalFormatting sqref="I693">
    <cfRule type="cellIs" dxfId="2021" priority="1440" stopIfTrue="1" operator="greaterThan">
      <formula>0</formula>
    </cfRule>
  </conditionalFormatting>
  <conditionalFormatting sqref="I686">
    <cfRule type="cellIs" dxfId="2020" priority="1436" stopIfTrue="1" operator="greaterThan">
      <formula>0</formula>
    </cfRule>
  </conditionalFormatting>
  <conditionalFormatting sqref="I687">
    <cfRule type="cellIs" dxfId="2019" priority="1432" stopIfTrue="1" operator="greaterThan">
      <formula>0</formula>
    </cfRule>
  </conditionalFormatting>
  <conditionalFormatting sqref="I707">
    <cfRule type="cellIs" dxfId="2018" priority="1427" stopIfTrue="1" operator="greaterThan">
      <formula>0</formula>
    </cfRule>
  </conditionalFormatting>
  <conditionalFormatting sqref="I706">
    <cfRule type="cellIs" dxfId="2017" priority="1428" stopIfTrue="1" operator="greaterThan">
      <formula>0</formula>
    </cfRule>
  </conditionalFormatting>
  <conditionalFormatting sqref="I704">
    <cfRule type="cellIs" dxfId="2016" priority="1425" stopIfTrue="1" operator="greaterThan">
      <formula>0</formula>
    </cfRule>
  </conditionalFormatting>
  <conditionalFormatting sqref="D3">
    <cfRule type="containsBlanks" dxfId="2015" priority="2112">
      <formula>LEN(TRIM(D3))=0</formula>
    </cfRule>
  </conditionalFormatting>
  <conditionalFormatting sqref="E4">
    <cfRule type="containsBlanks" dxfId="2014" priority="1286">
      <formula>LEN(TRIM(E4))=0</formula>
    </cfRule>
    <cfRule type="containsBlanks" dxfId="2013" priority="2111">
      <formula>LEN(TRIM(E4))=0</formula>
    </cfRule>
  </conditionalFormatting>
  <conditionalFormatting sqref="I792">
    <cfRule type="cellIs" dxfId="2012" priority="1320" stopIfTrue="1" operator="greaterThan">
      <formula>0</formula>
    </cfRule>
  </conditionalFormatting>
  <conditionalFormatting sqref="H8:H9">
    <cfRule type="containsText" dxfId="2011" priority="2110" operator="containsText" text="NO CUMPLE">
      <formula>NOT(ISERROR(SEARCH("NO CUMPLE",H8)))</formula>
    </cfRule>
  </conditionalFormatting>
  <conditionalFormatting sqref="G10">
    <cfRule type="cellIs" dxfId="2010" priority="2109" operator="equal">
      <formula>"NO"</formula>
    </cfRule>
  </conditionalFormatting>
  <conditionalFormatting sqref="G11:G13">
    <cfRule type="cellIs" dxfId="2009" priority="2108" operator="equal">
      <formula>"NO"</formula>
    </cfRule>
  </conditionalFormatting>
  <conditionalFormatting sqref="I13">
    <cfRule type="cellIs" dxfId="2008" priority="2106" stopIfTrue="1" operator="greaterThan">
      <formula>0</formula>
    </cfRule>
  </conditionalFormatting>
  <conditionalFormatting sqref="I16">
    <cfRule type="cellIs" dxfId="2007" priority="2104" stopIfTrue="1" operator="greaterThan">
      <formula>0</formula>
    </cfRule>
  </conditionalFormatting>
  <conditionalFormatting sqref="I12">
    <cfRule type="cellIs" dxfId="2006" priority="2107" stopIfTrue="1" operator="greaterThan">
      <formula>0</formula>
    </cfRule>
  </conditionalFormatting>
  <conditionalFormatting sqref="I15">
    <cfRule type="cellIs" dxfId="2005" priority="2105" stopIfTrue="1" operator="greaterThan">
      <formula>0</formula>
    </cfRule>
  </conditionalFormatting>
  <conditionalFormatting sqref="I17">
    <cfRule type="cellIs" dxfId="2004" priority="2103" stopIfTrue="1" operator="greaterThan">
      <formula>0</formula>
    </cfRule>
  </conditionalFormatting>
  <conditionalFormatting sqref="I18">
    <cfRule type="cellIs" dxfId="2003" priority="2102" stopIfTrue="1" operator="greaterThan">
      <formula>0</formula>
    </cfRule>
  </conditionalFormatting>
  <conditionalFormatting sqref="D19">
    <cfRule type="cellIs" dxfId="2002" priority="2099" operator="equal">
      <formula>"NO"</formula>
    </cfRule>
    <cfRule type="cellIs" dxfId="2001" priority="2100" operator="equal">
      <formula>"NA"</formula>
    </cfRule>
    <cfRule type="cellIs" dxfId="2000" priority="2101" operator="equal">
      <formula>"SI"</formula>
    </cfRule>
  </conditionalFormatting>
  <conditionalFormatting sqref="I14">
    <cfRule type="cellIs" dxfId="1999" priority="2098" stopIfTrue="1" operator="greaterThan">
      <formula>0</formula>
    </cfRule>
  </conditionalFormatting>
  <conditionalFormatting sqref="G386:G388">
    <cfRule type="cellIs" dxfId="1998" priority="1723" operator="equal">
      <formula>"NO"</formula>
    </cfRule>
  </conditionalFormatting>
  <conditionalFormatting sqref="H23:H24">
    <cfRule type="containsText" dxfId="1997" priority="2097" operator="containsText" text="NO CUMPLE">
      <formula>NOT(ISERROR(SEARCH("NO CUMPLE",H23)))</formula>
    </cfRule>
  </conditionalFormatting>
  <conditionalFormatting sqref="I826">
    <cfRule type="cellIs" dxfId="1996" priority="1300" stopIfTrue="1" operator="greaterThan">
      <formula>0</formula>
    </cfRule>
  </conditionalFormatting>
  <conditionalFormatting sqref="I31">
    <cfRule type="cellIs" dxfId="1995" priority="2095" stopIfTrue="1" operator="greaterThan">
      <formula>0</formula>
    </cfRule>
  </conditionalFormatting>
  <conditionalFormatting sqref="I825">
    <cfRule type="cellIs" dxfId="1994" priority="1301" stopIfTrue="1" operator="greaterThan">
      <formula>0</formula>
    </cfRule>
  </conditionalFormatting>
  <conditionalFormatting sqref="I30">
    <cfRule type="cellIs" dxfId="1993" priority="2096" stopIfTrue="1" operator="greaterThan">
      <formula>0</formula>
    </cfRule>
  </conditionalFormatting>
  <conditionalFormatting sqref="I32">
    <cfRule type="cellIs" dxfId="1992" priority="2094" stopIfTrue="1" operator="greaterThan">
      <formula>0</formula>
    </cfRule>
  </conditionalFormatting>
  <conditionalFormatting sqref="I33">
    <cfRule type="cellIs" dxfId="1991" priority="2093" stopIfTrue="1" operator="greaterThan">
      <formula>0</formula>
    </cfRule>
  </conditionalFormatting>
  <conditionalFormatting sqref="I29">
    <cfRule type="cellIs" dxfId="1990" priority="2092" stopIfTrue="1" operator="greaterThan">
      <formula>0</formula>
    </cfRule>
  </conditionalFormatting>
  <conditionalFormatting sqref="B25:H28">
    <cfRule type="cellIs" dxfId="1989" priority="2091" stopIfTrue="1" operator="greaterThan">
      <formula>0</formula>
    </cfRule>
  </conditionalFormatting>
  <conditionalFormatting sqref="F25:F28">
    <cfRule type="cellIs" dxfId="1988" priority="2090" operator="equal">
      <formula>"NO"</formula>
    </cfRule>
  </conditionalFormatting>
  <conditionalFormatting sqref="G25:G28">
    <cfRule type="cellIs" dxfId="1987" priority="2089" stopIfTrue="1" operator="lessThan">
      <formula>0</formula>
    </cfRule>
  </conditionalFormatting>
  <conditionalFormatting sqref="I25">
    <cfRule type="cellIs" dxfId="1986" priority="2088" stopIfTrue="1" operator="greaterThan">
      <formula>0</formula>
    </cfRule>
  </conditionalFormatting>
  <conditionalFormatting sqref="I26">
    <cfRule type="cellIs" dxfId="1985" priority="2087" stopIfTrue="1" operator="greaterThan">
      <formula>0</formula>
    </cfRule>
  </conditionalFormatting>
  <conditionalFormatting sqref="H25:H28">
    <cfRule type="cellIs" dxfId="1984" priority="2086" operator="equal">
      <formula>"NO"</formula>
    </cfRule>
  </conditionalFormatting>
  <conditionalFormatting sqref="G25">
    <cfRule type="cellIs" dxfId="1983" priority="2085" operator="equal">
      <formula>"NO"</formula>
    </cfRule>
  </conditionalFormatting>
  <conditionalFormatting sqref="G26:G28">
    <cfRule type="cellIs" dxfId="1982" priority="2084" operator="equal">
      <formula>"NO"</formula>
    </cfRule>
  </conditionalFormatting>
  <conditionalFormatting sqref="I28">
    <cfRule type="cellIs" dxfId="1981" priority="2082" stopIfTrue="1" operator="greaterThan">
      <formula>0</formula>
    </cfRule>
  </conditionalFormatting>
  <conditionalFormatting sqref="I27">
    <cfRule type="cellIs" dxfId="1980" priority="2083" stopIfTrue="1" operator="greaterThan">
      <formula>0</formula>
    </cfRule>
  </conditionalFormatting>
  <conditionalFormatting sqref="H38:H39">
    <cfRule type="containsText" dxfId="1979" priority="2081" operator="containsText" text="NO CUMPLE">
      <formula>NOT(ISERROR(SEARCH("NO CUMPLE",H38)))</formula>
    </cfRule>
  </conditionalFormatting>
  <conditionalFormatting sqref="I46">
    <cfRule type="cellIs" dxfId="1978" priority="2079" stopIfTrue="1" operator="greaterThan">
      <formula>0</formula>
    </cfRule>
  </conditionalFormatting>
  <conditionalFormatting sqref="I45">
    <cfRule type="cellIs" dxfId="1977" priority="2080" stopIfTrue="1" operator="greaterThan">
      <formula>0</formula>
    </cfRule>
  </conditionalFormatting>
  <conditionalFormatting sqref="I47">
    <cfRule type="cellIs" dxfId="1976" priority="2078" stopIfTrue="1" operator="greaterThan">
      <formula>0</formula>
    </cfRule>
  </conditionalFormatting>
  <conditionalFormatting sqref="I48">
    <cfRule type="cellIs" dxfId="1975" priority="2077" stopIfTrue="1" operator="greaterThan">
      <formula>0</formula>
    </cfRule>
  </conditionalFormatting>
  <conditionalFormatting sqref="D49">
    <cfRule type="cellIs" dxfId="1974" priority="2074" operator="equal">
      <formula>"NO"</formula>
    </cfRule>
    <cfRule type="cellIs" dxfId="1973" priority="2075" operator="equal">
      <formula>"NA"</formula>
    </cfRule>
    <cfRule type="cellIs" dxfId="1972" priority="2076" operator="equal">
      <formula>"SI"</formula>
    </cfRule>
  </conditionalFormatting>
  <conditionalFormatting sqref="I44">
    <cfRule type="cellIs" dxfId="1971" priority="2073" stopIfTrue="1" operator="greaterThan">
      <formula>0</formula>
    </cfRule>
  </conditionalFormatting>
  <conditionalFormatting sqref="B40:H43">
    <cfRule type="cellIs" dxfId="1970" priority="2072" stopIfTrue="1" operator="greaterThan">
      <formula>0</formula>
    </cfRule>
  </conditionalFormatting>
  <conditionalFormatting sqref="F40:F43">
    <cfRule type="cellIs" dxfId="1969" priority="2071" operator="equal">
      <formula>"NO"</formula>
    </cfRule>
  </conditionalFormatting>
  <conditionalFormatting sqref="G40:G43">
    <cfRule type="cellIs" dxfId="1968" priority="2070" stopIfTrue="1" operator="lessThan">
      <formula>0</formula>
    </cfRule>
  </conditionalFormatting>
  <conditionalFormatting sqref="H40:H43">
    <cfRule type="cellIs" dxfId="1967" priority="2069" operator="equal">
      <formula>"NO"</formula>
    </cfRule>
  </conditionalFormatting>
  <conditionalFormatting sqref="G40">
    <cfRule type="cellIs" dxfId="1966" priority="2068" operator="equal">
      <formula>"NO"</formula>
    </cfRule>
  </conditionalFormatting>
  <conditionalFormatting sqref="G41:G43">
    <cfRule type="cellIs" dxfId="1965" priority="2067" operator="equal">
      <formula>"NO"</formula>
    </cfRule>
  </conditionalFormatting>
  <conditionalFormatting sqref="I43">
    <cfRule type="cellIs" dxfId="1964" priority="2066" stopIfTrue="1" operator="greaterThan">
      <formula>0</formula>
    </cfRule>
  </conditionalFormatting>
  <conditionalFormatting sqref="H53:H54">
    <cfRule type="containsText" dxfId="1963" priority="2065" operator="containsText" text="NO CUMPLE">
      <formula>NOT(ISERROR(SEARCH("NO CUMPLE",H53)))</formula>
    </cfRule>
  </conditionalFormatting>
  <conditionalFormatting sqref="I62">
    <cfRule type="cellIs" dxfId="1962" priority="2063" stopIfTrue="1" operator="greaterThan">
      <formula>0</formula>
    </cfRule>
  </conditionalFormatting>
  <conditionalFormatting sqref="I63">
    <cfRule type="cellIs" dxfId="1961" priority="2062" stopIfTrue="1" operator="greaterThan">
      <formula>0</formula>
    </cfRule>
  </conditionalFormatting>
  <conditionalFormatting sqref="I59">
    <cfRule type="cellIs" dxfId="1960" priority="2061" stopIfTrue="1" operator="greaterThan">
      <formula>0</formula>
    </cfRule>
  </conditionalFormatting>
  <conditionalFormatting sqref="B55:H58">
    <cfRule type="cellIs" dxfId="1959" priority="2060" stopIfTrue="1" operator="greaterThan">
      <formula>0</formula>
    </cfRule>
  </conditionalFormatting>
  <conditionalFormatting sqref="F55:F58">
    <cfRule type="cellIs" dxfId="1958" priority="2059" operator="equal">
      <formula>"NO"</formula>
    </cfRule>
  </conditionalFormatting>
  <conditionalFormatting sqref="G55:G58">
    <cfRule type="cellIs" dxfId="1957" priority="2058" stopIfTrue="1" operator="lessThan">
      <formula>0</formula>
    </cfRule>
  </conditionalFormatting>
  <conditionalFormatting sqref="H55:H58">
    <cfRule type="cellIs" dxfId="1956" priority="2056" operator="equal">
      <formula>"NO"</formula>
    </cfRule>
  </conditionalFormatting>
  <conditionalFormatting sqref="G55">
    <cfRule type="cellIs" dxfId="1955" priority="2055" operator="equal">
      <formula>"NO"</formula>
    </cfRule>
  </conditionalFormatting>
  <conditionalFormatting sqref="G56:G58">
    <cfRule type="cellIs" dxfId="1954" priority="2054" operator="equal">
      <formula>"NO"</formula>
    </cfRule>
  </conditionalFormatting>
  <conditionalFormatting sqref="H68:H69">
    <cfRule type="containsText" dxfId="1953" priority="2051" operator="containsText" text="NO CUMPLE">
      <formula>NOT(ISERROR(SEARCH("NO CUMPLE",H68)))</formula>
    </cfRule>
  </conditionalFormatting>
  <conditionalFormatting sqref="I75">
    <cfRule type="cellIs" dxfId="1952" priority="2050" stopIfTrue="1" operator="greaterThan">
      <formula>0</formula>
    </cfRule>
  </conditionalFormatting>
  <conditionalFormatting sqref="F70:F73">
    <cfRule type="cellIs" dxfId="1951" priority="2045" operator="equal">
      <formula>"NO"</formula>
    </cfRule>
  </conditionalFormatting>
  <conditionalFormatting sqref="G70:G73">
    <cfRule type="cellIs" dxfId="1950" priority="2044" stopIfTrue="1" operator="lessThan">
      <formula>0</formula>
    </cfRule>
  </conditionalFormatting>
  <conditionalFormatting sqref="I70">
    <cfRule type="cellIs" dxfId="1949" priority="2043" stopIfTrue="1" operator="greaterThan">
      <formula>0</formula>
    </cfRule>
  </conditionalFormatting>
  <conditionalFormatting sqref="I71">
    <cfRule type="cellIs" dxfId="1948" priority="2042" stopIfTrue="1" operator="greaterThan">
      <formula>0</formula>
    </cfRule>
  </conditionalFormatting>
  <conditionalFormatting sqref="G71:G73">
    <cfRule type="cellIs" dxfId="1947" priority="2040" operator="equal">
      <formula>"NO"</formula>
    </cfRule>
  </conditionalFormatting>
  <conditionalFormatting sqref="G70">
    <cfRule type="cellIs" dxfId="1946" priority="2041" operator="equal">
      <formula>"NO"</formula>
    </cfRule>
  </conditionalFormatting>
  <conditionalFormatting sqref="I73">
    <cfRule type="cellIs" dxfId="1945" priority="2038" stopIfTrue="1" operator="greaterThan">
      <formula>0</formula>
    </cfRule>
  </conditionalFormatting>
  <conditionalFormatting sqref="H83:H84">
    <cfRule type="containsText" dxfId="1944" priority="2037" operator="containsText" text="NO CUMPLE">
      <formula>NOT(ISERROR(SEARCH("NO CUMPLE",H83)))</formula>
    </cfRule>
  </conditionalFormatting>
  <conditionalFormatting sqref="I91">
    <cfRule type="cellIs" dxfId="1943" priority="2035" stopIfTrue="1" operator="greaterThan">
      <formula>0</formula>
    </cfRule>
  </conditionalFormatting>
  <conditionalFormatting sqref="I90">
    <cfRule type="cellIs" dxfId="1942" priority="2036" stopIfTrue="1" operator="greaterThan">
      <formula>0</formula>
    </cfRule>
  </conditionalFormatting>
  <conditionalFormatting sqref="I92">
    <cfRule type="cellIs" dxfId="1941" priority="2034" stopIfTrue="1" operator="greaterThan">
      <formula>0</formula>
    </cfRule>
  </conditionalFormatting>
  <conditionalFormatting sqref="I93">
    <cfRule type="cellIs" dxfId="1940" priority="2033" stopIfTrue="1" operator="greaterThan">
      <formula>0</formula>
    </cfRule>
  </conditionalFormatting>
  <conditionalFormatting sqref="F85:F88">
    <cfRule type="cellIs" dxfId="1939" priority="2030" operator="equal">
      <formula>"NO"</formula>
    </cfRule>
  </conditionalFormatting>
  <conditionalFormatting sqref="G85:G88">
    <cfRule type="cellIs" dxfId="1938" priority="2029" stopIfTrue="1" operator="lessThan">
      <formula>0</formula>
    </cfRule>
  </conditionalFormatting>
  <conditionalFormatting sqref="I85">
    <cfRule type="cellIs" dxfId="1937" priority="2028" stopIfTrue="1" operator="greaterThan">
      <formula>0</formula>
    </cfRule>
  </conditionalFormatting>
  <conditionalFormatting sqref="I86">
    <cfRule type="cellIs" dxfId="1936" priority="2027" stopIfTrue="1" operator="greaterThan">
      <formula>0</formula>
    </cfRule>
  </conditionalFormatting>
  <conditionalFormatting sqref="H85:H88">
    <cfRule type="cellIs" dxfId="1935" priority="2026" operator="equal">
      <formula>"NO"</formula>
    </cfRule>
  </conditionalFormatting>
  <conditionalFormatting sqref="G85">
    <cfRule type="cellIs" dxfId="1934" priority="2025" operator="equal">
      <formula>"NO"</formula>
    </cfRule>
  </conditionalFormatting>
  <conditionalFormatting sqref="G86:G88">
    <cfRule type="cellIs" dxfId="1933" priority="2024" operator="equal">
      <formula>"NO"</formula>
    </cfRule>
  </conditionalFormatting>
  <conditionalFormatting sqref="I88">
    <cfRule type="cellIs" dxfId="1932" priority="2022" stopIfTrue="1" operator="greaterThan">
      <formula>0</formula>
    </cfRule>
  </conditionalFormatting>
  <conditionalFormatting sqref="I823">
    <cfRule type="cellIs" dxfId="1931" priority="1287" stopIfTrue="1" operator="greaterThan">
      <formula>0</formula>
    </cfRule>
  </conditionalFormatting>
  <conditionalFormatting sqref="H98:H99">
    <cfRule type="containsText" dxfId="1930" priority="2021" operator="containsText" text="NO CUMPLE">
      <formula>NOT(ISERROR(SEARCH("NO CUMPLE",H98)))</formula>
    </cfRule>
  </conditionalFormatting>
  <conditionalFormatting sqref="I106">
    <cfRule type="cellIs" dxfId="1929" priority="2019" stopIfTrue="1" operator="greaterThan">
      <formula>0</formula>
    </cfRule>
  </conditionalFormatting>
  <conditionalFormatting sqref="I108">
    <cfRule type="cellIs" dxfId="1928" priority="2017" stopIfTrue="1" operator="greaterThan">
      <formula>0</formula>
    </cfRule>
  </conditionalFormatting>
  <conditionalFormatting sqref="B100:H103">
    <cfRule type="cellIs" dxfId="1927" priority="2015" stopIfTrue="1" operator="greaterThan">
      <formula>0</formula>
    </cfRule>
  </conditionalFormatting>
  <conditionalFormatting sqref="F100:F103">
    <cfRule type="cellIs" dxfId="1926" priority="2014" operator="equal">
      <formula>"NO"</formula>
    </cfRule>
  </conditionalFormatting>
  <conditionalFormatting sqref="G100:G103">
    <cfRule type="cellIs" dxfId="1925" priority="2013" stopIfTrue="1" operator="lessThan">
      <formula>0</formula>
    </cfRule>
  </conditionalFormatting>
  <conditionalFormatting sqref="I101">
    <cfRule type="cellIs" dxfId="1924" priority="2012" stopIfTrue="1" operator="greaterThan">
      <formula>0</formula>
    </cfRule>
  </conditionalFormatting>
  <conditionalFormatting sqref="H100:H103">
    <cfRule type="cellIs" dxfId="1923" priority="2011" operator="equal">
      <formula>"NO"</formula>
    </cfRule>
  </conditionalFormatting>
  <conditionalFormatting sqref="G100">
    <cfRule type="cellIs" dxfId="1922" priority="2010" operator="equal">
      <formula>"NO"</formula>
    </cfRule>
  </conditionalFormatting>
  <conditionalFormatting sqref="G101:G103">
    <cfRule type="cellIs" dxfId="1921" priority="2009" operator="equal">
      <formula>"NO"</formula>
    </cfRule>
  </conditionalFormatting>
  <conditionalFormatting sqref="I102">
    <cfRule type="cellIs" dxfId="1920" priority="2008" stopIfTrue="1" operator="greaterThan">
      <formula>0</formula>
    </cfRule>
  </conditionalFormatting>
  <conditionalFormatting sqref="H113:H114">
    <cfRule type="containsText" dxfId="1919" priority="2006" operator="containsText" text="NO CUMPLE">
      <formula>NOT(ISERROR(SEARCH("NO CUMPLE",H113)))</formula>
    </cfRule>
  </conditionalFormatting>
  <conditionalFormatting sqref="I121">
    <cfRule type="cellIs" dxfId="1918" priority="2004" stopIfTrue="1" operator="greaterThan">
      <formula>0</formula>
    </cfRule>
  </conditionalFormatting>
  <conditionalFormatting sqref="I120">
    <cfRule type="cellIs" dxfId="1917" priority="2005" stopIfTrue="1" operator="greaterThan">
      <formula>0</formula>
    </cfRule>
  </conditionalFormatting>
  <conditionalFormatting sqref="I122">
    <cfRule type="cellIs" dxfId="1916" priority="2003" stopIfTrue="1" operator="greaterThan">
      <formula>0</formula>
    </cfRule>
  </conditionalFormatting>
  <conditionalFormatting sqref="I123">
    <cfRule type="cellIs" dxfId="1915" priority="2002" stopIfTrue="1" operator="greaterThan">
      <formula>0</formula>
    </cfRule>
  </conditionalFormatting>
  <conditionalFormatting sqref="B115:H118">
    <cfRule type="cellIs" dxfId="1914" priority="2000" stopIfTrue="1" operator="greaterThan">
      <formula>0</formula>
    </cfRule>
  </conditionalFormatting>
  <conditionalFormatting sqref="F115:F118">
    <cfRule type="cellIs" dxfId="1913" priority="1999" operator="equal">
      <formula>"NO"</formula>
    </cfRule>
  </conditionalFormatting>
  <conditionalFormatting sqref="G115:G118">
    <cfRule type="cellIs" dxfId="1912" priority="1998" stopIfTrue="1" operator="lessThan">
      <formula>0</formula>
    </cfRule>
  </conditionalFormatting>
  <conditionalFormatting sqref="I115">
    <cfRule type="cellIs" dxfId="1911" priority="1997" stopIfTrue="1" operator="greaterThan">
      <formula>0</formula>
    </cfRule>
  </conditionalFormatting>
  <conditionalFormatting sqref="H115:H118">
    <cfRule type="cellIs" dxfId="1910" priority="1996" operator="equal">
      <formula>"NO"</formula>
    </cfRule>
  </conditionalFormatting>
  <conditionalFormatting sqref="G115">
    <cfRule type="cellIs" dxfId="1909" priority="1995" operator="equal">
      <formula>"NO"</formula>
    </cfRule>
  </conditionalFormatting>
  <conditionalFormatting sqref="G116:G118">
    <cfRule type="cellIs" dxfId="1908" priority="1994" operator="equal">
      <formula>"NO"</formula>
    </cfRule>
  </conditionalFormatting>
  <conditionalFormatting sqref="I118">
    <cfRule type="cellIs" dxfId="1907" priority="1993" stopIfTrue="1" operator="greaterThan">
      <formula>0</formula>
    </cfRule>
  </conditionalFormatting>
  <conditionalFormatting sqref="H128:H129">
    <cfRule type="containsText" dxfId="1906" priority="1992" operator="containsText" text="NO CUMPLE">
      <formula>NOT(ISERROR(SEARCH("NO CUMPLE",H128)))</formula>
    </cfRule>
  </conditionalFormatting>
  <conditionalFormatting sqref="I137">
    <cfRule type="cellIs" dxfId="1905" priority="1989" stopIfTrue="1" operator="greaterThan">
      <formula>0</formula>
    </cfRule>
  </conditionalFormatting>
  <conditionalFormatting sqref="I138">
    <cfRule type="cellIs" dxfId="1904" priority="1988" stopIfTrue="1" operator="greaterThan">
      <formula>0</formula>
    </cfRule>
  </conditionalFormatting>
  <conditionalFormatting sqref="B130:H133">
    <cfRule type="cellIs" dxfId="1903" priority="1986" stopIfTrue="1" operator="greaterThan">
      <formula>0</formula>
    </cfRule>
  </conditionalFormatting>
  <conditionalFormatting sqref="F130:F133">
    <cfRule type="cellIs" dxfId="1902" priority="1985" operator="equal">
      <formula>"NO"</formula>
    </cfRule>
  </conditionalFormatting>
  <conditionalFormatting sqref="G130:G133">
    <cfRule type="cellIs" dxfId="1901" priority="1984" stopIfTrue="1" operator="lessThan">
      <formula>0</formula>
    </cfRule>
  </conditionalFormatting>
  <conditionalFormatting sqref="I130">
    <cfRule type="cellIs" dxfId="1900" priority="1983" stopIfTrue="1" operator="greaterThan">
      <formula>0</formula>
    </cfRule>
  </conditionalFormatting>
  <conditionalFormatting sqref="I131">
    <cfRule type="cellIs" dxfId="1899" priority="1982" stopIfTrue="1" operator="greaterThan">
      <formula>0</formula>
    </cfRule>
  </conditionalFormatting>
  <conditionalFormatting sqref="H130:H133">
    <cfRule type="cellIs" dxfId="1898" priority="1981" operator="equal">
      <formula>"NO"</formula>
    </cfRule>
  </conditionalFormatting>
  <conditionalFormatting sqref="G130">
    <cfRule type="cellIs" dxfId="1897" priority="1980" operator="equal">
      <formula>"NO"</formula>
    </cfRule>
  </conditionalFormatting>
  <conditionalFormatting sqref="G131:G133">
    <cfRule type="cellIs" dxfId="1896" priority="1979" operator="equal">
      <formula>"NO"</formula>
    </cfRule>
  </conditionalFormatting>
  <conditionalFormatting sqref="H143:H144">
    <cfRule type="containsText" dxfId="1895" priority="1977" operator="containsText" text="NO CUMPLE">
      <formula>NOT(ISERROR(SEARCH("NO CUMPLE",H143)))</formula>
    </cfRule>
  </conditionalFormatting>
  <conditionalFormatting sqref="I151">
    <cfRule type="cellIs" dxfId="1894" priority="1975" stopIfTrue="1" operator="greaterThan">
      <formula>0</formula>
    </cfRule>
  </conditionalFormatting>
  <conditionalFormatting sqref="I150">
    <cfRule type="cellIs" dxfId="1893" priority="1976" stopIfTrue="1" operator="greaterThan">
      <formula>0</formula>
    </cfRule>
  </conditionalFormatting>
  <conditionalFormatting sqref="I152">
    <cfRule type="cellIs" dxfId="1892" priority="1974" stopIfTrue="1" operator="greaterThan">
      <formula>0</formula>
    </cfRule>
  </conditionalFormatting>
  <conditionalFormatting sqref="I153">
    <cfRule type="cellIs" dxfId="1891" priority="1973" stopIfTrue="1" operator="greaterThan">
      <formula>0</formula>
    </cfRule>
  </conditionalFormatting>
  <conditionalFormatting sqref="I149">
    <cfRule type="cellIs" dxfId="1890" priority="1972" stopIfTrue="1" operator="greaterThan">
      <formula>0</formula>
    </cfRule>
  </conditionalFormatting>
  <conditionalFormatting sqref="F145:F148">
    <cfRule type="cellIs" dxfId="1889" priority="1970" operator="equal">
      <formula>"NO"</formula>
    </cfRule>
  </conditionalFormatting>
  <conditionalFormatting sqref="G145:G148">
    <cfRule type="cellIs" dxfId="1888" priority="1969" stopIfTrue="1" operator="lessThan">
      <formula>0</formula>
    </cfRule>
  </conditionalFormatting>
  <conditionalFormatting sqref="I145">
    <cfRule type="cellIs" dxfId="1887" priority="1968" stopIfTrue="1" operator="greaterThan">
      <formula>0</formula>
    </cfRule>
  </conditionalFormatting>
  <conditionalFormatting sqref="H145:H148">
    <cfRule type="cellIs" dxfId="1886" priority="1966" operator="equal">
      <formula>"NO"</formula>
    </cfRule>
  </conditionalFormatting>
  <conditionalFormatting sqref="G145">
    <cfRule type="cellIs" dxfId="1885" priority="1965" operator="equal">
      <formula>"NO"</formula>
    </cfRule>
  </conditionalFormatting>
  <conditionalFormatting sqref="G146:G148">
    <cfRule type="cellIs" dxfId="1884" priority="1964" operator="equal">
      <formula>"NO"</formula>
    </cfRule>
  </conditionalFormatting>
  <conditionalFormatting sqref="I148">
    <cfRule type="cellIs" dxfId="1883" priority="1962" stopIfTrue="1" operator="greaterThan">
      <formula>0</formula>
    </cfRule>
  </conditionalFormatting>
  <conditionalFormatting sqref="I147">
    <cfRule type="cellIs" dxfId="1882" priority="1963" stopIfTrue="1" operator="greaterThan">
      <formula>0</formula>
    </cfRule>
  </conditionalFormatting>
  <conditionalFormatting sqref="H158:H159">
    <cfRule type="containsText" dxfId="1881" priority="1961" operator="containsText" text="NO CUMPLE">
      <formula>NOT(ISERROR(SEARCH("NO CUMPLE",H158)))</formula>
    </cfRule>
  </conditionalFormatting>
  <conditionalFormatting sqref="I166">
    <cfRule type="cellIs" dxfId="1880" priority="1959" stopIfTrue="1" operator="greaterThan">
      <formula>0</formula>
    </cfRule>
  </conditionalFormatting>
  <conditionalFormatting sqref="I168">
    <cfRule type="cellIs" dxfId="1879" priority="1957" stopIfTrue="1" operator="greaterThan">
      <formula>0</formula>
    </cfRule>
  </conditionalFormatting>
  <conditionalFormatting sqref="I164">
    <cfRule type="cellIs" dxfId="1878" priority="1956" stopIfTrue="1" operator="greaterThan">
      <formula>0</formula>
    </cfRule>
  </conditionalFormatting>
  <conditionalFormatting sqref="B160:H163">
    <cfRule type="cellIs" dxfId="1877" priority="1955" stopIfTrue="1" operator="greaterThan">
      <formula>0</formula>
    </cfRule>
  </conditionalFormatting>
  <conditionalFormatting sqref="F160:F163">
    <cfRule type="cellIs" dxfId="1876" priority="1954" operator="equal">
      <formula>"NO"</formula>
    </cfRule>
  </conditionalFormatting>
  <conditionalFormatting sqref="G160:G163">
    <cfRule type="cellIs" dxfId="1875" priority="1953" stopIfTrue="1" operator="lessThan">
      <formula>0</formula>
    </cfRule>
  </conditionalFormatting>
  <conditionalFormatting sqref="I160">
    <cfRule type="cellIs" dxfId="1874" priority="1952" stopIfTrue="1" operator="greaterThan">
      <formula>0</formula>
    </cfRule>
  </conditionalFormatting>
  <conditionalFormatting sqref="H160:H163">
    <cfRule type="cellIs" dxfId="1873" priority="1950" operator="equal">
      <formula>"NO"</formula>
    </cfRule>
  </conditionalFormatting>
  <conditionalFormatting sqref="G160">
    <cfRule type="cellIs" dxfId="1872" priority="1949" operator="equal">
      <formula>"NO"</formula>
    </cfRule>
  </conditionalFormatting>
  <conditionalFormatting sqref="G161:G163">
    <cfRule type="cellIs" dxfId="1871" priority="1948" operator="equal">
      <formula>"NO"</formula>
    </cfRule>
  </conditionalFormatting>
  <conditionalFormatting sqref="I163">
    <cfRule type="cellIs" dxfId="1870" priority="1946" stopIfTrue="1" operator="greaterThan">
      <formula>0</formula>
    </cfRule>
  </conditionalFormatting>
  <conditionalFormatting sqref="H173:H174">
    <cfRule type="containsText" dxfId="1869" priority="1945" operator="containsText" text="NO CUMPLE">
      <formula>NOT(ISERROR(SEARCH("NO CUMPLE",H173)))</formula>
    </cfRule>
  </conditionalFormatting>
  <conditionalFormatting sqref="I181">
    <cfRule type="cellIs" dxfId="1868" priority="1943" stopIfTrue="1" operator="greaterThan">
      <formula>0</formula>
    </cfRule>
  </conditionalFormatting>
  <conditionalFormatting sqref="I180">
    <cfRule type="cellIs" dxfId="1867" priority="1944" stopIfTrue="1" operator="greaterThan">
      <formula>0</formula>
    </cfRule>
  </conditionalFormatting>
  <conditionalFormatting sqref="I182">
    <cfRule type="cellIs" dxfId="1866" priority="1942" stopIfTrue="1" operator="greaterThan">
      <formula>0</formula>
    </cfRule>
  </conditionalFormatting>
  <conditionalFormatting sqref="I183">
    <cfRule type="cellIs" dxfId="1865" priority="1941" stopIfTrue="1" operator="greaterThan">
      <formula>0</formula>
    </cfRule>
  </conditionalFormatting>
  <conditionalFormatting sqref="B175:H178">
    <cfRule type="cellIs" dxfId="1864" priority="1939" stopIfTrue="1" operator="greaterThan">
      <formula>0</formula>
    </cfRule>
  </conditionalFormatting>
  <conditionalFormatting sqref="F175:F178">
    <cfRule type="cellIs" dxfId="1863" priority="1938" operator="equal">
      <formula>"NO"</formula>
    </cfRule>
  </conditionalFormatting>
  <conditionalFormatting sqref="G175:G178">
    <cfRule type="cellIs" dxfId="1862" priority="1937" stopIfTrue="1" operator="lessThan">
      <formula>0</formula>
    </cfRule>
  </conditionalFormatting>
  <conditionalFormatting sqref="H175:H178">
    <cfRule type="cellIs" dxfId="1861" priority="1936" operator="equal">
      <formula>"NO"</formula>
    </cfRule>
  </conditionalFormatting>
  <conditionalFormatting sqref="G175">
    <cfRule type="cellIs" dxfId="1860" priority="1935" operator="equal">
      <formula>"NO"</formula>
    </cfRule>
  </conditionalFormatting>
  <conditionalFormatting sqref="G176:G178">
    <cfRule type="cellIs" dxfId="1859" priority="1934" operator="equal">
      <formula>"NO"</formula>
    </cfRule>
  </conditionalFormatting>
  <conditionalFormatting sqref="I178">
    <cfRule type="cellIs" dxfId="1858" priority="1933" stopIfTrue="1" operator="greaterThan">
      <formula>0</formula>
    </cfRule>
  </conditionalFormatting>
  <conditionalFormatting sqref="H188:H189">
    <cfRule type="containsText" dxfId="1857" priority="1932" operator="containsText" text="NO CUMPLE">
      <formula>NOT(ISERROR(SEARCH("NO CUMPLE",H188)))</formula>
    </cfRule>
  </conditionalFormatting>
  <conditionalFormatting sqref="I196">
    <cfRule type="cellIs" dxfId="1856" priority="1930" stopIfTrue="1" operator="greaterThan">
      <formula>0</formula>
    </cfRule>
  </conditionalFormatting>
  <conditionalFormatting sqref="I195">
    <cfRule type="cellIs" dxfId="1855" priority="1931" stopIfTrue="1" operator="greaterThan">
      <formula>0</formula>
    </cfRule>
  </conditionalFormatting>
  <conditionalFormatting sqref="I197">
    <cfRule type="cellIs" dxfId="1854" priority="1929" stopIfTrue="1" operator="greaterThan">
      <formula>0</formula>
    </cfRule>
  </conditionalFormatting>
  <conditionalFormatting sqref="I194">
    <cfRule type="cellIs" dxfId="1853" priority="1927" stopIfTrue="1" operator="greaterThan">
      <formula>0</formula>
    </cfRule>
  </conditionalFormatting>
  <conditionalFormatting sqref="B190:H193">
    <cfRule type="cellIs" dxfId="1852" priority="1926" stopIfTrue="1" operator="greaterThan">
      <formula>0</formula>
    </cfRule>
  </conditionalFormatting>
  <conditionalFormatting sqref="F190:F193">
    <cfRule type="cellIs" dxfId="1851" priority="1925" operator="equal">
      <formula>"NO"</formula>
    </cfRule>
  </conditionalFormatting>
  <conditionalFormatting sqref="H190:H193">
    <cfRule type="cellIs" dxfId="1850" priority="1922" operator="equal">
      <formula>"NO"</formula>
    </cfRule>
  </conditionalFormatting>
  <conditionalFormatting sqref="G190">
    <cfRule type="cellIs" dxfId="1849" priority="1921" operator="equal">
      <formula>"NO"</formula>
    </cfRule>
  </conditionalFormatting>
  <conditionalFormatting sqref="G191:G193">
    <cfRule type="cellIs" dxfId="1848" priority="1920" operator="equal">
      <formula>"NO"</formula>
    </cfRule>
  </conditionalFormatting>
  <conditionalFormatting sqref="I193">
    <cfRule type="cellIs" dxfId="1847" priority="1918" stopIfTrue="1" operator="greaterThan">
      <formula>0</formula>
    </cfRule>
  </conditionalFormatting>
  <conditionalFormatting sqref="I192">
    <cfRule type="cellIs" dxfId="1846" priority="1919" stopIfTrue="1" operator="greaterThan">
      <formula>0</formula>
    </cfRule>
  </conditionalFormatting>
  <conditionalFormatting sqref="H203:H204">
    <cfRule type="containsText" dxfId="1845" priority="1917" operator="containsText" text="NO CUMPLE">
      <formula>NOT(ISERROR(SEARCH("NO CUMPLE",H203)))</formula>
    </cfRule>
  </conditionalFormatting>
  <conditionalFormatting sqref="I211">
    <cfRule type="cellIs" dxfId="1844" priority="1915" stopIfTrue="1" operator="greaterThan">
      <formula>0</formula>
    </cfRule>
  </conditionalFormatting>
  <conditionalFormatting sqref="I210">
    <cfRule type="cellIs" dxfId="1843" priority="1916" stopIfTrue="1" operator="greaterThan">
      <formula>0</formula>
    </cfRule>
  </conditionalFormatting>
  <conditionalFormatting sqref="I212">
    <cfRule type="cellIs" dxfId="1842" priority="1914" stopIfTrue="1" operator="greaterThan">
      <formula>0</formula>
    </cfRule>
  </conditionalFormatting>
  <conditionalFormatting sqref="B205:H208">
    <cfRule type="cellIs" dxfId="1841" priority="1911" stopIfTrue="1" operator="greaterThan">
      <formula>0</formula>
    </cfRule>
  </conditionalFormatting>
  <conditionalFormatting sqref="F205:F208">
    <cfRule type="cellIs" dxfId="1840" priority="1910" operator="equal">
      <formula>"NO"</formula>
    </cfRule>
  </conditionalFormatting>
  <conditionalFormatting sqref="G205:G208">
    <cfRule type="cellIs" dxfId="1839" priority="1909" stopIfTrue="1" operator="lessThan">
      <formula>0</formula>
    </cfRule>
  </conditionalFormatting>
  <conditionalFormatting sqref="H205:H208">
    <cfRule type="cellIs" dxfId="1838" priority="1906" operator="equal">
      <formula>"NO"</formula>
    </cfRule>
  </conditionalFormatting>
  <conditionalFormatting sqref="G205">
    <cfRule type="cellIs" dxfId="1837" priority="1905" operator="equal">
      <formula>"NO"</formula>
    </cfRule>
  </conditionalFormatting>
  <conditionalFormatting sqref="G206:G208">
    <cfRule type="cellIs" dxfId="1836" priority="1904" operator="equal">
      <formula>"NO"</formula>
    </cfRule>
  </conditionalFormatting>
  <conditionalFormatting sqref="I208">
    <cfRule type="cellIs" dxfId="1835" priority="1902" stopIfTrue="1" operator="greaterThan">
      <formula>0</formula>
    </cfRule>
  </conditionalFormatting>
  <conditionalFormatting sqref="I207">
    <cfRule type="cellIs" dxfId="1834" priority="1903" stopIfTrue="1" operator="greaterThan">
      <formula>0</formula>
    </cfRule>
  </conditionalFormatting>
  <conditionalFormatting sqref="H218:H219">
    <cfRule type="containsText" dxfId="1833" priority="1901" operator="containsText" text="NO CUMPLE">
      <formula>NOT(ISERROR(SEARCH("NO CUMPLE",H218)))</formula>
    </cfRule>
  </conditionalFormatting>
  <conditionalFormatting sqref="I226">
    <cfRule type="cellIs" dxfId="1832" priority="1899" stopIfTrue="1" operator="greaterThan">
      <formula>0</formula>
    </cfRule>
  </conditionalFormatting>
  <conditionalFormatting sqref="I224">
    <cfRule type="cellIs" dxfId="1831" priority="1896" stopIfTrue="1" operator="greaterThan">
      <formula>0</formula>
    </cfRule>
  </conditionalFormatting>
  <conditionalFormatting sqref="B220:H223">
    <cfRule type="cellIs" dxfId="1830" priority="1895" stopIfTrue="1" operator="greaterThan">
      <formula>0</formula>
    </cfRule>
  </conditionalFormatting>
  <conditionalFormatting sqref="F220:F223">
    <cfRule type="cellIs" dxfId="1829" priority="1894" operator="equal">
      <formula>"NO"</formula>
    </cfRule>
  </conditionalFormatting>
  <conditionalFormatting sqref="G220:G223">
    <cfRule type="cellIs" dxfId="1828" priority="1893" stopIfTrue="1" operator="lessThan">
      <formula>0</formula>
    </cfRule>
  </conditionalFormatting>
  <conditionalFormatting sqref="I221">
    <cfRule type="cellIs" dxfId="1827" priority="1891" stopIfTrue="1" operator="greaterThan">
      <formula>0</formula>
    </cfRule>
  </conditionalFormatting>
  <conditionalFormatting sqref="H220:H223">
    <cfRule type="cellIs" dxfId="1826" priority="1890" operator="equal">
      <formula>"NO"</formula>
    </cfRule>
  </conditionalFormatting>
  <conditionalFormatting sqref="G220">
    <cfRule type="cellIs" dxfId="1825" priority="1889" operator="equal">
      <formula>"NO"</formula>
    </cfRule>
  </conditionalFormatting>
  <conditionalFormatting sqref="G221:G223">
    <cfRule type="cellIs" dxfId="1824" priority="1888" operator="equal">
      <formula>"NO"</formula>
    </cfRule>
  </conditionalFormatting>
  <conditionalFormatting sqref="I222">
    <cfRule type="cellIs" dxfId="1823" priority="1887" stopIfTrue="1" operator="greaterThan">
      <formula>0</formula>
    </cfRule>
  </conditionalFormatting>
  <conditionalFormatting sqref="H233:H234">
    <cfRule type="containsText" dxfId="1822" priority="1885" operator="containsText" text="NO CUMPLE">
      <formula>NOT(ISERROR(SEARCH("NO CUMPLE",H233)))</formula>
    </cfRule>
  </conditionalFormatting>
  <conditionalFormatting sqref="I241">
    <cfRule type="cellIs" dxfId="1821" priority="1883" stopIfTrue="1" operator="greaterThan">
      <formula>0</formula>
    </cfRule>
  </conditionalFormatting>
  <conditionalFormatting sqref="I240">
    <cfRule type="cellIs" dxfId="1820" priority="1884" stopIfTrue="1" operator="greaterThan">
      <formula>0</formula>
    </cfRule>
  </conditionalFormatting>
  <conditionalFormatting sqref="I239">
    <cfRule type="cellIs" dxfId="1819" priority="1880" stopIfTrue="1" operator="greaterThan">
      <formula>0</formula>
    </cfRule>
  </conditionalFormatting>
  <conditionalFormatting sqref="B235:H238">
    <cfRule type="cellIs" dxfId="1818" priority="1879" stopIfTrue="1" operator="greaterThan">
      <formula>0</formula>
    </cfRule>
  </conditionalFormatting>
  <conditionalFormatting sqref="F235:F238">
    <cfRule type="cellIs" dxfId="1817" priority="1878" operator="equal">
      <formula>"NO"</formula>
    </cfRule>
  </conditionalFormatting>
  <conditionalFormatting sqref="G235:G238">
    <cfRule type="cellIs" dxfId="1816" priority="1877" stopIfTrue="1" operator="lessThan">
      <formula>0</formula>
    </cfRule>
  </conditionalFormatting>
  <conditionalFormatting sqref="I236">
    <cfRule type="cellIs" dxfId="1815" priority="1875" stopIfTrue="1" operator="greaterThan">
      <formula>0</formula>
    </cfRule>
  </conditionalFormatting>
  <conditionalFormatting sqref="H235:H238">
    <cfRule type="cellIs" dxfId="1814" priority="1874" operator="equal">
      <formula>"NO"</formula>
    </cfRule>
  </conditionalFormatting>
  <conditionalFormatting sqref="G235">
    <cfRule type="cellIs" dxfId="1813" priority="1873" operator="equal">
      <formula>"NO"</formula>
    </cfRule>
  </conditionalFormatting>
  <conditionalFormatting sqref="G236:G238">
    <cfRule type="cellIs" dxfId="1812" priority="1872" operator="equal">
      <formula>"NO"</formula>
    </cfRule>
  </conditionalFormatting>
  <conditionalFormatting sqref="H248:H249">
    <cfRule type="containsText" dxfId="1811" priority="1869" operator="containsText" text="NO CUMPLE">
      <formula>NOT(ISERROR(SEARCH("NO CUMPLE",H248)))</formula>
    </cfRule>
  </conditionalFormatting>
  <conditionalFormatting sqref="I255">
    <cfRule type="cellIs" dxfId="1810" priority="1868" stopIfTrue="1" operator="greaterThan">
      <formula>0</formula>
    </cfRule>
  </conditionalFormatting>
  <conditionalFormatting sqref="I254">
    <cfRule type="cellIs" dxfId="1809" priority="1864" stopIfTrue="1" operator="greaterThan">
      <formula>0</formula>
    </cfRule>
  </conditionalFormatting>
  <conditionalFormatting sqref="B250:H253">
    <cfRule type="cellIs" dxfId="1808" priority="1863" stopIfTrue="1" operator="greaterThan">
      <formula>0</formula>
    </cfRule>
  </conditionalFormatting>
  <conditionalFormatting sqref="F250:F253">
    <cfRule type="cellIs" dxfId="1807" priority="1862" operator="equal">
      <formula>"NO"</formula>
    </cfRule>
  </conditionalFormatting>
  <conditionalFormatting sqref="G250:G253">
    <cfRule type="cellIs" dxfId="1806" priority="1861" stopIfTrue="1" operator="lessThan">
      <formula>0</formula>
    </cfRule>
  </conditionalFormatting>
  <conditionalFormatting sqref="I250">
    <cfRule type="cellIs" dxfId="1805" priority="1860" stopIfTrue="1" operator="greaterThan">
      <formula>0</formula>
    </cfRule>
  </conditionalFormatting>
  <conditionalFormatting sqref="H250:H253">
    <cfRule type="cellIs" dxfId="1804" priority="1858" operator="equal">
      <formula>"NO"</formula>
    </cfRule>
  </conditionalFormatting>
  <conditionalFormatting sqref="G250">
    <cfRule type="cellIs" dxfId="1803" priority="1857" operator="equal">
      <formula>"NO"</formula>
    </cfRule>
  </conditionalFormatting>
  <conditionalFormatting sqref="G251:G253">
    <cfRule type="cellIs" dxfId="1802" priority="1856" operator="equal">
      <formula>"NO"</formula>
    </cfRule>
  </conditionalFormatting>
  <conditionalFormatting sqref="I253">
    <cfRule type="cellIs" dxfId="1801" priority="1854" stopIfTrue="1" operator="greaterThan">
      <formula>0</formula>
    </cfRule>
  </conditionalFormatting>
  <conditionalFormatting sqref="I252">
    <cfRule type="cellIs" dxfId="1800" priority="1855" stopIfTrue="1" operator="greaterThan">
      <formula>0</formula>
    </cfRule>
  </conditionalFormatting>
  <conditionalFormatting sqref="H263:H264">
    <cfRule type="containsText" dxfId="1799" priority="1853" operator="containsText" text="NO CUMPLE">
      <formula>NOT(ISERROR(SEARCH("NO CUMPLE",H263)))</formula>
    </cfRule>
  </conditionalFormatting>
  <conditionalFormatting sqref="I271">
    <cfRule type="cellIs" dxfId="1798" priority="1851" stopIfTrue="1" operator="greaterThan">
      <formula>0</formula>
    </cfRule>
  </conditionalFormatting>
  <conditionalFormatting sqref="I270">
    <cfRule type="cellIs" dxfId="1797" priority="1852" stopIfTrue="1" operator="greaterThan">
      <formula>0</formula>
    </cfRule>
  </conditionalFormatting>
  <conditionalFormatting sqref="I272">
    <cfRule type="cellIs" dxfId="1796" priority="1850" stopIfTrue="1" operator="greaterThan">
      <formula>0</formula>
    </cfRule>
  </conditionalFormatting>
  <conditionalFormatting sqref="I273">
    <cfRule type="cellIs" dxfId="1795" priority="1849" stopIfTrue="1" operator="greaterThan">
      <formula>0</formula>
    </cfRule>
  </conditionalFormatting>
  <conditionalFormatting sqref="I269">
    <cfRule type="cellIs" dxfId="1794" priority="1848" stopIfTrue="1" operator="greaterThan">
      <formula>0</formula>
    </cfRule>
  </conditionalFormatting>
  <conditionalFormatting sqref="B265:H268">
    <cfRule type="cellIs" dxfId="1793" priority="1847" stopIfTrue="1" operator="greaterThan">
      <formula>0</formula>
    </cfRule>
  </conditionalFormatting>
  <conditionalFormatting sqref="F265:F268">
    <cfRule type="cellIs" dxfId="1792" priority="1846" operator="equal">
      <formula>"NO"</formula>
    </cfRule>
  </conditionalFormatting>
  <conditionalFormatting sqref="G265:G268">
    <cfRule type="cellIs" dxfId="1791" priority="1845" stopIfTrue="1" operator="lessThan">
      <formula>0</formula>
    </cfRule>
  </conditionalFormatting>
  <conditionalFormatting sqref="I265">
    <cfRule type="cellIs" dxfId="1790" priority="1844" stopIfTrue="1" operator="greaterThan">
      <formula>0</formula>
    </cfRule>
  </conditionalFormatting>
  <conditionalFormatting sqref="I266">
    <cfRule type="cellIs" dxfId="1789" priority="1843" stopIfTrue="1" operator="greaterThan">
      <formula>0</formula>
    </cfRule>
  </conditionalFormatting>
  <conditionalFormatting sqref="H265:H268">
    <cfRule type="cellIs" dxfId="1788" priority="1842" operator="equal">
      <formula>"NO"</formula>
    </cfRule>
  </conditionalFormatting>
  <conditionalFormatting sqref="G265">
    <cfRule type="cellIs" dxfId="1787" priority="1841" operator="equal">
      <formula>"NO"</formula>
    </cfRule>
  </conditionalFormatting>
  <conditionalFormatting sqref="G266:G268">
    <cfRule type="cellIs" dxfId="1786" priority="1840" operator="equal">
      <formula>"NO"</formula>
    </cfRule>
  </conditionalFormatting>
  <conditionalFormatting sqref="I268">
    <cfRule type="cellIs" dxfId="1785" priority="1838" stopIfTrue="1" operator="greaterThan">
      <formula>0</formula>
    </cfRule>
  </conditionalFormatting>
  <conditionalFormatting sqref="I267">
    <cfRule type="cellIs" dxfId="1784" priority="1839" stopIfTrue="1" operator="greaterThan">
      <formula>0</formula>
    </cfRule>
  </conditionalFormatting>
  <conditionalFormatting sqref="H278:H279">
    <cfRule type="containsText" dxfId="1783" priority="1837" operator="containsText" text="NO CUMPLE">
      <formula>NOT(ISERROR(SEARCH("NO CUMPLE",H278)))</formula>
    </cfRule>
  </conditionalFormatting>
  <conditionalFormatting sqref="I286">
    <cfRule type="cellIs" dxfId="1782" priority="1835" stopIfTrue="1" operator="greaterThan">
      <formula>0</formula>
    </cfRule>
  </conditionalFormatting>
  <conditionalFormatting sqref="I285">
    <cfRule type="cellIs" dxfId="1781" priority="1836" stopIfTrue="1" operator="greaterThan">
      <formula>0</formula>
    </cfRule>
  </conditionalFormatting>
  <conditionalFormatting sqref="I287">
    <cfRule type="cellIs" dxfId="1780" priority="1834" stopIfTrue="1" operator="greaterThan">
      <formula>0</formula>
    </cfRule>
  </conditionalFormatting>
  <conditionalFormatting sqref="I288">
    <cfRule type="cellIs" dxfId="1779" priority="1833" stopIfTrue="1" operator="greaterThan">
      <formula>0</formula>
    </cfRule>
  </conditionalFormatting>
  <conditionalFormatting sqref="I284">
    <cfRule type="cellIs" dxfId="1778" priority="1832" stopIfTrue="1" operator="greaterThan">
      <formula>0</formula>
    </cfRule>
  </conditionalFormatting>
  <conditionalFormatting sqref="B280:H283">
    <cfRule type="cellIs" dxfId="1777" priority="1831" stopIfTrue="1" operator="greaterThan">
      <formula>0</formula>
    </cfRule>
  </conditionalFormatting>
  <conditionalFormatting sqref="F280:F283">
    <cfRule type="cellIs" dxfId="1776" priority="1830" operator="equal">
      <formula>"NO"</formula>
    </cfRule>
  </conditionalFormatting>
  <conditionalFormatting sqref="G280:G283">
    <cfRule type="cellIs" dxfId="1775" priority="1829" stopIfTrue="1" operator="lessThan">
      <formula>0</formula>
    </cfRule>
  </conditionalFormatting>
  <conditionalFormatting sqref="I280">
    <cfRule type="cellIs" dxfId="1774" priority="1828" stopIfTrue="1" operator="greaterThan">
      <formula>0</formula>
    </cfRule>
  </conditionalFormatting>
  <conditionalFormatting sqref="I281">
    <cfRule type="cellIs" dxfId="1773" priority="1827" stopIfTrue="1" operator="greaterThan">
      <formula>0</formula>
    </cfRule>
  </conditionalFormatting>
  <conditionalFormatting sqref="H280:H283">
    <cfRule type="cellIs" dxfId="1772" priority="1826" operator="equal">
      <formula>"NO"</formula>
    </cfRule>
  </conditionalFormatting>
  <conditionalFormatting sqref="G280">
    <cfRule type="cellIs" dxfId="1771" priority="1825" operator="equal">
      <formula>"NO"</formula>
    </cfRule>
  </conditionalFormatting>
  <conditionalFormatting sqref="G281:G283">
    <cfRule type="cellIs" dxfId="1770" priority="1824" operator="equal">
      <formula>"NO"</formula>
    </cfRule>
  </conditionalFormatting>
  <conditionalFormatting sqref="I283">
    <cfRule type="cellIs" dxfId="1769" priority="1822" stopIfTrue="1" operator="greaterThan">
      <formula>0</formula>
    </cfRule>
  </conditionalFormatting>
  <conditionalFormatting sqref="I282">
    <cfRule type="cellIs" dxfId="1768" priority="1823" stopIfTrue="1" operator="greaterThan">
      <formula>0</formula>
    </cfRule>
  </conditionalFormatting>
  <conditionalFormatting sqref="H293:H294">
    <cfRule type="containsText" dxfId="1767" priority="1821" operator="containsText" text="NO CUMPLE">
      <formula>NOT(ISERROR(SEARCH("NO CUMPLE",H293)))</formula>
    </cfRule>
  </conditionalFormatting>
  <conditionalFormatting sqref="I301">
    <cfRule type="cellIs" dxfId="1766" priority="1819" stopIfTrue="1" operator="greaterThan">
      <formula>0</formula>
    </cfRule>
  </conditionalFormatting>
  <conditionalFormatting sqref="I300">
    <cfRule type="cellIs" dxfId="1765" priority="1820" stopIfTrue="1" operator="greaterThan">
      <formula>0</formula>
    </cfRule>
  </conditionalFormatting>
  <conditionalFormatting sqref="I302">
    <cfRule type="cellIs" dxfId="1764" priority="1818" stopIfTrue="1" operator="greaterThan">
      <formula>0</formula>
    </cfRule>
  </conditionalFormatting>
  <conditionalFormatting sqref="I303">
    <cfRule type="cellIs" dxfId="1763" priority="1817" stopIfTrue="1" operator="greaterThan">
      <formula>0</formula>
    </cfRule>
  </conditionalFormatting>
  <conditionalFormatting sqref="I299">
    <cfRule type="cellIs" dxfId="1762" priority="1816" stopIfTrue="1" operator="greaterThan">
      <formula>0</formula>
    </cfRule>
  </conditionalFormatting>
  <conditionalFormatting sqref="B295:H298">
    <cfRule type="cellIs" dxfId="1761" priority="1815" stopIfTrue="1" operator="greaterThan">
      <formula>0</formula>
    </cfRule>
  </conditionalFormatting>
  <conditionalFormatting sqref="F295:F298">
    <cfRule type="cellIs" dxfId="1760" priority="1814" operator="equal">
      <formula>"NO"</formula>
    </cfRule>
  </conditionalFormatting>
  <conditionalFormatting sqref="G295:G298">
    <cfRule type="cellIs" dxfId="1759" priority="1813" stopIfTrue="1" operator="lessThan">
      <formula>0</formula>
    </cfRule>
  </conditionalFormatting>
  <conditionalFormatting sqref="I296">
    <cfRule type="cellIs" dxfId="1758" priority="1812" stopIfTrue="1" operator="greaterThan">
      <formula>0</formula>
    </cfRule>
  </conditionalFormatting>
  <conditionalFormatting sqref="H295:H298">
    <cfRule type="cellIs" dxfId="1757" priority="1811" operator="equal">
      <formula>"NO"</formula>
    </cfRule>
  </conditionalFormatting>
  <conditionalFormatting sqref="G295">
    <cfRule type="cellIs" dxfId="1756" priority="1810" operator="equal">
      <formula>"NO"</formula>
    </cfRule>
  </conditionalFormatting>
  <conditionalFormatting sqref="G296:G298">
    <cfRule type="cellIs" dxfId="1755" priority="1809" operator="equal">
      <formula>"NO"</formula>
    </cfRule>
  </conditionalFormatting>
  <conditionalFormatting sqref="I298">
    <cfRule type="cellIs" dxfId="1754" priority="1807" stopIfTrue="1" operator="greaterThan">
      <formula>0</formula>
    </cfRule>
  </conditionalFormatting>
  <conditionalFormatting sqref="I297">
    <cfRule type="cellIs" dxfId="1753" priority="1808" stopIfTrue="1" operator="greaterThan">
      <formula>0</formula>
    </cfRule>
  </conditionalFormatting>
  <conditionalFormatting sqref="H308:H309">
    <cfRule type="containsText" dxfId="1752" priority="1806" operator="containsText" text="NO CUMPLE">
      <formula>NOT(ISERROR(SEARCH("NO CUMPLE",H308)))</formula>
    </cfRule>
  </conditionalFormatting>
  <conditionalFormatting sqref="I316">
    <cfRule type="cellIs" dxfId="1751" priority="1804" stopIfTrue="1" operator="greaterThan">
      <formula>0</formula>
    </cfRule>
  </conditionalFormatting>
  <conditionalFormatting sqref="I315">
    <cfRule type="cellIs" dxfId="1750" priority="1805" stopIfTrue="1" operator="greaterThan">
      <formula>0</formula>
    </cfRule>
  </conditionalFormatting>
  <conditionalFormatting sqref="I317">
    <cfRule type="cellIs" dxfId="1749" priority="1803" stopIfTrue="1" operator="greaterThan">
      <formula>0</formula>
    </cfRule>
  </conditionalFormatting>
  <conditionalFormatting sqref="I318">
    <cfRule type="cellIs" dxfId="1748" priority="1802" stopIfTrue="1" operator="greaterThan">
      <formula>0</formula>
    </cfRule>
  </conditionalFormatting>
  <conditionalFormatting sqref="I314">
    <cfRule type="cellIs" dxfId="1747" priority="1801" stopIfTrue="1" operator="greaterThan">
      <formula>0</formula>
    </cfRule>
  </conditionalFormatting>
  <conditionalFormatting sqref="B310:H313">
    <cfRule type="cellIs" dxfId="1746" priority="1800" stopIfTrue="1" operator="greaterThan">
      <formula>0</formula>
    </cfRule>
  </conditionalFormatting>
  <conditionalFormatting sqref="F310:F313">
    <cfRule type="cellIs" dxfId="1745" priority="1799" operator="equal">
      <formula>"NO"</formula>
    </cfRule>
  </conditionalFormatting>
  <conditionalFormatting sqref="G310:G313">
    <cfRule type="cellIs" dxfId="1744" priority="1798" stopIfTrue="1" operator="lessThan">
      <formula>0</formula>
    </cfRule>
  </conditionalFormatting>
  <conditionalFormatting sqref="I311">
    <cfRule type="cellIs" dxfId="1743" priority="1797" stopIfTrue="1" operator="greaterThan">
      <formula>0</formula>
    </cfRule>
  </conditionalFormatting>
  <conditionalFormatting sqref="H310:H313">
    <cfRule type="cellIs" dxfId="1742" priority="1796" operator="equal">
      <formula>"NO"</formula>
    </cfRule>
  </conditionalFormatting>
  <conditionalFormatting sqref="G310">
    <cfRule type="cellIs" dxfId="1741" priority="1795" operator="equal">
      <formula>"NO"</formula>
    </cfRule>
  </conditionalFormatting>
  <conditionalFormatting sqref="G311:G313">
    <cfRule type="cellIs" dxfId="1740" priority="1794" operator="equal">
      <formula>"NO"</formula>
    </cfRule>
  </conditionalFormatting>
  <conditionalFormatting sqref="I313">
    <cfRule type="cellIs" dxfId="1739" priority="1792" stopIfTrue="1" operator="greaterThan">
      <formula>0</formula>
    </cfRule>
  </conditionalFormatting>
  <conditionalFormatting sqref="I312">
    <cfRule type="cellIs" dxfId="1738" priority="1793" stopIfTrue="1" operator="greaterThan">
      <formula>0</formula>
    </cfRule>
  </conditionalFormatting>
  <conditionalFormatting sqref="H323:H324">
    <cfRule type="containsText" dxfId="1737" priority="1791" operator="containsText" text="NO CUMPLE">
      <formula>NOT(ISERROR(SEARCH("NO CUMPLE",H323)))</formula>
    </cfRule>
  </conditionalFormatting>
  <conditionalFormatting sqref="I331">
    <cfRule type="cellIs" dxfId="1736" priority="1789" stopIfTrue="1" operator="greaterThan">
      <formula>0</formula>
    </cfRule>
  </conditionalFormatting>
  <conditionalFormatting sqref="I330">
    <cfRule type="cellIs" dxfId="1735" priority="1790" stopIfTrue="1" operator="greaterThan">
      <formula>0</formula>
    </cfRule>
  </conditionalFormatting>
  <conditionalFormatting sqref="I332">
    <cfRule type="cellIs" dxfId="1734" priority="1788" stopIfTrue="1" operator="greaterThan">
      <formula>0</formula>
    </cfRule>
  </conditionalFormatting>
  <conditionalFormatting sqref="I333">
    <cfRule type="cellIs" dxfId="1733" priority="1787" stopIfTrue="1" operator="greaterThan">
      <formula>0</formula>
    </cfRule>
  </conditionalFormatting>
  <conditionalFormatting sqref="I329">
    <cfRule type="cellIs" dxfId="1732" priority="1786" stopIfTrue="1" operator="greaterThan">
      <formula>0</formula>
    </cfRule>
  </conditionalFormatting>
  <conditionalFormatting sqref="B325:H328">
    <cfRule type="cellIs" dxfId="1731" priority="1785" stopIfTrue="1" operator="greaterThan">
      <formula>0</formula>
    </cfRule>
  </conditionalFormatting>
  <conditionalFormatting sqref="F325:F328">
    <cfRule type="cellIs" dxfId="1730" priority="1784" operator="equal">
      <formula>"NO"</formula>
    </cfRule>
  </conditionalFormatting>
  <conditionalFormatting sqref="G325:G328">
    <cfRule type="cellIs" dxfId="1729" priority="1783" stopIfTrue="1" operator="lessThan">
      <formula>0</formula>
    </cfRule>
  </conditionalFormatting>
  <conditionalFormatting sqref="I325">
    <cfRule type="cellIs" dxfId="1728" priority="1782" stopIfTrue="1" operator="greaterThan">
      <formula>0</formula>
    </cfRule>
  </conditionalFormatting>
  <conditionalFormatting sqref="I326">
    <cfRule type="cellIs" dxfId="1727" priority="1781" stopIfTrue="1" operator="greaterThan">
      <formula>0</formula>
    </cfRule>
  </conditionalFormatting>
  <conditionalFormatting sqref="H325:H328">
    <cfRule type="cellIs" dxfId="1726" priority="1780" operator="equal">
      <formula>"NO"</formula>
    </cfRule>
  </conditionalFormatting>
  <conditionalFormatting sqref="G325">
    <cfRule type="cellIs" dxfId="1725" priority="1779" operator="equal">
      <formula>"NO"</formula>
    </cfRule>
  </conditionalFormatting>
  <conditionalFormatting sqref="G326:G328">
    <cfRule type="cellIs" dxfId="1724" priority="1778" operator="equal">
      <formula>"NO"</formula>
    </cfRule>
  </conditionalFormatting>
  <conditionalFormatting sqref="I328">
    <cfRule type="cellIs" dxfId="1723" priority="1776" stopIfTrue="1" operator="greaterThan">
      <formula>0</formula>
    </cfRule>
  </conditionalFormatting>
  <conditionalFormatting sqref="I327">
    <cfRule type="cellIs" dxfId="1722" priority="1777" stopIfTrue="1" operator="greaterThan">
      <formula>0</formula>
    </cfRule>
  </conditionalFormatting>
  <conditionalFormatting sqref="H338:H339">
    <cfRule type="containsText" dxfId="1721" priority="1775" operator="containsText" text="NO CUMPLE">
      <formula>NOT(ISERROR(SEARCH("NO CUMPLE",H338)))</formula>
    </cfRule>
  </conditionalFormatting>
  <conditionalFormatting sqref="I346">
    <cfRule type="cellIs" dxfId="1720" priority="1773" stopIfTrue="1" operator="greaterThan">
      <formula>0</formula>
    </cfRule>
  </conditionalFormatting>
  <conditionalFormatting sqref="I345">
    <cfRule type="cellIs" dxfId="1719" priority="1774" stopIfTrue="1" operator="greaterThan">
      <formula>0</formula>
    </cfRule>
  </conditionalFormatting>
  <conditionalFormatting sqref="I347">
    <cfRule type="cellIs" dxfId="1718" priority="1772" stopIfTrue="1" operator="greaterThan">
      <formula>0</formula>
    </cfRule>
  </conditionalFormatting>
  <conditionalFormatting sqref="I348">
    <cfRule type="cellIs" dxfId="1717" priority="1771" stopIfTrue="1" operator="greaterThan">
      <formula>0</formula>
    </cfRule>
  </conditionalFormatting>
  <conditionalFormatting sqref="I344">
    <cfRule type="cellIs" dxfId="1716" priority="1770" stopIfTrue="1" operator="greaterThan">
      <formula>0</formula>
    </cfRule>
  </conditionalFormatting>
  <conditionalFormatting sqref="B340:H343">
    <cfRule type="cellIs" dxfId="1715" priority="1769" stopIfTrue="1" operator="greaterThan">
      <formula>0</formula>
    </cfRule>
  </conditionalFormatting>
  <conditionalFormatting sqref="F340:F343">
    <cfRule type="cellIs" dxfId="1714" priority="1768" operator="equal">
      <formula>"NO"</formula>
    </cfRule>
  </conditionalFormatting>
  <conditionalFormatting sqref="G340:G343">
    <cfRule type="cellIs" dxfId="1713" priority="1767" stopIfTrue="1" operator="lessThan">
      <formula>0</formula>
    </cfRule>
  </conditionalFormatting>
  <conditionalFormatting sqref="I341">
    <cfRule type="cellIs" dxfId="1712" priority="1766" stopIfTrue="1" operator="greaterThan">
      <formula>0</formula>
    </cfRule>
  </conditionalFormatting>
  <conditionalFormatting sqref="H340:H343">
    <cfRule type="cellIs" dxfId="1711" priority="1765" operator="equal">
      <formula>"NO"</formula>
    </cfRule>
  </conditionalFormatting>
  <conditionalFormatting sqref="G340">
    <cfRule type="cellIs" dxfId="1710" priority="1764" operator="equal">
      <formula>"NO"</formula>
    </cfRule>
  </conditionalFormatting>
  <conditionalFormatting sqref="G341:G343">
    <cfRule type="cellIs" dxfId="1709" priority="1763" operator="equal">
      <formula>"NO"</formula>
    </cfRule>
  </conditionalFormatting>
  <conditionalFormatting sqref="I343">
    <cfRule type="cellIs" dxfId="1708" priority="1762" stopIfTrue="1" operator="greaterThan">
      <formula>0</formula>
    </cfRule>
  </conditionalFormatting>
  <conditionalFormatting sqref="H353:H354">
    <cfRule type="containsText" dxfId="1707" priority="1761" operator="containsText" text="NO CUMPLE">
      <formula>NOT(ISERROR(SEARCH("NO CUMPLE",H353)))</formula>
    </cfRule>
  </conditionalFormatting>
  <conditionalFormatting sqref="I361">
    <cfRule type="cellIs" dxfId="1706" priority="1759" stopIfTrue="1" operator="greaterThan">
      <formula>0</formula>
    </cfRule>
  </conditionalFormatting>
  <conditionalFormatting sqref="I360">
    <cfRule type="cellIs" dxfId="1705" priority="1760" stopIfTrue="1" operator="greaterThan">
      <formula>0</formula>
    </cfRule>
  </conditionalFormatting>
  <conditionalFormatting sqref="I362">
    <cfRule type="cellIs" dxfId="1704" priority="1758" stopIfTrue="1" operator="greaterThan">
      <formula>0</formula>
    </cfRule>
  </conditionalFormatting>
  <conditionalFormatting sqref="I363">
    <cfRule type="cellIs" dxfId="1703" priority="1757" stopIfTrue="1" operator="greaterThan">
      <formula>0</formula>
    </cfRule>
  </conditionalFormatting>
  <conditionalFormatting sqref="I359">
    <cfRule type="cellIs" dxfId="1702" priority="1756" stopIfTrue="1" operator="greaterThan">
      <formula>0</formula>
    </cfRule>
  </conditionalFormatting>
  <conditionalFormatting sqref="B355:H358">
    <cfRule type="cellIs" dxfId="1701" priority="1755" stopIfTrue="1" operator="greaterThan">
      <formula>0</formula>
    </cfRule>
  </conditionalFormatting>
  <conditionalFormatting sqref="F355:F358">
    <cfRule type="cellIs" dxfId="1700" priority="1754" operator="equal">
      <formula>"NO"</formula>
    </cfRule>
  </conditionalFormatting>
  <conditionalFormatting sqref="G355:G358">
    <cfRule type="cellIs" dxfId="1699" priority="1753" stopIfTrue="1" operator="lessThan">
      <formula>0</formula>
    </cfRule>
  </conditionalFormatting>
  <conditionalFormatting sqref="H355:H358">
    <cfRule type="cellIs" dxfId="1698" priority="1752" operator="equal">
      <formula>"NO"</formula>
    </cfRule>
  </conditionalFormatting>
  <conditionalFormatting sqref="G355">
    <cfRule type="cellIs" dxfId="1697" priority="1751" operator="equal">
      <formula>"NO"</formula>
    </cfRule>
  </conditionalFormatting>
  <conditionalFormatting sqref="G356:G358">
    <cfRule type="cellIs" dxfId="1696" priority="1750" operator="equal">
      <formula>"NO"</formula>
    </cfRule>
  </conditionalFormatting>
  <conditionalFormatting sqref="I358">
    <cfRule type="cellIs" dxfId="1695" priority="1749" stopIfTrue="1" operator="greaterThan">
      <formula>0</formula>
    </cfRule>
  </conditionalFormatting>
  <conditionalFormatting sqref="H368:H369">
    <cfRule type="containsText" dxfId="1694" priority="1748" operator="containsText" text="NO CUMPLE">
      <formula>NOT(ISERROR(SEARCH("NO CUMPLE",H368)))</formula>
    </cfRule>
  </conditionalFormatting>
  <conditionalFormatting sqref="I376">
    <cfRule type="cellIs" dxfId="1693" priority="1746" stopIfTrue="1" operator="greaterThan">
      <formula>0</formula>
    </cfRule>
  </conditionalFormatting>
  <conditionalFormatting sqref="I375">
    <cfRule type="cellIs" dxfId="1692" priority="1747" stopIfTrue="1" operator="greaterThan">
      <formula>0</formula>
    </cfRule>
  </conditionalFormatting>
  <conditionalFormatting sqref="I377">
    <cfRule type="cellIs" dxfId="1691" priority="1745" stopIfTrue="1" operator="greaterThan">
      <formula>0</formula>
    </cfRule>
  </conditionalFormatting>
  <conditionalFormatting sqref="I378">
    <cfRule type="cellIs" dxfId="1690" priority="1744" stopIfTrue="1" operator="greaterThan">
      <formula>0</formula>
    </cfRule>
  </conditionalFormatting>
  <conditionalFormatting sqref="I374">
    <cfRule type="cellIs" dxfId="1689" priority="1743" stopIfTrue="1" operator="greaterThan">
      <formula>0</formula>
    </cfRule>
  </conditionalFormatting>
  <conditionalFormatting sqref="B370:H373">
    <cfRule type="cellIs" dxfId="1688" priority="1742" stopIfTrue="1" operator="greaterThan">
      <formula>0</formula>
    </cfRule>
  </conditionalFormatting>
  <conditionalFormatting sqref="F370:F373">
    <cfRule type="cellIs" dxfId="1687" priority="1741" operator="equal">
      <formula>"NO"</formula>
    </cfRule>
  </conditionalFormatting>
  <conditionalFormatting sqref="G370:G373">
    <cfRule type="cellIs" dxfId="1686" priority="1740" stopIfTrue="1" operator="lessThan">
      <formula>0</formula>
    </cfRule>
  </conditionalFormatting>
  <conditionalFormatting sqref="I370">
    <cfRule type="cellIs" dxfId="1685" priority="1739" stopIfTrue="1" operator="greaterThan">
      <formula>0</formula>
    </cfRule>
  </conditionalFormatting>
  <conditionalFormatting sqref="H370:H373">
    <cfRule type="cellIs" dxfId="1684" priority="1738" operator="equal">
      <formula>"NO"</formula>
    </cfRule>
  </conditionalFormatting>
  <conditionalFormatting sqref="G370">
    <cfRule type="cellIs" dxfId="1683" priority="1737" operator="equal">
      <formula>"NO"</formula>
    </cfRule>
  </conditionalFormatting>
  <conditionalFormatting sqref="G371:G373">
    <cfRule type="cellIs" dxfId="1682" priority="1736" operator="equal">
      <formula>"NO"</formula>
    </cfRule>
  </conditionalFormatting>
  <conditionalFormatting sqref="I373">
    <cfRule type="cellIs" dxfId="1681" priority="1735" stopIfTrue="1" operator="greaterThan">
      <formula>0</formula>
    </cfRule>
  </conditionalFormatting>
  <conditionalFormatting sqref="H383:H384">
    <cfRule type="containsText" dxfId="1680" priority="1734" operator="containsText" text="NO CUMPLE">
      <formula>NOT(ISERROR(SEARCH("NO CUMPLE",H383)))</formula>
    </cfRule>
  </conditionalFormatting>
  <conditionalFormatting sqref="I391">
    <cfRule type="cellIs" dxfId="1679" priority="1732" stopIfTrue="1" operator="greaterThan">
      <formula>0</formula>
    </cfRule>
  </conditionalFormatting>
  <conditionalFormatting sqref="I390">
    <cfRule type="cellIs" dxfId="1678" priority="1733" stopIfTrue="1" operator="greaterThan">
      <formula>0</formula>
    </cfRule>
  </conditionalFormatting>
  <conditionalFormatting sqref="I392">
    <cfRule type="cellIs" dxfId="1677" priority="1731" stopIfTrue="1" operator="greaterThan">
      <formula>0</formula>
    </cfRule>
  </conditionalFormatting>
  <conditionalFormatting sqref="I393">
    <cfRule type="cellIs" dxfId="1676" priority="1730" stopIfTrue="1" operator="greaterThan">
      <formula>0</formula>
    </cfRule>
  </conditionalFormatting>
  <conditionalFormatting sqref="I389">
    <cfRule type="cellIs" dxfId="1675" priority="1729" stopIfTrue="1" operator="greaterThan">
      <formula>0</formula>
    </cfRule>
  </conditionalFormatting>
  <conditionalFormatting sqref="B385:H388">
    <cfRule type="cellIs" dxfId="1674" priority="1728" stopIfTrue="1" operator="greaterThan">
      <formula>0</formula>
    </cfRule>
  </conditionalFormatting>
  <conditionalFormatting sqref="F385:F388">
    <cfRule type="cellIs" dxfId="1673" priority="1727" operator="equal">
      <formula>"NO"</formula>
    </cfRule>
  </conditionalFormatting>
  <conditionalFormatting sqref="G385:G388">
    <cfRule type="cellIs" dxfId="1672" priority="1726" stopIfTrue="1" operator="lessThan">
      <formula>0</formula>
    </cfRule>
  </conditionalFormatting>
  <conditionalFormatting sqref="H385:H388">
    <cfRule type="cellIs" dxfId="1671" priority="1725" operator="equal">
      <formula>"NO"</formula>
    </cfRule>
  </conditionalFormatting>
  <conditionalFormatting sqref="G385">
    <cfRule type="cellIs" dxfId="1670" priority="1724" operator="equal">
      <formula>"NO"</formula>
    </cfRule>
  </conditionalFormatting>
  <conditionalFormatting sqref="I388">
    <cfRule type="cellIs" dxfId="1669" priority="1722" stopIfTrue="1" operator="greaterThan">
      <formula>0</formula>
    </cfRule>
  </conditionalFormatting>
  <conditionalFormatting sqref="H398:H399">
    <cfRule type="containsText" dxfId="1668" priority="1721" operator="containsText" text="NO CUMPLE">
      <formula>NOT(ISERROR(SEARCH("NO CUMPLE",H398)))</formula>
    </cfRule>
  </conditionalFormatting>
  <conditionalFormatting sqref="I406">
    <cfRule type="cellIs" dxfId="1667" priority="1719" stopIfTrue="1" operator="greaterThan">
      <formula>0</formula>
    </cfRule>
  </conditionalFormatting>
  <conditionalFormatting sqref="I405">
    <cfRule type="cellIs" dxfId="1666" priority="1720" stopIfTrue="1" operator="greaterThan">
      <formula>0</formula>
    </cfRule>
  </conditionalFormatting>
  <conditionalFormatting sqref="I407">
    <cfRule type="cellIs" dxfId="1665" priority="1718" stopIfTrue="1" operator="greaterThan">
      <formula>0</formula>
    </cfRule>
  </conditionalFormatting>
  <conditionalFormatting sqref="B400:H403">
    <cfRule type="cellIs" dxfId="1664" priority="1716" stopIfTrue="1" operator="greaterThan">
      <formula>0</formula>
    </cfRule>
  </conditionalFormatting>
  <conditionalFormatting sqref="F400:F403">
    <cfRule type="cellIs" dxfId="1663" priority="1715" operator="equal">
      <formula>"NO"</formula>
    </cfRule>
  </conditionalFormatting>
  <conditionalFormatting sqref="H400:H403">
    <cfRule type="cellIs" dxfId="1662" priority="1713" operator="equal">
      <formula>"NO"</formula>
    </cfRule>
  </conditionalFormatting>
  <conditionalFormatting sqref="G400">
    <cfRule type="cellIs" dxfId="1661" priority="1712" operator="equal">
      <formula>"NO"</formula>
    </cfRule>
  </conditionalFormatting>
  <conditionalFormatting sqref="G401:G403">
    <cfRule type="cellIs" dxfId="1660" priority="1711" operator="equal">
      <formula>"NO"</formula>
    </cfRule>
  </conditionalFormatting>
  <conditionalFormatting sqref="I403">
    <cfRule type="cellIs" dxfId="1659" priority="1710" stopIfTrue="1" operator="greaterThan">
      <formula>0</formula>
    </cfRule>
  </conditionalFormatting>
  <conditionalFormatting sqref="H413:H414">
    <cfRule type="containsText" dxfId="1658" priority="1709" operator="containsText" text="NO CUMPLE">
      <formula>NOT(ISERROR(SEARCH("NO CUMPLE",H413)))</formula>
    </cfRule>
  </conditionalFormatting>
  <conditionalFormatting sqref="I421">
    <cfRule type="cellIs" dxfId="1657" priority="1707" stopIfTrue="1" operator="greaterThan">
      <formula>0</formula>
    </cfRule>
  </conditionalFormatting>
  <conditionalFormatting sqref="I420">
    <cfRule type="cellIs" dxfId="1656" priority="1708" stopIfTrue="1" operator="greaterThan">
      <formula>0</formula>
    </cfRule>
  </conditionalFormatting>
  <conditionalFormatting sqref="I422">
    <cfRule type="cellIs" dxfId="1655" priority="1706" stopIfTrue="1" operator="greaterThan">
      <formula>0</formula>
    </cfRule>
  </conditionalFormatting>
  <conditionalFormatting sqref="B415:H418">
    <cfRule type="cellIs" dxfId="1654" priority="1703" stopIfTrue="1" operator="greaterThan">
      <formula>0</formula>
    </cfRule>
  </conditionalFormatting>
  <conditionalFormatting sqref="F415:F418">
    <cfRule type="cellIs" dxfId="1653" priority="1702" operator="equal">
      <formula>"NO"</formula>
    </cfRule>
  </conditionalFormatting>
  <conditionalFormatting sqref="G415:G418">
    <cfRule type="cellIs" dxfId="1652" priority="1701" stopIfTrue="1" operator="lessThan">
      <formula>0</formula>
    </cfRule>
  </conditionalFormatting>
  <conditionalFormatting sqref="H415:H418">
    <cfRule type="cellIs" dxfId="1651" priority="1698" operator="equal">
      <formula>"NO"</formula>
    </cfRule>
  </conditionalFormatting>
  <conditionalFormatting sqref="G415">
    <cfRule type="cellIs" dxfId="1650" priority="1697" operator="equal">
      <formula>"NO"</formula>
    </cfRule>
  </conditionalFormatting>
  <conditionalFormatting sqref="G416:G418">
    <cfRule type="cellIs" dxfId="1649" priority="1696" operator="equal">
      <formula>"NO"</formula>
    </cfRule>
  </conditionalFormatting>
  <conditionalFormatting sqref="I418">
    <cfRule type="cellIs" dxfId="1648" priority="1694" stopIfTrue="1" operator="greaterThan">
      <formula>0</formula>
    </cfRule>
  </conditionalFormatting>
  <conditionalFormatting sqref="I417">
    <cfRule type="cellIs" dxfId="1647" priority="1695" stopIfTrue="1" operator="greaterThan">
      <formula>0</formula>
    </cfRule>
  </conditionalFormatting>
  <conditionalFormatting sqref="H428:H429">
    <cfRule type="containsText" dxfId="1646" priority="1693" operator="containsText" text="NO CUMPLE">
      <formula>NOT(ISERROR(SEARCH("NO CUMPLE",H428)))</formula>
    </cfRule>
  </conditionalFormatting>
  <conditionalFormatting sqref="I436">
    <cfRule type="cellIs" dxfId="1645" priority="1691" stopIfTrue="1" operator="greaterThan">
      <formula>0</formula>
    </cfRule>
  </conditionalFormatting>
  <conditionalFormatting sqref="B430:H433">
    <cfRule type="cellIs" dxfId="1644" priority="1688" stopIfTrue="1" operator="greaterThan">
      <formula>0</formula>
    </cfRule>
  </conditionalFormatting>
  <conditionalFormatting sqref="F430:F433">
    <cfRule type="cellIs" dxfId="1643" priority="1687" operator="equal">
      <formula>"NO"</formula>
    </cfRule>
  </conditionalFormatting>
  <conditionalFormatting sqref="G430:G433">
    <cfRule type="cellIs" dxfId="1642" priority="1686" stopIfTrue="1" operator="lessThan">
      <formula>0</formula>
    </cfRule>
  </conditionalFormatting>
  <conditionalFormatting sqref="H430:H433">
    <cfRule type="cellIs" dxfId="1641" priority="1685" operator="equal">
      <formula>"NO"</formula>
    </cfRule>
  </conditionalFormatting>
  <conditionalFormatting sqref="G430">
    <cfRule type="cellIs" dxfId="1640" priority="1684" operator="equal">
      <formula>"NO"</formula>
    </cfRule>
  </conditionalFormatting>
  <conditionalFormatting sqref="G431:G433">
    <cfRule type="cellIs" dxfId="1639" priority="1683" operator="equal">
      <formula>"NO"</formula>
    </cfRule>
  </conditionalFormatting>
  <conditionalFormatting sqref="H443:H444">
    <cfRule type="containsText" dxfId="1638" priority="1681" operator="containsText" text="NO CUMPLE">
      <formula>NOT(ISERROR(SEARCH("NO CUMPLE",H443)))</formula>
    </cfRule>
  </conditionalFormatting>
  <conditionalFormatting sqref="I451">
    <cfRule type="cellIs" dxfId="1637" priority="1679" stopIfTrue="1" operator="greaterThan">
      <formula>0</formula>
    </cfRule>
  </conditionalFormatting>
  <conditionalFormatting sqref="I450">
    <cfRule type="cellIs" dxfId="1636" priority="1680" stopIfTrue="1" operator="greaterThan">
      <formula>0</formula>
    </cfRule>
  </conditionalFormatting>
  <conditionalFormatting sqref="I449">
    <cfRule type="cellIs" dxfId="1635" priority="1676" stopIfTrue="1" operator="greaterThan">
      <formula>0</formula>
    </cfRule>
  </conditionalFormatting>
  <conditionalFormatting sqref="B445:H448">
    <cfRule type="cellIs" dxfId="1634" priority="1675" stopIfTrue="1" operator="greaterThan">
      <formula>0</formula>
    </cfRule>
  </conditionalFormatting>
  <conditionalFormatting sqref="F445:F448">
    <cfRule type="cellIs" dxfId="1633" priority="1674" operator="equal">
      <formula>"NO"</formula>
    </cfRule>
  </conditionalFormatting>
  <conditionalFormatting sqref="G445:G448">
    <cfRule type="cellIs" dxfId="1632" priority="1673" stopIfTrue="1" operator="lessThan">
      <formula>0</formula>
    </cfRule>
  </conditionalFormatting>
  <conditionalFormatting sqref="I446">
    <cfRule type="cellIs" dxfId="1631" priority="1671" stopIfTrue="1" operator="greaterThan">
      <formula>0</formula>
    </cfRule>
  </conditionalFormatting>
  <conditionalFormatting sqref="H445:H448">
    <cfRule type="cellIs" dxfId="1630" priority="1670" operator="equal">
      <formula>"NO"</formula>
    </cfRule>
  </conditionalFormatting>
  <conditionalFormatting sqref="G445">
    <cfRule type="cellIs" dxfId="1629" priority="1669" operator="equal">
      <formula>"NO"</formula>
    </cfRule>
  </conditionalFormatting>
  <conditionalFormatting sqref="G446:G448">
    <cfRule type="cellIs" dxfId="1628" priority="1668" operator="equal">
      <formula>"NO"</formula>
    </cfRule>
  </conditionalFormatting>
  <conditionalFormatting sqref="I448">
    <cfRule type="cellIs" dxfId="1627" priority="1666" stopIfTrue="1" operator="greaterThan">
      <formula>0</formula>
    </cfRule>
  </conditionalFormatting>
  <conditionalFormatting sqref="I447">
    <cfRule type="cellIs" dxfId="1626" priority="1667" stopIfTrue="1" operator="greaterThan">
      <formula>0</formula>
    </cfRule>
  </conditionalFormatting>
  <conditionalFormatting sqref="H458:H459">
    <cfRule type="containsText" dxfId="1625" priority="1665" operator="containsText" text="NO CUMPLE">
      <formula>NOT(ISERROR(SEARCH("NO CUMPLE",H458)))</formula>
    </cfRule>
  </conditionalFormatting>
  <conditionalFormatting sqref="I465">
    <cfRule type="cellIs" dxfId="1624" priority="1664" stopIfTrue="1" operator="greaterThan">
      <formula>0</formula>
    </cfRule>
  </conditionalFormatting>
  <conditionalFormatting sqref="B460:H463">
    <cfRule type="cellIs" dxfId="1623" priority="1660" stopIfTrue="1" operator="greaterThan">
      <formula>0</formula>
    </cfRule>
  </conditionalFormatting>
  <conditionalFormatting sqref="F460:F463">
    <cfRule type="cellIs" dxfId="1622" priority="1659" operator="equal">
      <formula>"NO"</formula>
    </cfRule>
  </conditionalFormatting>
  <conditionalFormatting sqref="G460:G463">
    <cfRule type="cellIs" dxfId="1621" priority="1658" stopIfTrue="1" operator="lessThan">
      <formula>0</formula>
    </cfRule>
  </conditionalFormatting>
  <conditionalFormatting sqref="I460">
    <cfRule type="cellIs" dxfId="1620" priority="1657" stopIfTrue="1" operator="greaterThan">
      <formula>0</formula>
    </cfRule>
  </conditionalFormatting>
  <conditionalFormatting sqref="H460:H463">
    <cfRule type="cellIs" dxfId="1619" priority="1655" operator="equal">
      <formula>"NO"</formula>
    </cfRule>
  </conditionalFormatting>
  <conditionalFormatting sqref="G460">
    <cfRule type="cellIs" dxfId="1618" priority="1654" operator="equal">
      <formula>"NO"</formula>
    </cfRule>
  </conditionalFormatting>
  <conditionalFormatting sqref="G461:G463">
    <cfRule type="cellIs" dxfId="1617" priority="1653" operator="equal">
      <formula>"NO"</formula>
    </cfRule>
  </conditionalFormatting>
  <conditionalFormatting sqref="I463">
    <cfRule type="cellIs" dxfId="1616" priority="1651" stopIfTrue="1" operator="greaterThan">
      <formula>0</formula>
    </cfRule>
  </conditionalFormatting>
  <conditionalFormatting sqref="H473:H474">
    <cfRule type="containsText" dxfId="1615" priority="1650" operator="containsText" text="NO CUMPLE">
      <formula>NOT(ISERROR(SEARCH("NO CUMPLE",H473)))</formula>
    </cfRule>
  </conditionalFormatting>
  <conditionalFormatting sqref="I480">
    <cfRule type="cellIs" dxfId="1614" priority="1649" stopIfTrue="1" operator="greaterThan">
      <formula>0</formula>
    </cfRule>
  </conditionalFormatting>
  <conditionalFormatting sqref="I483">
    <cfRule type="cellIs" dxfId="1613" priority="1646" stopIfTrue="1" operator="greaterThan">
      <formula>0</formula>
    </cfRule>
  </conditionalFormatting>
  <conditionalFormatting sqref="I479">
    <cfRule type="cellIs" dxfId="1612" priority="1645" stopIfTrue="1" operator="greaterThan">
      <formula>0</formula>
    </cfRule>
  </conditionalFormatting>
  <conditionalFormatting sqref="F475:F478">
    <cfRule type="cellIs" dxfId="1611" priority="1643" operator="equal">
      <formula>"NO"</formula>
    </cfRule>
  </conditionalFormatting>
  <conditionalFormatting sqref="G475:G478">
    <cfRule type="cellIs" dxfId="1610" priority="1642" stopIfTrue="1" operator="lessThan">
      <formula>0</formula>
    </cfRule>
  </conditionalFormatting>
  <conditionalFormatting sqref="I475">
    <cfRule type="cellIs" dxfId="1609" priority="1641" stopIfTrue="1" operator="greaterThan">
      <formula>0</formula>
    </cfRule>
  </conditionalFormatting>
  <conditionalFormatting sqref="I476">
    <cfRule type="cellIs" dxfId="1608" priority="1640" stopIfTrue="1" operator="greaterThan">
      <formula>0</formula>
    </cfRule>
  </conditionalFormatting>
  <conditionalFormatting sqref="H475:H478">
    <cfRule type="cellIs" dxfId="1607" priority="1639" operator="equal">
      <formula>"NO"</formula>
    </cfRule>
  </conditionalFormatting>
  <conditionalFormatting sqref="G475">
    <cfRule type="cellIs" dxfId="1606" priority="1638" operator="equal">
      <formula>"NO"</formula>
    </cfRule>
  </conditionalFormatting>
  <conditionalFormatting sqref="G476:G478">
    <cfRule type="cellIs" dxfId="1605" priority="1637" operator="equal">
      <formula>"NO"</formula>
    </cfRule>
  </conditionalFormatting>
  <conditionalFormatting sqref="I478">
    <cfRule type="cellIs" dxfId="1604" priority="1635" stopIfTrue="1" operator="greaterThan">
      <formula>0</formula>
    </cfRule>
  </conditionalFormatting>
  <conditionalFormatting sqref="I477">
    <cfRule type="cellIs" dxfId="1603" priority="1636" stopIfTrue="1" operator="greaterThan">
      <formula>0</formula>
    </cfRule>
  </conditionalFormatting>
  <conditionalFormatting sqref="H488:H489">
    <cfRule type="containsText" dxfId="1602" priority="1634" operator="containsText" text="NO CUMPLE">
      <formula>NOT(ISERROR(SEARCH("NO CUMPLE",H488)))</formula>
    </cfRule>
  </conditionalFormatting>
  <conditionalFormatting sqref="I498">
    <cfRule type="cellIs" dxfId="1601" priority="1630" stopIfTrue="1" operator="greaterThan">
      <formula>0</formula>
    </cfRule>
  </conditionalFormatting>
  <conditionalFormatting sqref="I494">
    <cfRule type="cellIs" dxfId="1600" priority="1629" stopIfTrue="1" operator="greaterThan">
      <formula>0</formula>
    </cfRule>
  </conditionalFormatting>
  <conditionalFormatting sqref="F490:F493">
    <cfRule type="cellIs" dxfId="1599" priority="1627" operator="equal">
      <formula>"NO"</formula>
    </cfRule>
  </conditionalFormatting>
  <conditionalFormatting sqref="G490:G493">
    <cfRule type="cellIs" dxfId="1598" priority="1626" stopIfTrue="1" operator="lessThan">
      <formula>0</formula>
    </cfRule>
  </conditionalFormatting>
  <conditionalFormatting sqref="H490:H493">
    <cfRule type="cellIs" dxfId="1597" priority="1625" operator="equal">
      <formula>"NO"</formula>
    </cfRule>
  </conditionalFormatting>
  <conditionalFormatting sqref="G490">
    <cfRule type="cellIs" dxfId="1596" priority="1624" operator="equal">
      <formula>"NO"</formula>
    </cfRule>
  </conditionalFormatting>
  <conditionalFormatting sqref="G491:G493">
    <cfRule type="cellIs" dxfId="1595" priority="1623" operator="equal">
      <formula>"NO"</formula>
    </cfRule>
  </conditionalFormatting>
  <conditionalFormatting sqref="H503:H504">
    <cfRule type="containsText" dxfId="1594" priority="1621" operator="containsText" text="NO CUMPLE">
      <formula>NOT(ISERROR(SEARCH("NO CUMPLE",H503)))</formula>
    </cfRule>
  </conditionalFormatting>
  <conditionalFormatting sqref="I512">
    <cfRule type="cellIs" dxfId="1593" priority="1619" stopIfTrue="1" operator="greaterThan">
      <formula>0</formula>
    </cfRule>
  </conditionalFormatting>
  <conditionalFormatting sqref="F505:F508">
    <cfRule type="cellIs" dxfId="1592" priority="1616" operator="equal">
      <formula>"NO"</formula>
    </cfRule>
  </conditionalFormatting>
  <conditionalFormatting sqref="G505:G508">
    <cfRule type="cellIs" dxfId="1591" priority="1615" stopIfTrue="1" operator="lessThan">
      <formula>0</formula>
    </cfRule>
  </conditionalFormatting>
  <conditionalFormatting sqref="I505">
    <cfRule type="cellIs" dxfId="1590" priority="1614" stopIfTrue="1" operator="greaterThan">
      <formula>0</formula>
    </cfRule>
  </conditionalFormatting>
  <conditionalFormatting sqref="I506">
    <cfRule type="cellIs" dxfId="1589" priority="1613" stopIfTrue="1" operator="greaterThan">
      <formula>0</formula>
    </cfRule>
  </conditionalFormatting>
  <conditionalFormatting sqref="H505:H508">
    <cfRule type="cellIs" dxfId="1588" priority="1612" operator="equal">
      <formula>"NO"</formula>
    </cfRule>
  </conditionalFormatting>
  <conditionalFormatting sqref="G505">
    <cfRule type="cellIs" dxfId="1587" priority="1611" operator="equal">
      <formula>"NO"</formula>
    </cfRule>
  </conditionalFormatting>
  <conditionalFormatting sqref="G506:G508">
    <cfRule type="cellIs" dxfId="1586" priority="1610" operator="equal">
      <formula>"NO"</formula>
    </cfRule>
  </conditionalFormatting>
  <conditionalFormatting sqref="I508">
    <cfRule type="cellIs" dxfId="1585" priority="1608" stopIfTrue="1" operator="greaterThan">
      <formula>0</formula>
    </cfRule>
  </conditionalFormatting>
  <conditionalFormatting sqref="I507">
    <cfRule type="cellIs" dxfId="1584" priority="1609" stopIfTrue="1" operator="greaterThan">
      <formula>0</formula>
    </cfRule>
  </conditionalFormatting>
  <conditionalFormatting sqref="H518:H519">
    <cfRule type="containsText" dxfId="1583" priority="1607" operator="containsText" text="NO CUMPLE">
      <formula>NOT(ISERROR(SEARCH("NO CUMPLE",H518)))</formula>
    </cfRule>
  </conditionalFormatting>
  <conditionalFormatting sqref="I527">
    <cfRule type="cellIs" dxfId="1582" priority="1604" stopIfTrue="1" operator="greaterThan">
      <formula>0</formula>
    </cfRule>
  </conditionalFormatting>
  <conditionalFormatting sqref="I528">
    <cfRule type="cellIs" dxfId="1581" priority="1603" stopIfTrue="1" operator="greaterThan">
      <formula>0</formula>
    </cfRule>
  </conditionalFormatting>
  <conditionalFormatting sqref="I524">
    <cfRule type="cellIs" dxfId="1580" priority="1602" stopIfTrue="1" operator="greaterThan">
      <formula>0</formula>
    </cfRule>
  </conditionalFormatting>
  <conditionalFormatting sqref="F520:F523">
    <cfRule type="cellIs" dxfId="1579" priority="1600" operator="equal">
      <formula>"NO"</formula>
    </cfRule>
  </conditionalFormatting>
  <conditionalFormatting sqref="G520:G523">
    <cfRule type="cellIs" dxfId="1578" priority="1599" stopIfTrue="1" operator="lessThan">
      <formula>0</formula>
    </cfRule>
  </conditionalFormatting>
  <conditionalFormatting sqref="I521">
    <cfRule type="cellIs" dxfId="1577" priority="1597" stopIfTrue="1" operator="greaterThan">
      <formula>0</formula>
    </cfRule>
  </conditionalFormatting>
  <conditionalFormatting sqref="H520:H523">
    <cfRule type="cellIs" dxfId="1576" priority="1596" operator="equal">
      <formula>"NO"</formula>
    </cfRule>
  </conditionalFormatting>
  <conditionalFormatting sqref="G520">
    <cfRule type="cellIs" dxfId="1575" priority="1595" operator="equal">
      <formula>"NO"</formula>
    </cfRule>
  </conditionalFormatting>
  <conditionalFormatting sqref="G521:G523">
    <cfRule type="cellIs" dxfId="1574" priority="1594" operator="equal">
      <formula>"NO"</formula>
    </cfRule>
  </conditionalFormatting>
  <conditionalFormatting sqref="I523">
    <cfRule type="cellIs" dxfId="1573" priority="1592" stopIfTrue="1" operator="greaterThan">
      <formula>0</formula>
    </cfRule>
  </conditionalFormatting>
  <conditionalFormatting sqref="H533:H534">
    <cfRule type="containsText" dxfId="1572" priority="1591" operator="containsText" text="NO CUMPLE">
      <formula>NOT(ISERROR(SEARCH("NO CUMPLE",H533)))</formula>
    </cfRule>
  </conditionalFormatting>
  <conditionalFormatting sqref="I541">
    <cfRule type="cellIs" dxfId="1571" priority="1589" stopIfTrue="1" operator="greaterThan">
      <formula>0</formula>
    </cfRule>
  </conditionalFormatting>
  <conditionalFormatting sqref="I539">
    <cfRule type="cellIs" dxfId="1570" priority="1586" stopIfTrue="1" operator="greaterThan">
      <formula>0</formula>
    </cfRule>
  </conditionalFormatting>
  <conditionalFormatting sqref="G535:G538">
    <cfRule type="cellIs" dxfId="1569" priority="1583" stopIfTrue="1" operator="lessThan">
      <formula>0</formula>
    </cfRule>
  </conditionalFormatting>
  <conditionalFormatting sqref="H535:H538">
    <cfRule type="cellIs" dxfId="1568" priority="1582" operator="equal">
      <formula>"NO"</formula>
    </cfRule>
  </conditionalFormatting>
  <conditionalFormatting sqref="G535">
    <cfRule type="cellIs" dxfId="1567" priority="1581" operator="equal">
      <formula>"NO"</formula>
    </cfRule>
  </conditionalFormatting>
  <conditionalFormatting sqref="G536:G538">
    <cfRule type="cellIs" dxfId="1566" priority="1580" operator="equal">
      <formula>"NO"</formula>
    </cfRule>
  </conditionalFormatting>
  <conditionalFormatting sqref="I538">
    <cfRule type="cellIs" dxfId="1565" priority="1578" stopIfTrue="1" operator="greaterThan">
      <formula>0</formula>
    </cfRule>
  </conditionalFormatting>
  <conditionalFormatting sqref="I537">
    <cfRule type="cellIs" dxfId="1564" priority="1579" stopIfTrue="1" operator="greaterThan">
      <formula>0</formula>
    </cfRule>
  </conditionalFormatting>
  <conditionalFormatting sqref="H548:H549">
    <cfRule type="containsText" dxfId="1563" priority="1577" operator="containsText" text="NO CUMPLE">
      <formula>NOT(ISERROR(SEARCH("NO CUMPLE",H548)))</formula>
    </cfRule>
  </conditionalFormatting>
  <conditionalFormatting sqref="I556">
    <cfRule type="cellIs" dxfId="1562" priority="1575" stopIfTrue="1" operator="greaterThan">
      <formula>0</formula>
    </cfRule>
  </conditionalFormatting>
  <conditionalFormatting sqref="I558">
    <cfRule type="cellIs" dxfId="1561" priority="1573" stopIfTrue="1" operator="greaterThan">
      <formula>0</formula>
    </cfRule>
  </conditionalFormatting>
  <conditionalFormatting sqref="I554">
    <cfRule type="cellIs" dxfId="1560" priority="1572" stopIfTrue="1" operator="greaterThan">
      <formula>0</formula>
    </cfRule>
  </conditionalFormatting>
  <conditionalFormatting sqref="B550:H553">
    <cfRule type="cellIs" dxfId="1559" priority="1571" stopIfTrue="1" operator="greaterThan">
      <formula>0</formula>
    </cfRule>
  </conditionalFormatting>
  <conditionalFormatting sqref="F550:F553">
    <cfRule type="cellIs" dxfId="1558" priority="1570" operator="equal">
      <formula>"NO"</formula>
    </cfRule>
  </conditionalFormatting>
  <conditionalFormatting sqref="G550:G553">
    <cfRule type="cellIs" dxfId="1557" priority="1569" stopIfTrue="1" operator="lessThan">
      <formula>0</formula>
    </cfRule>
  </conditionalFormatting>
  <conditionalFormatting sqref="I550">
    <cfRule type="cellIs" dxfId="1556" priority="1568" stopIfTrue="1" operator="greaterThan">
      <formula>0</formula>
    </cfRule>
  </conditionalFormatting>
  <conditionalFormatting sqref="I551">
    <cfRule type="cellIs" dxfId="1555" priority="1567" stopIfTrue="1" operator="greaterThan">
      <formula>0</formula>
    </cfRule>
  </conditionalFormatting>
  <conditionalFormatting sqref="H550:H553">
    <cfRule type="cellIs" dxfId="1554" priority="1566" operator="equal">
      <formula>"NO"</formula>
    </cfRule>
  </conditionalFormatting>
  <conditionalFormatting sqref="G550">
    <cfRule type="cellIs" dxfId="1553" priority="1565" operator="equal">
      <formula>"NO"</formula>
    </cfRule>
  </conditionalFormatting>
  <conditionalFormatting sqref="G551:G553">
    <cfRule type="cellIs" dxfId="1552" priority="1564" operator="equal">
      <formula>"NO"</formula>
    </cfRule>
  </conditionalFormatting>
  <conditionalFormatting sqref="I553">
    <cfRule type="cellIs" dxfId="1551" priority="1562" stopIfTrue="1" operator="greaterThan">
      <formula>0</formula>
    </cfRule>
  </conditionalFormatting>
  <conditionalFormatting sqref="I552">
    <cfRule type="cellIs" dxfId="1550" priority="1563" stopIfTrue="1" operator="greaterThan">
      <formula>0</formula>
    </cfRule>
  </conditionalFormatting>
  <conditionalFormatting sqref="H563:H564">
    <cfRule type="containsText" dxfId="1549" priority="1561" operator="containsText" text="NO CUMPLE">
      <formula>NOT(ISERROR(SEARCH("NO CUMPLE",H563)))</formula>
    </cfRule>
  </conditionalFormatting>
  <conditionalFormatting sqref="I570">
    <cfRule type="cellIs" dxfId="1548" priority="1560" stopIfTrue="1" operator="greaterThan">
      <formula>0</formula>
    </cfRule>
  </conditionalFormatting>
  <conditionalFormatting sqref="I573">
    <cfRule type="cellIs" dxfId="1547" priority="1557" stopIfTrue="1" operator="greaterThan">
      <formula>0</formula>
    </cfRule>
  </conditionalFormatting>
  <conditionalFormatting sqref="B565:H568">
    <cfRule type="cellIs" dxfId="1546" priority="1555" stopIfTrue="1" operator="greaterThan">
      <formula>0</formula>
    </cfRule>
  </conditionalFormatting>
  <conditionalFormatting sqref="F565:F568">
    <cfRule type="cellIs" dxfId="1545" priority="1554" operator="equal">
      <formula>"NO"</formula>
    </cfRule>
  </conditionalFormatting>
  <conditionalFormatting sqref="G565:G568">
    <cfRule type="cellIs" dxfId="1544" priority="1553" stopIfTrue="1" operator="lessThan">
      <formula>0</formula>
    </cfRule>
  </conditionalFormatting>
  <conditionalFormatting sqref="I565">
    <cfRule type="cellIs" dxfId="1543" priority="1552" stopIfTrue="1" operator="greaterThan">
      <formula>0</formula>
    </cfRule>
  </conditionalFormatting>
  <conditionalFormatting sqref="I566">
    <cfRule type="cellIs" dxfId="1542" priority="1551" stopIfTrue="1" operator="greaterThan">
      <formula>0</formula>
    </cfRule>
  </conditionalFormatting>
  <conditionalFormatting sqref="H565:H568">
    <cfRule type="cellIs" dxfId="1541" priority="1550" operator="equal">
      <formula>"NO"</formula>
    </cfRule>
  </conditionalFormatting>
  <conditionalFormatting sqref="G565">
    <cfRule type="cellIs" dxfId="1540" priority="1549" operator="equal">
      <formula>"NO"</formula>
    </cfRule>
  </conditionalFormatting>
  <conditionalFormatting sqref="G566:G568">
    <cfRule type="cellIs" dxfId="1539" priority="1548" operator="equal">
      <formula>"NO"</formula>
    </cfRule>
  </conditionalFormatting>
  <conditionalFormatting sqref="I568">
    <cfRule type="cellIs" dxfId="1538" priority="1546" stopIfTrue="1" operator="greaterThan">
      <formula>0</formula>
    </cfRule>
  </conditionalFormatting>
  <conditionalFormatting sqref="I567">
    <cfRule type="cellIs" dxfId="1537" priority="1547" stopIfTrue="1" operator="greaterThan">
      <formula>0</formula>
    </cfRule>
  </conditionalFormatting>
  <conditionalFormatting sqref="H578:H579">
    <cfRule type="containsText" dxfId="1536" priority="1545" operator="containsText" text="NO CUMPLE">
      <formula>NOT(ISERROR(SEARCH("NO CUMPLE",H578)))</formula>
    </cfRule>
  </conditionalFormatting>
  <conditionalFormatting sqref="I586">
    <cfRule type="cellIs" dxfId="1535" priority="1544" stopIfTrue="1" operator="greaterThan">
      <formula>0</formula>
    </cfRule>
  </conditionalFormatting>
  <conditionalFormatting sqref="I588">
    <cfRule type="cellIs" dxfId="1534" priority="1542" stopIfTrue="1" operator="greaterThan">
      <formula>0</formula>
    </cfRule>
  </conditionalFormatting>
  <conditionalFormatting sqref="F580:F583">
    <cfRule type="cellIs" dxfId="1533" priority="1540" operator="equal">
      <formula>"NO"</formula>
    </cfRule>
  </conditionalFormatting>
  <conditionalFormatting sqref="G580:G583">
    <cfRule type="cellIs" dxfId="1532" priority="1539" stopIfTrue="1" operator="lessThan">
      <formula>0</formula>
    </cfRule>
  </conditionalFormatting>
  <conditionalFormatting sqref="H580:H583">
    <cfRule type="cellIs" dxfId="1531" priority="1537" operator="equal">
      <formula>"NO"</formula>
    </cfRule>
  </conditionalFormatting>
  <conditionalFormatting sqref="G580">
    <cfRule type="cellIs" dxfId="1530" priority="1536" operator="equal">
      <formula>"NO"</formula>
    </cfRule>
  </conditionalFormatting>
  <conditionalFormatting sqref="G581:G583">
    <cfRule type="cellIs" dxfId="1529" priority="1535" operator="equal">
      <formula>"NO"</formula>
    </cfRule>
  </conditionalFormatting>
  <conditionalFormatting sqref="I583">
    <cfRule type="cellIs" dxfId="1528" priority="1533" stopIfTrue="1" operator="greaterThan">
      <formula>0</formula>
    </cfRule>
  </conditionalFormatting>
  <conditionalFormatting sqref="I582">
    <cfRule type="cellIs" dxfId="1527" priority="1534" stopIfTrue="1" operator="greaterThan">
      <formula>0</formula>
    </cfRule>
  </conditionalFormatting>
  <conditionalFormatting sqref="H593:H594">
    <cfRule type="containsText" dxfId="1526" priority="1532" operator="containsText" text="NO CUMPLE">
      <formula>NOT(ISERROR(SEARCH("NO CUMPLE",H593)))</formula>
    </cfRule>
  </conditionalFormatting>
  <conditionalFormatting sqref="I603">
    <cfRule type="cellIs" dxfId="1525" priority="1529" stopIfTrue="1" operator="greaterThan">
      <formula>0</formula>
    </cfRule>
  </conditionalFormatting>
  <conditionalFormatting sqref="B598:H598 B595:G597">
    <cfRule type="cellIs" dxfId="1524" priority="1528" stopIfTrue="1" operator="greaterThan">
      <formula>0</formula>
    </cfRule>
  </conditionalFormatting>
  <conditionalFormatting sqref="F595:F598">
    <cfRule type="cellIs" dxfId="1523" priority="1527" operator="equal">
      <formula>"NO"</formula>
    </cfRule>
  </conditionalFormatting>
  <conditionalFormatting sqref="G595:G598">
    <cfRule type="cellIs" dxfId="1522" priority="1526" stopIfTrue="1" operator="lessThan">
      <formula>0</formula>
    </cfRule>
  </conditionalFormatting>
  <conditionalFormatting sqref="I596">
    <cfRule type="cellIs" dxfId="1521" priority="1525" stopIfTrue="1" operator="greaterThan">
      <formula>0</formula>
    </cfRule>
  </conditionalFormatting>
  <conditionalFormatting sqref="H598">
    <cfRule type="cellIs" dxfId="1520" priority="1524" operator="equal">
      <formula>"NO"</formula>
    </cfRule>
  </conditionalFormatting>
  <conditionalFormatting sqref="G595">
    <cfRule type="cellIs" dxfId="1519" priority="1523" operator="equal">
      <formula>"NO"</formula>
    </cfRule>
  </conditionalFormatting>
  <conditionalFormatting sqref="G596:G598">
    <cfRule type="cellIs" dxfId="1518" priority="1522" operator="equal">
      <formula>"NO"</formula>
    </cfRule>
  </conditionalFormatting>
  <conditionalFormatting sqref="I598">
    <cfRule type="cellIs" dxfId="1517" priority="1520" stopIfTrue="1" operator="greaterThan">
      <formula>0</formula>
    </cfRule>
  </conditionalFormatting>
  <conditionalFormatting sqref="H608:H609">
    <cfRule type="containsText" dxfId="1516" priority="1519" operator="containsText" text="NO CUMPLE">
      <formula>NOT(ISERROR(SEARCH("NO CUMPLE",H608)))</formula>
    </cfRule>
  </conditionalFormatting>
  <conditionalFormatting sqref="I616">
    <cfRule type="cellIs" dxfId="1515" priority="1517" stopIfTrue="1" operator="greaterThan">
      <formula>0</formula>
    </cfRule>
  </conditionalFormatting>
  <conditionalFormatting sqref="I615">
    <cfRule type="cellIs" dxfId="1514" priority="1518" stopIfTrue="1" operator="greaterThan">
      <formula>0</formula>
    </cfRule>
  </conditionalFormatting>
  <conditionalFormatting sqref="I617">
    <cfRule type="cellIs" dxfId="1513" priority="1516" stopIfTrue="1" operator="greaterThan">
      <formula>0</formula>
    </cfRule>
  </conditionalFormatting>
  <conditionalFormatting sqref="I618">
    <cfRule type="cellIs" dxfId="1512" priority="1515" stopIfTrue="1" operator="greaterThan">
      <formula>0</formula>
    </cfRule>
  </conditionalFormatting>
  <conditionalFormatting sqref="F610:F613">
    <cfRule type="cellIs" dxfId="1511" priority="1512" operator="equal">
      <formula>"NO"</formula>
    </cfRule>
  </conditionalFormatting>
  <conditionalFormatting sqref="G610:G613">
    <cfRule type="cellIs" dxfId="1510" priority="1511" stopIfTrue="1" operator="lessThan">
      <formula>0</formula>
    </cfRule>
  </conditionalFormatting>
  <conditionalFormatting sqref="I610">
    <cfRule type="cellIs" dxfId="1509" priority="1510" stopIfTrue="1" operator="greaterThan">
      <formula>0</formula>
    </cfRule>
  </conditionalFormatting>
  <conditionalFormatting sqref="I611">
    <cfRule type="cellIs" dxfId="1508" priority="1509" stopIfTrue="1" operator="greaterThan">
      <formula>0</formula>
    </cfRule>
  </conditionalFormatting>
  <conditionalFormatting sqref="H613">
    <cfRule type="cellIs" dxfId="1507" priority="1508" operator="equal">
      <formula>"NO"</formula>
    </cfRule>
  </conditionalFormatting>
  <conditionalFormatting sqref="G610">
    <cfRule type="cellIs" dxfId="1506" priority="1507" operator="equal">
      <formula>"NO"</formula>
    </cfRule>
  </conditionalFormatting>
  <conditionalFormatting sqref="G611:G613">
    <cfRule type="cellIs" dxfId="1505" priority="1506" operator="equal">
      <formula>"NO"</formula>
    </cfRule>
  </conditionalFormatting>
  <conditionalFormatting sqref="I613">
    <cfRule type="cellIs" dxfId="1504" priority="1504" stopIfTrue="1" operator="greaterThan">
      <formula>0</formula>
    </cfRule>
  </conditionalFormatting>
  <conditionalFormatting sqref="I612">
    <cfRule type="cellIs" dxfId="1503" priority="1505" stopIfTrue="1" operator="greaterThan">
      <formula>0</formula>
    </cfRule>
  </conditionalFormatting>
  <conditionalFormatting sqref="H623:H624">
    <cfRule type="containsText" dxfId="1502" priority="1503" operator="containsText" text="NO CUMPLE">
      <formula>NOT(ISERROR(SEARCH("NO CUMPLE",H623)))</formula>
    </cfRule>
  </conditionalFormatting>
  <conditionalFormatting sqref="I631">
    <cfRule type="cellIs" dxfId="1501" priority="1501" stopIfTrue="1" operator="greaterThan">
      <formula>0</formula>
    </cfRule>
  </conditionalFormatting>
  <conditionalFormatting sqref="I633">
    <cfRule type="cellIs" dxfId="1500" priority="1499" stopIfTrue="1" operator="greaterThan">
      <formula>0</formula>
    </cfRule>
  </conditionalFormatting>
  <conditionalFormatting sqref="I629">
    <cfRule type="cellIs" dxfId="1499" priority="1498" stopIfTrue="1" operator="greaterThan">
      <formula>0</formula>
    </cfRule>
  </conditionalFormatting>
  <conditionalFormatting sqref="F625:F628">
    <cfRule type="cellIs" dxfId="1498" priority="1496" operator="equal">
      <formula>"NO"</formula>
    </cfRule>
  </conditionalFormatting>
  <conditionalFormatting sqref="G625:G628">
    <cfRule type="cellIs" dxfId="1497" priority="1495" stopIfTrue="1" operator="lessThan">
      <formula>0</formula>
    </cfRule>
  </conditionalFormatting>
  <conditionalFormatting sqref="I625">
    <cfRule type="cellIs" dxfId="1496" priority="1494" stopIfTrue="1" operator="greaterThan">
      <formula>0</formula>
    </cfRule>
  </conditionalFormatting>
  <conditionalFormatting sqref="H628">
    <cfRule type="cellIs" dxfId="1495" priority="1492" operator="equal">
      <formula>"NO"</formula>
    </cfRule>
  </conditionalFormatting>
  <conditionalFormatting sqref="G625">
    <cfRule type="cellIs" dxfId="1494" priority="1491" operator="equal">
      <formula>"NO"</formula>
    </cfRule>
  </conditionalFormatting>
  <conditionalFormatting sqref="G626:G628">
    <cfRule type="cellIs" dxfId="1493" priority="1490" operator="equal">
      <formula>"NO"</formula>
    </cfRule>
  </conditionalFormatting>
  <conditionalFormatting sqref="H638:H639">
    <cfRule type="containsText" dxfId="1492" priority="1487" operator="containsText" text="NO CUMPLE">
      <formula>NOT(ISERROR(SEARCH("NO CUMPLE",H638)))</formula>
    </cfRule>
  </conditionalFormatting>
  <conditionalFormatting sqref="B643:H643 B640:G642">
    <cfRule type="cellIs" dxfId="1491" priority="1483" stopIfTrue="1" operator="greaterThan">
      <formula>0</formula>
    </cfRule>
  </conditionalFormatting>
  <conditionalFormatting sqref="F640:F643">
    <cfRule type="cellIs" dxfId="1490" priority="1482" operator="equal">
      <formula>"NO"</formula>
    </cfRule>
  </conditionalFormatting>
  <conditionalFormatting sqref="G640:G643">
    <cfRule type="cellIs" dxfId="1489" priority="1481" stopIfTrue="1" operator="lessThan">
      <formula>0</formula>
    </cfRule>
  </conditionalFormatting>
  <conditionalFormatting sqref="I640">
    <cfRule type="cellIs" dxfId="1488" priority="1480" stopIfTrue="1" operator="greaterThan">
      <formula>0</formula>
    </cfRule>
  </conditionalFormatting>
  <conditionalFormatting sqref="H643">
    <cfRule type="cellIs" dxfId="1487" priority="1478" operator="equal">
      <formula>"NO"</formula>
    </cfRule>
  </conditionalFormatting>
  <conditionalFormatting sqref="G640">
    <cfRule type="cellIs" dxfId="1486" priority="1477" operator="equal">
      <formula>"NO"</formula>
    </cfRule>
  </conditionalFormatting>
  <conditionalFormatting sqref="G641:G643">
    <cfRule type="cellIs" dxfId="1485" priority="1476" operator="equal">
      <formula>"NO"</formula>
    </cfRule>
  </conditionalFormatting>
  <conditionalFormatting sqref="I643">
    <cfRule type="cellIs" dxfId="1484" priority="1474" stopIfTrue="1" operator="greaterThan">
      <formula>0</formula>
    </cfRule>
  </conditionalFormatting>
  <conditionalFormatting sqref="H653:H654">
    <cfRule type="containsText" dxfId="1483" priority="1473" operator="containsText" text="NO CUMPLE">
      <formula>NOT(ISERROR(SEARCH("NO CUMPLE",H653)))</formula>
    </cfRule>
  </conditionalFormatting>
  <conditionalFormatting sqref="I660">
    <cfRule type="cellIs" dxfId="1482" priority="1472" stopIfTrue="1" operator="greaterThan">
      <formula>0</formula>
    </cfRule>
  </conditionalFormatting>
  <conditionalFormatting sqref="I663">
    <cfRule type="cellIs" dxfId="1481" priority="1469" stopIfTrue="1" operator="greaterThan">
      <formula>0</formula>
    </cfRule>
  </conditionalFormatting>
  <conditionalFormatting sqref="I659">
    <cfRule type="cellIs" dxfId="1480" priority="1468" stopIfTrue="1" operator="greaterThan">
      <formula>0</formula>
    </cfRule>
  </conditionalFormatting>
  <conditionalFormatting sqref="B655:H658">
    <cfRule type="cellIs" dxfId="1479" priority="1467" stopIfTrue="1" operator="greaterThan">
      <formula>0</formula>
    </cfRule>
  </conditionalFormatting>
  <conditionalFormatting sqref="F655:F658">
    <cfRule type="cellIs" dxfId="1478" priority="1466" operator="equal">
      <formula>"NO"</formula>
    </cfRule>
  </conditionalFormatting>
  <conditionalFormatting sqref="G655:G658">
    <cfRule type="cellIs" dxfId="1477" priority="1465" stopIfTrue="1" operator="lessThan">
      <formula>0</formula>
    </cfRule>
  </conditionalFormatting>
  <conditionalFormatting sqref="I655">
    <cfRule type="cellIs" dxfId="1476" priority="1464" stopIfTrue="1" operator="greaterThan">
      <formula>0</formula>
    </cfRule>
  </conditionalFormatting>
  <conditionalFormatting sqref="I656">
    <cfRule type="cellIs" dxfId="1475" priority="1463" stopIfTrue="1" operator="greaterThan">
      <formula>0</formula>
    </cfRule>
  </conditionalFormatting>
  <conditionalFormatting sqref="H655:H658">
    <cfRule type="cellIs" dxfId="1474" priority="1462" operator="equal">
      <formula>"NO"</formula>
    </cfRule>
  </conditionalFormatting>
  <conditionalFormatting sqref="G655">
    <cfRule type="cellIs" dxfId="1473" priority="1461" operator="equal">
      <formula>"NO"</formula>
    </cfRule>
  </conditionalFormatting>
  <conditionalFormatting sqref="G656:G658">
    <cfRule type="cellIs" dxfId="1472" priority="1460" operator="equal">
      <formula>"NO"</formula>
    </cfRule>
  </conditionalFormatting>
  <conditionalFormatting sqref="I658">
    <cfRule type="cellIs" dxfId="1471" priority="1458" stopIfTrue="1" operator="greaterThan">
      <formula>0</formula>
    </cfRule>
  </conditionalFormatting>
  <conditionalFormatting sqref="I657">
    <cfRule type="cellIs" dxfId="1470" priority="1459" stopIfTrue="1" operator="greaterThan">
      <formula>0</formula>
    </cfRule>
  </conditionalFormatting>
  <conditionalFormatting sqref="H668:H669">
    <cfRule type="containsText" dxfId="1469" priority="1457" operator="containsText" text="NO CUMPLE">
      <formula>NOT(ISERROR(SEARCH("NO CUMPLE",H668)))</formula>
    </cfRule>
  </conditionalFormatting>
  <conditionalFormatting sqref="I676">
    <cfRule type="cellIs" dxfId="1468" priority="1456" stopIfTrue="1" operator="greaterThan">
      <formula>0</formula>
    </cfRule>
  </conditionalFormatting>
  <conditionalFormatting sqref="I677">
    <cfRule type="cellIs" dxfId="1467" priority="1455" stopIfTrue="1" operator="greaterThan">
      <formula>0</formula>
    </cfRule>
  </conditionalFormatting>
  <conditionalFormatting sqref="I678">
    <cfRule type="cellIs" dxfId="1466" priority="1454" stopIfTrue="1" operator="greaterThan">
      <formula>0</formula>
    </cfRule>
  </conditionalFormatting>
  <conditionalFormatting sqref="B670:H673">
    <cfRule type="cellIs" dxfId="1465" priority="1453" stopIfTrue="1" operator="greaterThan">
      <formula>0</formula>
    </cfRule>
  </conditionalFormatting>
  <conditionalFormatting sqref="F670:F673">
    <cfRule type="cellIs" dxfId="1464" priority="1452" operator="equal">
      <formula>"NO"</formula>
    </cfRule>
  </conditionalFormatting>
  <conditionalFormatting sqref="G670:G673">
    <cfRule type="cellIs" dxfId="1463" priority="1451" stopIfTrue="1" operator="lessThan">
      <formula>0</formula>
    </cfRule>
  </conditionalFormatting>
  <conditionalFormatting sqref="H670:H673">
    <cfRule type="cellIs" dxfId="1462" priority="1448" operator="equal">
      <formula>"NO"</formula>
    </cfRule>
  </conditionalFormatting>
  <conditionalFormatting sqref="G670">
    <cfRule type="cellIs" dxfId="1461" priority="1447" operator="equal">
      <formula>"NO"</formula>
    </cfRule>
  </conditionalFormatting>
  <conditionalFormatting sqref="G671:G673">
    <cfRule type="cellIs" dxfId="1460" priority="1446" operator="equal">
      <formula>"NO"</formula>
    </cfRule>
  </conditionalFormatting>
  <conditionalFormatting sqref="I673">
    <cfRule type="cellIs" dxfId="1459" priority="1444" stopIfTrue="1" operator="greaterThan">
      <formula>0</formula>
    </cfRule>
  </conditionalFormatting>
  <conditionalFormatting sqref="I672">
    <cfRule type="cellIs" dxfId="1458" priority="1445" stopIfTrue="1" operator="greaterThan">
      <formula>0</formula>
    </cfRule>
  </conditionalFormatting>
  <conditionalFormatting sqref="H683:H684">
    <cfRule type="containsText" dxfId="1457" priority="1443" operator="containsText" text="NO CUMPLE">
      <formula>NOT(ISERROR(SEARCH("NO CUMPLE",H683)))</formula>
    </cfRule>
  </conditionalFormatting>
  <conditionalFormatting sqref="B685:H688">
    <cfRule type="cellIs" dxfId="1456" priority="1439" stopIfTrue="1" operator="greaterThan">
      <formula>0</formula>
    </cfRule>
  </conditionalFormatting>
  <conditionalFormatting sqref="F685:F688">
    <cfRule type="cellIs" dxfId="1455" priority="1438" operator="equal">
      <formula>"NO"</formula>
    </cfRule>
  </conditionalFormatting>
  <conditionalFormatting sqref="G685:G688">
    <cfRule type="cellIs" dxfId="1454" priority="1437" stopIfTrue="1" operator="lessThan">
      <formula>0</formula>
    </cfRule>
  </conditionalFormatting>
  <conditionalFormatting sqref="H685:H688">
    <cfRule type="cellIs" dxfId="1453" priority="1435" operator="equal">
      <formula>"NO"</formula>
    </cfRule>
  </conditionalFormatting>
  <conditionalFormatting sqref="G685">
    <cfRule type="cellIs" dxfId="1452" priority="1434" operator="equal">
      <formula>"NO"</formula>
    </cfRule>
  </conditionalFormatting>
  <conditionalFormatting sqref="G686:G688">
    <cfRule type="cellIs" dxfId="1451" priority="1433" operator="equal">
      <formula>"NO"</formula>
    </cfRule>
  </conditionalFormatting>
  <conditionalFormatting sqref="I688">
    <cfRule type="cellIs" dxfId="1450" priority="1431" stopIfTrue="1" operator="greaterThan">
      <formula>0</formula>
    </cfRule>
  </conditionalFormatting>
  <conditionalFormatting sqref="H698:H699">
    <cfRule type="containsText" dxfId="1449" priority="1430" operator="containsText" text="NO CUMPLE">
      <formula>NOT(ISERROR(SEARCH("NO CUMPLE",H698)))</formula>
    </cfRule>
  </conditionalFormatting>
  <conditionalFormatting sqref="I705">
    <cfRule type="cellIs" dxfId="1448" priority="1429" stopIfTrue="1" operator="greaterThan">
      <formula>0</formula>
    </cfRule>
  </conditionalFormatting>
  <conditionalFormatting sqref="I708">
    <cfRule type="cellIs" dxfId="1447" priority="1426" stopIfTrue="1" operator="greaterThan">
      <formula>0</formula>
    </cfRule>
  </conditionalFormatting>
  <conditionalFormatting sqref="B700:H703">
    <cfRule type="cellIs" dxfId="1446" priority="1424" stopIfTrue="1" operator="greaterThan">
      <formula>0</formula>
    </cfRule>
  </conditionalFormatting>
  <conditionalFormatting sqref="F700:F703">
    <cfRule type="cellIs" dxfId="1445" priority="1423" operator="equal">
      <formula>"NO"</formula>
    </cfRule>
  </conditionalFormatting>
  <conditionalFormatting sqref="G700:G703">
    <cfRule type="cellIs" dxfId="1444" priority="1422" stopIfTrue="1" operator="lessThan">
      <formula>0</formula>
    </cfRule>
  </conditionalFormatting>
  <conditionalFormatting sqref="I700">
    <cfRule type="cellIs" dxfId="1443" priority="1421" stopIfTrue="1" operator="greaterThan">
      <formula>0</formula>
    </cfRule>
  </conditionalFormatting>
  <conditionalFormatting sqref="I701">
    <cfRule type="cellIs" dxfId="1442" priority="1420" stopIfTrue="1" operator="greaterThan">
      <formula>0</formula>
    </cfRule>
  </conditionalFormatting>
  <conditionalFormatting sqref="H700:H703">
    <cfRule type="cellIs" dxfId="1441" priority="1419" operator="equal">
      <formula>"NO"</formula>
    </cfRule>
  </conditionalFormatting>
  <conditionalFormatting sqref="G700">
    <cfRule type="cellIs" dxfId="1440" priority="1418" operator="equal">
      <formula>"NO"</formula>
    </cfRule>
  </conditionalFormatting>
  <conditionalFormatting sqref="G701:G703">
    <cfRule type="cellIs" dxfId="1439" priority="1417" operator="equal">
      <formula>"NO"</formula>
    </cfRule>
  </conditionalFormatting>
  <conditionalFormatting sqref="I703">
    <cfRule type="cellIs" dxfId="1438" priority="1415" stopIfTrue="1" operator="greaterThan">
      <formula>0</formula>
    </cfRule>
  </conditionalFormatting>
  <conditionalFormatting sqref="I702">
    <cfRule type="cellIs" dxfId="1437" priority="1416" stopIfTrue="1" operator="greaterThan">
      <formula>0</formula>
    </cfRule>
  </conditionalFormatting>
  <conditionalFormatting sqref="H713:H714">
    <cfRule type="containsText" dxfId="1436" priority="1414" operator="containsText" text="NO CUMPLE">
      <formula>NOT(ISERROR(SEARCH("NO CUMPLE",H713)))</formula>
    </cfRule>
  </conditionalFormatting>
  <conditionalFormatting sqref="I721">
    <cfRule type="cellIs" dxfId="1435" priority="1412" stopIfTrue="1" operator="greaterThan">
      <formula>0</formula>
    </cfRule>
  </conditionalFormatting>
  <conditionalFormatting sqref="I720">
    <cfRule type="cellIs" dxfId="1434" priority="1413" stopIfTrue="1" operator="greaterThan">
      <formula>0</formula>
    </cfRule>
  </conditionalFormatting>
  <conditionalFormatting sqref="I722">
    <cfRule type="cellIs" dxfId="1433" priority="1411" stopIfTrue="1" operator="greaterThan">
      <formula>0</formula>
    </cfRule>
  </conditionalFormatting>
  <conditionalFormatting sqref="I723">
    <cfRule type="cellIs" dxfId="1432" priority="1410" stopIfTrue="1" operator="greaterThan">
      <formula>0</formula>
    </cfRule>
  </conditionalFormatting>
  <conditionalFormatting sqref="I719">
    <cfRule type="cellIs" dxfId="1431" priority="1409" stopIfTrue="1" operator="greaterThan">
      <formula>0</formula>
    </cfRule>
  </conditionalFormatting>
  <conditionalFormatting sqref="B715:H718">
    <cfRule type="cellIs" dxfId="1430" priority="1408" stopIfTrue="1" operator="greaterThan">
      <formula>0</formula>
    </cfRule>
  </conditionalFormatting>
  <conditionalFormatting sqref="F715:F718">
    <cfRule type="cellIs" dxfId="1429" priority="1407" operator="equal">
      <formula>"NO"</formula>
    </cfRule>
  </conditionalFormatting>
  <conditionalFormatting sqref="G715:G718">
    <cfRule type="cellIs" dxfId="1428" priority="1406" stopIfTrue="1" operator="lessThan">
      <formula>0</formula>
    </cfRule>
  </conditionalFormatting>
  <conditionalFormatting sqref="I715">
    <cfRule type="cellIs" dxfId="1427" priority="1405" stopIfTrue="1" operator="greaterThan">
      <formula>0</formula>
    </cfRule>
  </conditionalFormatting>
  <conditionalFormatting sqref="I716">
    <cfRule type="cellIs" dxfId="1426" priority="1404" stopIfTrue="1" operator="greaterThan">
      <formula>0</formula>
    </cfRule>
  </conditionalFormatting>
  <conditionalFormatting sqref="H715:H718">
    <cfRule type="cellIs" dxfId="1425" priority="1403" operator="equal">
      <formula>"NO"</formula>
    </cfRule>
  </conditionalFormatting>
  <conditionalFormatting sqref="G715">
    <cfRule type="cellIs" dxfId="1424" priority="1402" operator="equal">
      <formula>"NO"</formula>
    </cfRule>
  </conditionalFormatting>
  <conditionalFormatting sqref="G716:G718">
    <cfRule type="cellIs" dxfId="1423" priority="1401" operator="equal">
      <formula>"NO"</formula>
    </cfRule>
  </conditionalFormatting>
  <conditionalFormatting sqref="I718">
    <cfRule type="cellIs" dxfId="1422" priority="1399" stopIfTrue="1" operator="greaterThan">
      <formula>0</formula>
    </cfRule>
  </conditionalFormatting>
  <conditionalFormatting sqref="I717">
    <cfRule type="cellIs" dxfId="1421" priority="1400" stopIfTrue="1" operator="greaterThan">
      <formula>0</formula>
    </cfRule>
  </conditionalFormatting>
  <conditionalFormatting sqref="H728:H729">
    <cfRule type="containsText" dxfId="1420" priority="1398" operator="containsText" text="NO CUMPLE">
      <formula>NOT(ISERROR(SEARCH("NO CUMPLE",H728)))</formula>
    </cfRule>
  </conditionalFormatting>
  <conditionalFormatting sqref="I736">
    <cfRule type="cellIs" dxfId="1419" priority="1396" stopIfTrue="1" operator="greaterThan">
      <formula>0</formula>
    </cfRule>
  </conditionalFormatting>
  <conditionalFormatting sqref="I735">
    <cfRule type="cellIs" dxfId="1418" priority="1397" stopIfTrue="1" operator="greaterThan">
      <formula>0</formula>
    </cfRule>
  </conditionalFormatting>
  <conditionalFormatting sqref="I737">
    <cfRule type="cellIs" dxfId="1417" priority="1395" stopIfTrue="1" operator="greaterThan">
      <formula>0</formula>
    </cfRule>
  </conditionalFormatting>
  <conditionalFormatting sqref="I738">
    <cfRule type="cellIs" dxfId="1416" priority="1394" stopIfTrue="1" operator="greaterThan">
      <formula>0</formula>
    </cfRule>
  </conditionalFormatting>
  <conditionalFormatting sqref="I734">
    <cfRule type="cellIs" dxfId="1415" priority="1393" stopIfTrue="1" operator="greaterThan">
      <formula>0</formula>
    </cfRule>
  </conditionalFormatting>
  <conditionalFormatting sqref="B730:H733">
    <cfRule type="cellIs" dxfId="1414" priority="1392" stopIfTrue="1" operator="greaterThan">
      <formula>0</formula>
    </cfRule>
  </conditionalFormatting>
  <conditionalFormatting sqref="F730:F733">
    <cfRule type="cellIs" dxfId="1413" priority="1391" operator="equal">
      <formula>"NO"</formula>
    </cfRule>
  </conditionalFormatting>
  <conditionalFormatting sqref="G730:G733">
    <cfRule type="cellIs" dxfId="1412" priority="1390" stopIfTrue="1" operator="lessThan">
      <formula>0</formula>
    </cfRule>
  </conditionalFormatting>
  <conditionalFormatting sqref="I730">
    <cfRule type="cellIs" dxfId="1411" priority="1389" stopIfTrue="1" operator="greaterThan">
      <formula>0</formula>
    </cfRule>
  </conditionalFormatting>
  <conditionalFormatting sqref="I731">
    <cfRule type="cellIs" dxfId="1410" priority="1388" stopIfTrue="1" operator="greaterThan">
      <formula>0</formula>
    </cfRule>
  </conditionalFormatting>
  <conditionalFormatting sqref="H730:H733">
    <cfRule type="cellIs" dxfId="1409" priority="1387" operator="equal">
      <formula>"NO"</formula>
    </cfRule>
  </conditionalFormatting>
  <conditionalFormatting sqref="G730">
    <cfRule type="cellIs" dxfId="1408" priority="1386" operator="equal">
      <formula>"NO"</formula>
    </cfRule>
  </conditionalFormatting>
  <conditionalFormatting sqref="G731:G733">
    <cfRule type="cellIs" dxfId="1407" priority="1385" operator="equal">
      <formula>"NO"</formula>
    </cfRule>
  </conditionalFormatting>
  <conditionalFormatting sqref="I733">
    <cfRule type="cellIs" dxfId="1406" priority="1383" stopIfTrue="1" operator="greaterThan">
      <formula>0</formula>
    </cfRule>
  </conditionalFormatting>
  <conditionalFormatting sqref="I732">
    <cfRule type="cellIs" dxfId="1405" priority="1384" stopIfTrue="1" operator="greaterThan">
      <formula>0</formula>
    </cfRule>
  </conditionalFormatting>
  <conditionalFormatting sqref="H743:H744">
    <cfRule type="containsText" dxfId="1404" priority="1382" operator="containsText" text="NO CUMPLE">
      <formula>NOT(ISERROR(SEARCH("NO CUMPLE",H743)))</formula>
    </cfRule>
  </conditionalFormatting>
  <conditionalFormatting sqref="I751">
    <cfRule type="cellIs" dxfId="1403" priority="1380" stopIfTrue="1" operator="greaterThan">
      <formula>0</formula>
    </cfRule>
  </conditionalFormatting>
  <conditionalFormatting sqref="I750">
    <cfRule type="cellIs" dxfId="1402" priority="1381" stopIfTrue="1" operator="greaterThan">
      <formula>0</formula>
    </cfRule>
  </conditionalFormatting>
  <conditionalFormatting sqref="I752">
    <cfRule type="cellIs" dxfId="1401" priority="1379" stopIfTrue="1" operator="greaterThan">
      <formula>0</formula>
    </cfRule>
  </conditionalFormatting>
  <conditionalFormatting sqref="I753">
    <cfRule type="cellIs" dxfId="1400" priority="1378" stopIfTrue="1" operator="greaterThan">
      <formula>0</formula>
    </cfRule>
  </conditionalFormatting>
  <conditionalFormatting sqref="I749">
    <cfRule type="cellIs" dxfId="1399" priority="1377" stopIfTrue="1" operator="greaterThan">
      <formula>0</formula>
    </cfRule>
  </conditionalFormatting>
  <conditionalFormatting sqref="B745:H748">
    <cfRule type="cellIs" dxfId="1398" priority="1376" stopIfTrue="1" operator="greaterThan">
      <formula>0</formula>
    </cfRule>
  </conditionalFormatting>
  <conditionalFormatting sqref="F745:F748">
    <cfRule type="cellIs" dxfId="1397" priority="1375" operator="equal">
      <formula>"NO"</formula>
    </cfRule>
  </conditionalFormatting>
  <conditionalFormatting sqref="G745:G748">
    <cfRule type="cellIs" dxfId="1396" priority="1374" stopIfTrue="1" operator="lessThan">
      <formula>0</formula>
    </cfRule>
  </conditionalFormatting>
  <conditionalFormatting sqref="I745">
    <cfRule type="cellIs" dxfId="1395" priority="1373" stopIfTrue="1" operator="greaterThan">
      <formula>0</formula>
    </cfRule>
  </conditionalFormatting>
  <conditionalFormatting sqref="I746">
    <cfRule type="cellIs" dxfId="1394" priority="1372" stopIfTrue="1" operator="greaterThan">
      <formula>0</formula>
    </cfRule>
  </conditionalFormatting>
  <conditionalFormatting sqref="H745:H748">
    <cfRule type="cellIs" dxfId="1393" priority="1371" operator="equal">
      <formula>"NO"</formula>
    </cfRule>
  </conditionalFormatting>
  <conditionalFormatting sqref="G745">
    <cfRule type="cellIs" dxfId="1392" priority="1370" operator="equal">
      <formula>"NO"</formula>
    </cfRule>
  </conditionalFormatting>
  <conditionalFormatting sqref="G746:G748">
    <cfRule type="cellIs" dxfId="1391" priority="1369" operator="equal">
      <formula>"NO"</formula>
    </cfRule>
  </conditionalFormatting>
  <conditionalFormatting sqref="I748">
    <cfRule type="cellIs" dxfId="1390" priority="1367" stopIfTrue="1" operator="greaterThan">
      <formula>0</formula>
    </cfRule>
  </conditionalFormatting>
  <conditionalFormatting sqref="I747">
    <cfRule type="cellIs" dxfId="1389" priority="1368" stopIfTrue="1" operator="greaterThan">
      <formula>0</formula>
    </cfRule>
  </conditionalFormatting>
  <conditionalFormatting sqref="H758:H759">
    <cfRule type="containsText" dxfId="1388" priority="1366" operator="containsText" text="NO CUMPLE">
      <formula>NOT(ISERROR(SEARCH("NO CUMPLE",H758)))</formula>
    </cfRule>
  </conditionalFormatting>
  <conditionalFormatting sqref="I766">
    <cfRule type="cellIs" dxfId="1387" priority="1364" stopIfTrue="1" operator="greaterThan">
      <formula>0</formula>
    </cfRule>
  </conditionalFormatting>
  <conditionalFormatting sqref="I765">
    <cfRule type="cellIs" dxfId="1386" priority="1365" stopIfTrue="1" operator="greaterThan">
      <formula>0</formula>
    </cfRule>
  </conditionalFormatting>
  <conditionalFormatting sqref="I767">
    <cfRule type="cellIs" dxfId="1385" priority="1363" stopIfTrue="1" operator="greaterThan">
      <formula>0</formula>
    </cfRule>
  </conditionalFormatting>
  <conditionalFormatting sqref="I768">
    <cfRule type="cellIs" dxfId="1384" priority="1362" stopIfTrue="1" operator="greaterThan">
      <formula>0</formula>
    </cfRule>
  </conditionalFormatting>
  <conditionalFormatting sqref="I764">
    <cfRule type="cellIs" dxfId="1383" priority="1361" stopIfTrue="1" operator="greaterThan">
      <formula>0</formula>
    </cfRule>
  </conditionalFormatting>
  <conditionalFormatting sqref="B760:H763">
    <cfRule type="cellIs" dxfId="1382" priority="1360" stopIfTrue="1" operator="greaterThan">
      <formula>0</formula>
    </cfRule>
  </conditionalFormatting>
  <conditionalFormatting sqref="F760:F763">
    <cfRule type="cellIs" dxfId="1381" priority="1359" operator="equal">
      <formula>"NO"</formula>
    </cfRule>
  </conditionalFormatting>
  <conditionalFormatting sqref="G760:G763">
    <cfRule type="cellIs" dxfId="1380" priority="1358" stopIfTrue="1" operator="lessThan">
      <formula>0</formula>
    </cfRule>
  </conditionalFormatting>
  <conditionalFormatting sqref="I760">
    <cfRule type="cellIs" dxfId="1379" priority="1357" stopIfTrue="1" operator="greaterThan">
      <formula>0</formula>
    </cfRule>
  </conditionalFormatting>
  <conditionalFormatting sqref="I761">
    <cfRule type="cellIs" dxfId="1378" priority="1356" stopIfTrue="1" operator="greaterThan">
      <formula>0</formula>
    </cfRule>
  </conditionalFormatting>
  <conditionalFormatting sqref="H760:H763">
    <cfRule type="cellIs" dxfId="1377" priority="1355" operator="equal">
      <formula>"NO"</formula>
    </cfRule>
  </conditionalFormatting>
  <conditionalFormatting sqref="G760">
    <cfRule type="cellIs" dxfId="1376" priority="1354" operator="equal">
      <formula>"NO"</formula>
    </cfRule>
  </conditionalFormatting>
  <conditionalFormatting sqref="G761:G763">
    <cfRule type="cellIs" dxfId="1375" priority="1353" operator="equal">
      <formula>"NO"</formula>
    </cfRule>
  </conditionalFormatting>
  <conditionalFormatting sqref="I763">
    <cfRule type="cellIs" dxfId="1374" priority="1351" stopIfTrue="1" operator="greaterThan">
      <formula>0</formula>
    </cfRule>
  </conditionalFormatting>
  <conditionalFormatting sqref="I762">
    <cfRule type="cellIs" dxfId="1373" priority="1352" stopIfTrue="1" operator="greaterThan">
      <formula>0</formula>
    </cfRule>
  </conditionalFormatting>
  <conditionalFormatting sqref="H773:H774">
    <cfRule type="containsText" dxfId="1372" priority="1350" operator="containsText" text="NO CUMPLE">
      <formula>NOT(ISERROR(SEARCH("NO CUMPLE",H773)))</formula>
    </cfRule>
  </conditionalFormatting>
  <conditionalFormatting sqref="I781">
    <cfRule type="cellIs" dxfId="1371" priority="1348" stopIfTrue="1" operator="greaterThan">
      <formula>0</formula>
    </cfRule>
  </conditionalFormatting>
  <conditionalFormatting sqref="I780">
    <cfRule type="cellIs" dxfId="1370" priority="1349" stopIfTrue="1" operator="greaterThan">
      <formula>0</formula>
    </cfRule>
  </conditionalFormatting>
  <conditionalFormatting sqref="I782">
    <cfRule type="cellIs" dxfId="1369" priority="1347" stopIfTrue="1" operator="greaterThan">
      <formula>0</formula>
    </cfRule>
  </conditionalFormatting>
  <conditionalFormatting sqref="I783">
    <cfRule type="cellIs" dxfId="1368" priority="1346" stopIfTrue="1" operator="greaterThan">
      <formula>0</formula>
    </cfRule>
  </conditionalFormatting>
  <conditionalFormatting sqref="I779">
    <cfRule type="cellIs" dxfId="1367" priority="1345" stopIfTrue="1" operator="greaterThan">
      <formula>0</formula>
    </cfRule>
  </conditionalFormatting>
  <conditionalFormatting sqref="B775:H778">
    <cfRule type="cellIs" dxfId="1366" priority="1344" stopIfTrue="1" operator="greaterThan">
      <formula>0</formula>
    </cfRule>
  </conditionalFormatting>
  <conditionalFormatting sqref="F775:F778">
    <cfRule type="cellIs" dxfId="1365" priority="1343" operator="equal">
      <formula>"NO"</formula>
    </cfRule>
  </conditionalFormatting>
  <conditionalFormatting sqref="G775:G778">
    <cfRule type="cellIs" dxfId="1364" priority="1342" stopIfTrue="1" operator="lessThan">
      <formula>0</formula>
    </cfRule>
  </conditionalFormatting>
  <conditionalFormatting sqref="I775">
    <cfRule type="cellIs" dxfId="1363" priority="1341" stopIfTrue="1" operator="greaterThan">
      <formula>0</formula>
    </cfRule>
  </conditionalFormatting>
  <conditionalFormatting sqref="I776">
    <cfRule type="cellIs" dxfId="1362" priority="1340" stopIfTrue="1" operator="greaterThan">
      <formula>0</formula>
    </cfRule>
  </conditionalFormatting>
  <conditionalFormatting sqref="H775:H778">
    <cfRule type="cellIs" dxfId="1361" priority="1339" operator="equal">
      <formula>"NO"</formula>
    </cfRule>
  </conditionalFormatting>
  <conditionalFormatting sqref="G775">
    <cfRule type="cellIs" dxfId="1360" priority="1338" operator="equal">
      <formula>"NO"</formula>
    </cfRule>
  </conditionalFormatting>
  <conditionalFormatting sqref="G776:G778">
    <cfRule type="cellIs" dxfId="1359" priority="1337" operator="equal">
      <formula>"NO"</formula>
    </cfRule>
  </conditionalFormatting>
  <conditionalFormatting sqref="I778">
    <cfRule type="cellIs" dxfId="1358" priority="1335" stopIfTrue="1" operator="greaterThan">
      <formula>0</formula>
    </cfRule>
  </conditionalFormatting>
  <conditionalFormatting sqref="I777">
    <cfRule type="cellIs" dxfId="1357" priority="1336" stopIfTrue="1" operator="greaterThan">
      <formula>0</formula>
    </cfRule>
  </conditionalFormatting>
  <conditionalFormatting sqref="H788:H789">
    <cfRule type="containsText" dxfId="1356" priority="1334" operator="containsText" text="NO CUMPLE">
      <formula>NOT(ISERROR(SEARCH("NO CUMPLE",H788)))</formula>
    </cfRule>
  </conditionalFormatting>
  <conditionalFormatting sqref="I796">
    <cfRule type="cellIs" dxfId="1355" priority="1332" stopIfTrue="1" operator="greaterThan">
      <formula>0</formula>
    </cfRule>
  </conditionalFormatting>
  <conditionalFormatting sqref="I795">
    <cfRule type="cellIs" dxfId="1354" priority="1333" stopIfTrue="1" operator="greaterThan">
      <formula>0</formula>
    </cfRule>
  </conditionalFormatting>
  <conditionalFormatting sqref="I797">
    <cfRule type="cellIs" dxfId="1353" priority="1331" stopIfTrue="1" operator="greaterThan">
      <formula>0</formula>
    </cfRule>
  </conditionalFormatting>
  <conditionalFormatting sqref="I798">
    <cfRule type="cellIs" dxfId="1352" priority="1330" stopIfTrue="1" operator="greaterThan">
      <formula>0</formula>
    </cfRule>
  </conditionalFormatting>
  <conditionalFormatting sqref="I794">
    <cfRule type="cellIs" dxfId="1351" priority="1329" stopIfTrue="1" operator="greaterThan">
      <formula>0</formula>
    </cfRule>
  </conditionalFormatting>
  <conditionalFormatting sqref="B790:H793">
    <cfRule type="cellIs" dxfId="1350" priority="1328" stopIfTrue="1" operator="greaterThan">
      <formula>0</formula>
    </cfRule>
  </conditionalFormatting>
  <conditionalFormatting sqref="F790:F793">
    <cfRule type="cellIs" dxfId="1349" priority="1327" operator="equal">
      <formula>"NO"</formula>
    </cfRule>
  </conditionalFormatting>
  <conditionalFormatting sqref="G790:G793">
    <cfRule type="cellIs" dxfId="1348" priority="1326" stopIfTrue="1" operator="lessThan">
      <formula>0</formula>
    </cfRule>
  </conditionalFormatting>
  <conditionalFormatting sqref="I790">
    <cfRule type="cellIs" dxfId="1347" priority="1325" stopIfTrue="1" operator="greaterThan">
      <formula>0</formula>
    </cfRule>
  </conditionalFormatting>
  <conditionalFormatting sqref="I791">
    <cfRule type="cellIs" dxfId="1346" priority="1324" stopIfTrue="1" operator="greaterThan">
      <formula>0</formula>
    </cfRule>
  </conditionalFormatting>
  <conditionalFormatting sqref="H790:H793">
    <cfRule type="cellIs" dxfId="1345" priority="1323" operator="equal">
      <formula>"NO"</formula>
    </cfRule>
  </conditionalFormatting>
  <conditionalFormatting sqref="G790">
    <cfRule type="cellIs" dxfId="1344" priority="1322" operator="equal">
      <formula>"NO"</formula>
    </cfRule>
  </conditionalFormatting>
  <conditionalFormatting sqref="G791:G793">
    <cfRule type="cellIs" dxfId="1343" priority="1321" operator="equal">
      <formula>"NO"</formula>
    </cfRule>
  </conditionalFormatting>
  <conditionalFormatting sqref="I793">
    <cfRule type="cellIs" dxfId="1342" priority="1319" stopIfTrue="1" operator="greaterThan">
      <formula>0</formula>
    </cfRule>
  </conditionalFormatting>
  <conditionalFormatting sqref="H803:H804">
    <cfRule type="containsText" dxfId="1341" priority="1318" operator="containsText" text="NO CUMPLE">
      <formula>NOT(ISERROR(SEARCH("NO CUMPLE",H803)))</formula>
    </cfRule>
  </conditionalFormatting>
  <conditionalFormatting sqref="I811">
    <cfRule type="cellIs" dxfId="1340" priority="1316" stopIfTrue="1" operator="greaterThan">
      <formula>0</formula>
    </cfRule>
  </conditionalFormatting>
  <conditionalFormatting sqref="I810">
    <cfRule type="cellIs" dxfId="1339" priority="1317" stopIfTrue="1" operator="greaterThan">
      <formula>0</formula>
    </cfRule>
  </conditionalFormatting>
  <conditionalFormatting sqref="I812">
    <cfRule type="cellIs" dxfId="1338" priority="1315" stopIfTrue="1" operator="greaterThan">
      <formula>0</formula>
    </cfRule>
  </conditionalFormatting>
  <conditionalFormatting sqref="I813">
    <cfRule type="cellIs" dxfId="1337" priority="1314" stopIfTrue="1" operator="greaterThan">
      <formula>0</formula>
    </cfRule>
  </conditionalFormatting>
  <conditionalFormatting sqref="I809">
    <cfRule type="cellIs" dxfId="1336" priority="1313" stopIfTrue="1" operator="greaterThan">
      <formula>0</formula>
    </cfRule>
  </conditionalFormatting>
  <conditionalFormatting sqref="B805:H808">
    <cfRule type="cellIs" dxfId="1335" priority="1312" stopIfTrue="1" operator="greaterThan">
      <formula>0</formula>
    </cfRule>
  </conditionalFormatting>
  <conditionalFormatting sqref="F805:F808">
    <cfRule type="cellIs" dxfId="1334" priority="1311" operator="equal">
      <formula>"NO"</formula>
    </cfRule>
  </conditionalFormatting>
  <conditionalFormatting sqref="G805:G808">
    <cfRule type="cellIs" dxfId="1333" priority="1310" stopIfTrue="1" operator="lessThan">
      <formula>0</formula>
    </cfRule>
  </conditionalFormatting>
  <conditionalFormatting sqref="I805">
    <cfRule type="cellIs" dxfId="1332" priority="1309" stopIfTrue="1" operator="greaterThan">
      <formula>0</formula>
    </cfRule>
  </conditionalFormatting>
  <conditionalFormatting sqref="I806">
    <cfRule type="cellIs" dxfId="1331" priority="1308" stopIfTrue="1" operator="greaterThan">
      <formula>0</formula>
    </cfRule>
  </conditionalFormatting>
  <conditionalFormatting sqref="H805:H808">
    <cfRule type="cellIs" dxfId="1330" priority="1307" operator="equal">
      <formula>"NO"</formula>
    </cfRule>
  </conditionalFormatting>
  <conditionalFormatting sqref="G805">
    <cfRule type="cellIs" dxfId="1329" priority="1306" operator="equal">
      <formula>"NO"</formula>
    </cfRule>
  </conditionalFormatting>
  <conditionalFormatting sqref="G806:G808">
    <cfRule type="cellIs" dxfId="1328" priority="1305" operator="equal">
      <formula>"NO"</formula>
    </cfRule>
  </conditionalFormatting>
  <conditionalFormatting sqref="I808">
    <cfRule type="cellIs" dxfId="1327" priority="1303" stopIfTrue="1" operator="greaterThan">
      <formula>0</formula>
    </cfRule>
  </conditionalFormatting>
  <conditionalFormatting sqref="I807">
    <cfRule type="cellIs" dxfId="1326" priority="1304" stopIfTrue="1" operator="greaterThan">
      <formula>0</formula>
    </cfRule>
  </conditionalFormatting>
  <conditionalFormatting sqref="H818:H819">
    <cfRule type="containsText" dxfId="1325" priority="1302" operator="containsText" text="NO CUMPLE">
      <formula>NOT(ISERROR(SEARCH("NO CUMPLE",H818)))</formula>
    </cfRule>
  </conditionalFormatting>
  <conditionalFormatting sqref="I827">
    <cfRule type="cellIs" dxfId="1324" priority="1299" stopIfTrue="1" operator="greaterThan">
      <formula>0</formula>
    </cfRule>
  </conditionalFormatting>
  <conditionalFormatting sqref="I828">
    <cfRule type="cellIs" dxfId="1323" priority="1298" stopIfTrue="1" operator="greaterThan">
      <formula>0</formula>
    </cfRule>
  </conditionalFormatting>
  <conditionalFormatting sqref="I824">
    <cfRule type="cellIs" dxfId="1322" priority="1297" stopIfTrue="1" operator="greaterThan">
      <formula>0</formula>
    </cfRule>
  </conditionalFormatting>
  <conditionalFormatting sqref="B820:H823">
    <cfRule type="cellIs" dxfId="1321" priority="1296" stopIfTrue="1" operator="greaterThan">
      <formula>0</formula>
    </cfRule>
  </conditionalFormatting>
  <conditionalFormatting sqref="F820:F823">
    <cfRule type="cellIs" dxfId="1320" priority="1295" operator="equal">
      <formula>"NO"</formula>
    </cfRule>
  </conditionalFormatting>
  <conditionalFormatting sqref="G820:G823">
    <cfRule type="cellIs" dxfId="1319" priority="1294" stopIfTrue="1" operator="lessThan">
      <formula>0</formula>
    </cfRule>
  </conditionalFormatting>
  <conditionalFormatting sqref="I820">
    <cfRule type="cellIs" dxfId="1318" priority="1293" stopIfTrue="1" operator="greaterThan">
      <formula>0</formula>
    </cfRule>
  </conditionalFormatting>
  <conditionalFormatting sqref="I821">
    <cfRule type="cellIs" dxfId="1317" priority="1292" stopIfTrue="1" operator="greaterThan">
      <formula>0</formula>
    </cfRule>
  </conditionalFormatting>
  <conditionalFormatting sqref="H820:H823">
    <cfRule type="cellIs" dxfId="1316" priority="1291" operator="equal">
      <formula>"NO"</formula>
    </cfRule>
  </conditionalFormatting>
  <conditionalFormatting sqref="G820">
    <cfRule type="cellIs" dxfId="1315" priority="1290" operator="equal">
      <formula>"NO"</formula>
    </cfRule>
  </conditionalFormatting>
  <conditionalFormatting sqref="G821:G823">
    <cfRule type="cellIs" dxfId="1314" priority="1289" operator="equal">
      <formula>"NO"</formula>
    </cfRule>
  </conditionalFormatting>
  <conditionalFormatting sqref="I822">
    <cfRule type="cellIs" dxfId="1313" priority="1288" stopIfTrue="1" operator="greaterThan">
      <formula>0</formula>
    </cfRule>
  </conditionalFormatting>
  <conditionalFormatting sqref="H70:H73">
    <cfRule type="cellIs" dxfId="1312" priority="1285" stopIfTrue="1" operator="greaterThan">
      <formula>0</formula>
    </cfRule>
  </conditionalFormatting>
  <conditionalFormatting sqref="H70:H73">
    <cfRule type="cellIs" dxfId="1311" priority="1284" operator="equal">
      <formula>"NO"</formula>
    </cfRule>
  </conditionalFormatting>
  <conditionalFormatting sqref="D34">
    <cfRule type="cellIs" dxfId="1310" priority="1281" operator="equal">
      <formula>"NO"</formula>
    </cfRule>
    <cfRule type="cellIs" dxfId="1309" priority="1282" operator="equal">
      <formula>"NA"</formula>
    </cfRule>
    <cfRule type="cellIs" dxfId="1308" priority="1283" operator="equal">
      <formula>"SI"</formula>
    </cfRule>
  </conditionalFormatting>
  <conditionalFormatting sqref="H33">
    <cfRule type="cellIs" dxfId="1307" priority="1278" operator="equal">
      <formula>"NA"</formula>
    </cfRule>
    <cfRule type="cellIs" dxfId="1306" priority="1279" operator="equal">
      <formula>"SI"</formula>
    </cfRule>
    <cfRule type="cellIs" dxfId="1305" priority="1280" operator="equal">
      <formula>"NO"</formula>
    </cfRule>
  </conditionalFormatting>
  <conditionalFormatting sqref="H32">
    <cfRule type="cellIs" dxfId="1304" priority="1276" operator="equal">
      <formula>"NA"</formula>
    </cfRule>
    <cfRule type="cellIs" dxfId="1303" priority="1277" operator="equal">
      <formula>"NO"</formula>
    </cfRule>
  </conditionalFormatting>
  <conditionalFormatting sqref="H34">
    <cfRule type="cellIs" dxfId="1302" priority="1273" operator="equal">
      <formula>"NA"</formula>
    </cfRule>
    <cfRule type="cellIs" dxfId="1301" priority="1274" operator="equal">
      <formula>"SI"</formula>
    </cfRule>
    <cfRule type="cellIs" dxfId="1300" priority="1275" operator="equal">
      <formula>"NO"</formula>
    </cfRule>
  </conditionalFormatting>
  <conditionalFormatting sqref="H46">
    <cfRule type="cellIs" dxfId="1299" priority="1264" operator="equal">
      <formula>"SI"</formula>
    </cfRule>
  </conditionalFormatting>
  <conditionalFormatting sqref="H48">
    <cfRule type="cellIs" dxfId="1298" priority="1270" operator="equal">
      <formula>"NA"</formula>
    </cfRule>
    <cfRule type="cellIs" dxfId="1297" priority="1271" operator="equal">
      <formula>"SI"</formula>
    </cfRule>
    <cfRule type="cellIs" dxfId="1296" priority="1272" operator="equal">
      <formula>"NO"</formula>
    </cfRule>
  </conditionalFormatting>
  <conditionalFormatting sqref="H47">
    <cfRule type="cellIs" dxfId="1295" priority="1268" operator="equal">
      <formula>"NA"</formula>
    </cfRule>
    <cfRule type="cellIs" dxfId="1294" priority="1269" operator="equal">
      <formula>"NO"</formula>
    </cfRule>
  </conditionalFormatting>
  <conditionalFormatting sqref="H49">
    <cfRule type="cellIs" dxfId="1293" priority="1265" operator="equal">
      <formula>"NA"</formula>
    </cfRule>
    <cfRule type="cellIs" dxfId="1292" priority="1266" operator="equal">
      <formula>"SI"</formula>
    </cfRule>
    <cfRule type="cellIs" dxfId="1291" priority="1267" operator="equal">
      <formula>"NO"</formula>
    </cfRule>
  </conditionalFormatting>
  <conditionalFormatting sqref="D64">
    <cfRule type="cellIs" dxfId="1290" priority="1261" operator="equal">
      <formula>"NO"</formula>
    </cfRule>
    <cfRule type="cellIs" dxfId="1289" priority="1262" operator="equal">
      <formula>"NA"</formula>
    </cfRule>
    <cfRule type="cellIs" dxfId="1288" priority="1263" operator="equal">
      <formula>"SI"</formula>
    </cfRule>
  </conditionalFormatting>
  <conditionalFormatting sqref="D79">
    <cfRule type="cellIs" dxfId="1287" priority="1258" operator="equal">
      <formula>"NO"</formula>
    </cfRule>
    <cfRule type="cellIs" dxfId="1286" priority="1259" operator="equal">
      <formula>"NA"</formula>
    </cfRule>
    <cfRule type="cellIs" dxfId="1285" priority="1260" operator="equal">
      <formula>"SI"</formula>
    </cfRule>
  </conditionalFormatting>
  <conditionalFormatting sqref="D94">
    <cfRule type="cellIs" dxfId="1284" priority="1255" operator="equal">
      <formula>"NO"</formula>
    </cfRule>
    <cfRule type="cellIs" dxfId="1283" priority="1256" operator="equal">
      <formula>"NA"</formula>
    </cfRule>
    <cfRule type="cellIs" dxfId="1282" priority="1257" operator="equal">
      <formula>"SI"</formula>
    </cfRule>
  </conditionalFormatting>
  <conditionalFormatting sqref="D109">
    <cfRule type="cellIs" dxfId="1281" priority="1252" operator="equal">
      <formula>"NO"</formula>
    </cfRule>
    <cfRule type="cellIs" dxfId="1280" priority="1253" operator="equal">
      <formula>"NA"</formula>
    </cfRule>
    <cfRule type="cellIs" dxfId="1279" priority="1254" operator="equal">
      <formula>"SI"</formula>
    </cfRule>
  </conditionalFormatting>
  <conditionalFormatting sqref="D124">
    <cfRule type="cellIs" dxfId="1278" priority="1249" operator="equal">
      <formula>"NO"</formula>
    </cfRule>
    <cfRule type="cellIs" dxfId="1277" priority="1250" operator="equal">
      <formula>"NA"</formula>
    </cfRule>
    <cfRule type="cellIs" dxfId="1276" priority="1251" operator="equal">
      <formula>"SI"</formula>
    </cfRule>
  </conditionalFormatting>
  <conditionalFormatting sqref="D139">
    <cfRule type="cellIs" dxfId="1275" priority="1246" operator="equal">
      <formula>"NO"</formula>
    </cfRule>
    <cfRule type="cellIs" dxfId="1274" priority="1247" operator="equal">
      <formula>"NA"</formula>
    </cfRule>
    <cfRule type="cellIs" dxfId="1273" priority="1248" operator="equal">
      <formula>"SI"</formula>
    </cfRule>
  </conditionalFormatting>
  <conditionalFormatting sqref="D154">
    <cfRule type="cellIs" dxfId="1272" priority="1243" operator="equal">
      <formula>"NO"</formula>
    </cfRule>
    <cfRule type="cellIs" dxfId="1271" priority="1244" operator="equal">
      <formula>"NA"</formula>
    </cfRule>
    <cfRule type="cellIs" dxfId="1270" priority="1245" operator="equal">
      <formula>"SI"</formula>
    </cfRule>
  </conditionalFormatting>
  <conditionalFormatting sqref="D169">
    <cfRule type="cellIs" dxfId="1269" priority="1240" operator="equal">
      <formula>"NO"</formula>
    </cfRule>
    <cfRule type="cellIs" dxfId="1268" priority="1241" operator="equal">
      <formula>"NA"</formula>
    </cfRule>
    <cfRule type="cellIs" dxfId="1267" priority="1242" operator="equal">
      <formula>"SI"</formula>
    </cfRule>
  </conditionalFormatting>
  <conditionalFormatting sqref="D184">
    <cfRule type="cellIs" dxfId="1266" priority="1237" operator="equal">
      <formula>"NO"</formula>
    </cfRule>
    <cfRule type="cellIs" dxfId="1265" priority="1238" operator="equal">
      <formula>"NA"</formula>
    </cfRule>
    <cfRule type="cellIs" dxfId="1264" priority="1239" operator="equal">
      <formula>"SI"</formula>
    </cfRule>
  </conditionalFormatting>
  <conditionalFormatting sqref="D199">
    <cfRule type="cellIs" dxfId="1263" priority="1234" operator="equal">
      <formula>"NO"</formula>
    </cfRule>
    <cfRule type="cellIs" dxfId="1262" priority="1235" operator="equal">
      <formula>"NA"</formula>
    </cfRule>
    <cfRule type="cellIs" dxfId="1261" priority="1236" operator="equal">
      <formula>"SI"</formula>
    </cfRule>
  </conditionalFormatting>
  <conditionalFormatting sqref="D214">
    <cfRule type="cellIs" dxfId="1260" priority="1231" operator="equal">
      <formula>"NO"</formula>
    </cfRule>
    <cfRule type="cellIs" dxfId="1259" priority="1232" operator="equal">
      <formula>"NA"</formula>
    </cfRule>
    <cfRule type="cellIs" dxfId="1258" priority="1233" operator="equal">
      <formula>"SI"</formula>
    </cfRule>
  </conditionalFormatting>
  <conditionalFormatting sqref="D229">
    <cfRule type="cellIs" dxfId="1257" priority="1228" operator="equal">
      <formula>"NO"</formula>
    </cfRule>
    <cfRule type="cellIs" dxfId="1256" priority="1229" operator="equal">
      <formula>"NA"</formula>
    </cfRule>
    <cfRule type="cellIs" dxfId="1255" priority="1230" operator="equal">
      <formula>"SI"</formula>
    </cfRule>
  </conditionalFormatting>
  <conditionalFormatting sqref="D244">
    <cfRule type="cellIs" dxfId="1254" priority="1225" operator="equal">
      <formula>"NO"</formula>
    </cfRule>
    <cfRule type="cellIs" dxfId="1253" priority="1226" operator="equal">
      <formula>"NA"</formula>
    </cfRule>
    <cfRule type="cellIs" dxfId="1252" priority="1227" operator="equal">
      <formula>"SI"</formula>
    </cfRule>
  </conditionalFormatting>
  <conditionalFormatting sqref="D259">
    <cfRule type="cellIs" dxfId="1251" priority="1222" operator="equal">
      <formula>"NO"</formula>
    </cfRule>
    <cfRule type="cellIs" dxfId="1250" priority="1223" operator="equal">
      <formula>"NA"</formula>
    </cfRule>
    <cfRule type="cellIs" dxfId="1249" priority="1224" operator="equal">
      <formula>"SI"</formula>
    </cfRule>
  </conditionalFormatting>
  <conditionalFormatting sqref="D274">
    <cfRule type="cellIs" dxfId="1248" priority="1219" operator="equal">
      <formula>"NO"</formula>
    </cfRule>
    <cfRule type="cellIs" dxfId="1247" priority="1220" operator="equal">
      <formula>"NA"</formula>
    </cfRule>
    <cfRule type="cellIs" dxfId="1246" priority="1221" operator="equal">
      <formula>"SI"</formula>
    </cfRule>
  </conditionalFormatting>
  <conditionalFormatting sqref="D289">
    <cfRule type="cellIs" dxfId="1245" priority="1216" operator="equal">
      <formula>"NO"</formula>
    </cfRule>
    <cfRule type="cellIs" dxfId="1244" priority="1217" operator="equal">
      <formula>"NA"</formula>
    </cfRule>
    <cfRule type="cellIs" dxfId="1243" priority="1218" operator="equal">
      <formula>"SI"</formula>
    </cfRule>
  </conditionalFormatting>
  <conditionalFormatting sqref="D304">
    <cfRule type="cellIs" dxfId="1242" priority="1213" operator="equal">
      <formula>"NO"</formula>
    </cfRule>
    <cfRule type="cellIs" dxfId="1241" priority="1214" operator="equal">
      <formula>"NA"</formula>
    </cfRule>
    <cfRule type="cellIs" dxfId="1240" priority="1215" operator="equal">
      <formula>"SI"</formula>
    </cfRule>
  </conditionalFormatting>
  <conditionalFormatting sqref="D319">
    <cfRule type="cellIs" dxfId="1239" priority="1210" operator="equal">
      <formula>"NO"</formula>
    </cfRule>
    <cfRule type="cellIs" dxfId="1238" priority="1211" operator="equal">
      <formula>"NA"</formula>
    </cfRule>
    <cfRule type="cellIs" dxfId="1237" priority="1212" operator="equal">
      <formula>"SI"</formula>
    </cfRule>
  </conditionalFormatting>
  <conditionalFormatting sqref="D334">
    <cfRule type="cellIs" dxfId="1236" priority="1207" operator="equal">
      <formula>"NO"</formula>
    </cfRule>
    <cfRule type="cellIs" dxfId="1235" priority="1208" operator="equal">
      <formula>"NA"</formula>
    </cfRule>
    <cfRule type="cellIs" dxfId="1234" priority="1209" operator="equal">
      <formula>"SI"</formula>
    </cfRule>
  </conditionalFormatting>
  <conditionalFormatting sqref="D349">
    <cfRule type="cellIs" dxfId="1233" priority="1204" operator="equal">
      <formula>"NO"</formula>
    </cfRule>
    <cfRule type="cellIs" dxfId="1232" priority="1205" operator="equal">
      <formula>"NA"</formula>
    </cfRule>
    <cfRule type="cellIs" dxfId="1231" priority="1206" operator="equal">
      <formula>"SI"</formula>
    </cfRule>
  </conditionalFormatting>
  <conditionalFormatting sqref="D364">
    <cfRule type="cellIs" dxfId="1230" priority="1201" operator="equal">
      <formula>"NO"</formula>
    </cfRule>
    <cfRule type="cellIs" dxfId="1229" priority="1202" operator="equal">
      <formula>"NA"</formula>
    </cfRule>
    <cfRule type="cellIs" dxfId="1228" priority="1203" operator="equal">
      <formula>"SI"</formula>
    </cfRule>
  </conditionalFormatting>
  <conditionalFormatting sqref="D379">
    <cfRule type="cellIs" dxfId="1227" priority="1198" operator="equal">
      <formula>"NO"</formula>
    </cfRule>
    <cfRule type="cellIs" dxfId="1226" priority="1199" operator="equal">
      <formula>"NA"</formula>
    </cfRule>
    <cfRule type="cellIs" dxfId="1225" priority="1200" operator="equal">
      <formula>"SI"</formula>
    </cfRule>
  </conditionalFormatting>
  <conditionalFormatting sqref="D394">
    <cfRule type="cellIs" dxfId="1224" priority="1195" operator="equal">
      <formula>"NO"</formula>
    </cfRule>
    <cfRule type="cellIs" dxfId="1223" priority="1196" operator="equal">
      <formula>"NA"</formula>
    </cfRule>
    <cfRule type="cellIs" dxfId="1222" priority="1197" operator="equal">
      <formula>"SI"</formula>
    </cfRule>
  </conditionalFormatting>
  <conditionalFormatting sqref="D409">
    <cfRule type="cellIs" dxfId="1221" priority="1192" operator="equal">
      <formula>"NO"</formula>
    </cfRule>
    <cfRule type="cellIs" dxfId="1220" priority="1193" operator="equal">
      <formula>"NA"</formula>
    </cfRule>
    <cfRule type="cellIs" dxfId="1219" priority="1194" operator="equal">
      <formula>"SI"</formula>
    </cfRule>
  </conditionalFormatting>
  <conditionalFormatting sqref="D424">
    <cfRule type="cellIs" dxfId="1218" priority="1189" operator="equal">
      <formula>"NO"</formula>
    </cfRule>
    <cfRule type="cellIs" dxfId="1217" priority="1190" operator="equal">
      <formula>"NA"</formula>
    </cfRule>
    <cfRule type="cellIs" dxfId="1216" priority="1191" operator="equal">
      <formula>"SI"</formula>
    </cfRule>
  </conditionalFormatting>
  <conditionalFormatting sqref="D439">
    <cfRule type="cellIs" dxfId="1215" priority="1186" operator="equal">
      <formula>"NO"</formula>
    </cfRule>
    <cfRule type="cellIs" dxfId="1214" priority="1187" operator="equal">
      <formula>"NA"</formula>
    </cfRule>
    <cfRule type="cellIs" dxfId="1213" priority="1188" operator="equal">
      <formula>"SI"</formula>
    </cfRule>
  </conditionalFormatting>
  <conditionalFormatting sqref="D454">
    <cfRule type="cellIs" dxfId="1212" priority="1183" operator="equal">
      <formula>"NO"</formula>
    </cfRule>
    <cfRule type="cellIs" dxfId="1211" priority="1184" operator="equal">
      <formula>"NA"</formula>
    </cfRule>
    <cfRule type="cellIs" dxfId="1210" priority="1185" operator="equal">
      <formula>"SI"</formula>
    </cfRule>
  </conditionalFormatting>
  <conditionalFormatting sqref="D469">
    <cfRule type="cellIs" dxfId="1209" priority="1180" operator="equal">
      <formula>"NO"</formula>
    </cfRule>
    <cfRule type="cellIs" dxfId="1208" priority="1181" operator="equal">
      <formula>"NA"</formula>
    </cfRule>
    <cfRule type="cellIs" dxfId="1207" priority="1182" operator="equal">
      <formula>"SI"</formula>
    </cfRule>
  </conditionalFormatting>
  <conditionalFormatting sqref="D484">
    <cfRule type="cellIs" dxfId="1206" priority="1177" operator="equal">
      <formula>"NO"</formula>
    </cfRule>
    <cfRule type="cellIs" dxfId="1205" priority="1178" operator="equal">
      <formula>"NA"</formula>
    </cfRule>
    <cfRule type="cellIs" dxfId="1204" priority="1179" operator="equal">
      <formula>"SI"</formula>
    </cfRule>
  </conditionalFormatting>
  <conditionalFormatting sqref="D499">
    <cfRule type="cellIs" dxfId="1203" priority="1174" operator="equal">
      <formula>"NO"</formula>
    </cfRule>
    <cfRule type="cellIs" dxfId="1202" priority="1175" operator="equal">
      <formula>"NA"</formula>
    </cfRule>
    <cfRule type="cellIs" dxfId="1201" priority="1176" operator="equal">
      <formula>"SI"</formula>
    </cfRule>
  </conditionalFormatting>
  <conditionalFormatting sqref="D514">
    <cfRule type="cellIs" dxfId="1200" priority="1171" operator="equal">
      <formula>"NO"</formula>
    </cfRule>
    <cfRule type="cellIs" dxfId="1199" priority="1172" operator="equal">
      <formula>"NA"</formula>
    </cfRule>
    <cfRule type="cellIs" dxfId="1198" priority="1173" operator="equal">
      <formula>"SI"</formula>
    </cfRule>
  </conditionalFormatting>
  <conditionalFormatting sqref="D529">
    <cfRule type="cellIs" dxfId="1197" priority="1168" operator="equal">
      <formula>"NO"</formula>
    </cfRule>
    <cfRule type="cellIs" dxfId="1196" priority="1169" operator="equal">
      <formula>"NA"</formula>
    </cfRule>
    <cfRule type="cellIs" dxfId="1195" priority="1170" operator="equal">
      <formula>"SI"</formula>
    </cfRule>
  </conditionalFormatting>
  <conditionalFormatting sqref="D544">
    <cfRule type="cellIs" dxfId="1194" priority="1165" operator="equal">
      <formula>"NO"</formula>
    </cfRule>
    <cfRule type="cellIs" dxfId="1193" priority="1166" operator="equal">
      <formula>"NA"</formula>
    </cfRule>
    <cfRule type="cellIs" dxfId="1192" priority="1167" operator="equal">
      <formula>"SI"</formula>
    </cfRule>
  </conditionalFormatting>
  <conditionalFormatting sqref="D559">
    <cfRule type="cellIs" dxfId="1191" priority="1162" operator="equal">
      <formula>"NO"</formula>
    </cfRule>
    <cfRule type="cellIs" dxfId="1190" priority="1163" operator="equal">
      <formula>"NA"</formula>
    </cfRule>
    <cfRule type="cellIs" dxfId="1189" priority="1164" operator="equal">
      <formula>"SI"</formula>
    </cfRule>
  </conditionalFormatting>
  <conditionalFormatting sqref="D574">
    <cfRule type="cellIs" dxfId="1188" priority="1159" operator="equal">
      <formula>"NO"</formula>
    </cfRule>
    <cfRule type="cellIs" dxfId="1187" priority="1160" operator="equal">
      <formula>"NA"</formula>
    </cfRule>
    <cfRule type="cellIs" dxfId="1186" priority="1161" operator="equal">
      <formula>"SI"</formula>
    </cfRule>
  </conditionalFormatting>
  <conditionalFormatting sqref="D589">
    <cfRule type="cellIs" dxfId="1185" priority="1156" operator="equal">
      <formula>"NO"</formula>
    </cfRule>
    <cfRule type="cellIs" dxfId="1184" priority="1157" operator="equal">
      <formula>"NA"</formula>
    </cfRule>
    <cfRule type="cellIs" dxfId="1183" priority="1158" operator="equal">
      <formula>"SI"</formula>
    </cfRule>
  </conditionalFormatting>
  <conditionalFormatting sqref="D604">
    <cfRule type="cellIs" dxfId="1182" priority="1153" operator="equal">
      <formula>"NO"</formula>
    </cfRule>
    <cfRule type="cellIs" dxfId="1181" priority="1154" operator="equal">
      <formula>"NA"</formula>
    </cfRule>
    <cfRule type="cellIs" dxfId="1180" priority="1155" operator="equal">
      <formula>"SI"</formula>
    </cfRule>
  </conditionalFormatting>
  <conditionalFormatting sqref="D619">
    <cfRule type="cellIs" dxfId="1179" priority="1150" operator="equal">
      <formula>"NO"</formula>
    </cfRule>
    <cfRule type="cellIs" dxfId="1178" priority="1151" operator="equal">
      <formula>"NA"</formula>
    </cfRule>
    <cfRule type="cellIs" dxfId="1177" priority="1152" operator="equal">
      <formula>"SI"</formula>
    </cfRule>
  </conditionalFormatting>
  <conditionalFormatting sqref="D634">
    <cfRule type="cellIs" dxfId="1176" priority="1147" operator="equal">
      <formula>"NO"</formula>
    </cfRule>
    <cfRule type="cellIs" dxfId="1175" priority="1148" operator="equal">
      <formula>"NA"</formula>
    </cfRule>
    <cfRule type="cellIs" dxfId="1174" priority="1149" operator="equal">
      <formula>"SI"</formula>
    </cfRule>
  </conditionalFormatting>
  <conditionalFormatting sqref="D649">
    <cfRule type="cellIs" dxfId="1173" priority="1144" operator="equal">
      <formula>"NO"</formula>
    </cfRule>
    <cfRule type="cellIs" dxfId="1172" priority="1145" operator="equal">
      <formula>"NA"</formula>
    </cfRule>
    <cfRule type="cellIs" dxfId="1171" priority="1146" operator="equal">
      <formula>"SI"</formula>
    </cfRule>
  </conditionalFormatting>
  <conditionalFormatting sqref="D664">
    <cfRule type="cellIs" dxfId="1170" priority="1141" operator="equal">
      <formula>"NO"</formula>
    </cfRule>
    <cfRule type="cellIs" dxfId="1169" priority="1142" operator="equal">
      <formula>"NA"</formula>
    </cfRule>
    <cfRule type="cellIs" dxfId="1168" priority="1143" operator="equal">
      <formula>"SI"</formula>
    </cfRule>
  </conditionalFormatting>
  <conditionalFormatting sqref="D679">
    <cfRule type="cellIs" dxfId="1167" priority="1138" operator="equal">
      <formula>"NO"</formula>
    </cfRule>
    <cfRule type="cellIs" dxfId="1166" priority="1139" operator="equal">
      <formula>"NA"</formula>
    </cfRule>
    <cfRule type="cellIs" dxfId="1165" priority="1140" operator="equal">
      <formula>"SI"</formula>
    </cfRule>
  </conditionalFormatting>
  <conditionalFormatting sqref="D694">
    <cfRule type="cellIs" dxfId="1164" priority="1135" operator="equal">
      <formula>"NO"</formula>
    </cfRule>
    <cfRule type="cellIs" dxfId="1163" priority="1136" operator="equal">
      <formula>"NA"</formula>
    </cfRule>
    <cfRule type="cellIs" dxfId="1162" priority="1137" operator="equal">
      <formula>"SI"</formula>
    </cfRule>
  </conditionalFormatting>
  <conditionalFormatting sqref="D709">
    <cfRule type="cellIs" dxfId="1161" priority="1132" operator="equal">
      <formula>"NO"</formula>
    </cfRule>
    <cfRule type="cellIs" dxfId="1160" priority="1133" operator="equal">
      <formula>"NA"</formula>
    </cfRule>
    <cfRule type="cellIs" dxfId="1159" priority="1134" operator="equal">
      <formula>"SI"</formula>
    </cfRule>
  </conditionalFormatting>
  <conditionalFormatting sqref="D724">
    <cfRule type="cellIs" dxfId="1158" priority="1129" operator="equal">
      <formula>"NO"</formula>
    </cfRule>
    <cfRule type="cellIs" dxfId="1157" priority="1130" operator="equal">
      <formula>"NA"</formula>
    </cfRule>
    <cfRule type="cellIs" dxfId="1156" priority="1131" operator="equal">
      <formula>"SI"</formula>
    </cfRule>
  </conditionalFormatting>
  <conditionalFormatting sqref="D739">
    <cfRule type="cellIs" dxfId="1155" priority="1126" operator="equal">
      <formula>"NO"</formula>
    </cfRule>
    <cfRule type="cellIs" dxfId="1154" priority="1127" operator="equal">
      <formula>"NA"</formula>
    </cfRule>
    <cfRule type="cellIs" dxfId="1153" priority="1128" operator="equal">
      <formula>"SI"</formula>
    </cfRule>
  </conditionalFormatting>
  <conditionalFormatting sqref="D754">
    <cfRule type="cellIs" dxfId="1152" priority="1123" operator="equal">
      <formula>"NO"</formula>
    </cfRule>
    <cfRule type="cellIs" dxfId="1151" priority="1124" operator="equal">
      <formula>"NA"</formula>
    </cfRule>
    <cfRule type="cellIs" dxfId="1150" priority="1125" operator="equal">
      <formula>"SI"</formula>
    </cfRule>
  </conditionalFormatting>
  <conditionalFormatting sqref="D769">
    <cfRule type="cellIs" dxfId="1149" priority="1120" operator="equal">
      <formula>"NO"</formula>
    </cfRule>
    <cfRule type="cellIs" dxfId="1148" priority="1121" operator="equal">
      <formula>"NA"</formula>
    </cfRule>
    <cfRule type="cellIs" dxfId="1147" priority="1122" operator="equal">
      <formula>"SI"</formula>
    </cfRule>
  </conditionalFormatting>
  <conditionalFormatting sqref="D784">
    <cfRule type="cellIs" dxfId="1146" priority="1117" operator="equal">
      <formula>"NO"</formula>
    </cfRule>
    <cfRule type="cellIs" dxfId="1145" priority="1118" operator="equal">
      <formula>"NA"</formula>
    </cfRule>
    <cfRule type="cellIs" dxfId="1144" priority="1119" operator="equal">
      <formula>"SI"</formula>
    </cfRule>
  </conditionalFormatting>
  <conditionalFormatting sqref="D799">
    <cfRule type="cellIs" dxfId="1143" priority="1114" operator="equal">
      <formula>"NO"</formula>
    </cfRule>
    <cfRule type="cellIs" dxfId="1142" priority="1115" operator="equal">
      <formula>"NA"</formula>
    </cfRule>
    <cfRule type="cellIs" dxfId="1141" priority="1116" operator="equal">
      <formula>"SI"</formula>
    </cfRule>
  </conditionalFormatting>
  <conditionalFormatting sqref="D814">
    <cfRule type="cellIs" dxfId="1140" priority="1111" operator="equal">
      <formula>"NO"</formula>
    </cfRule>
    <cfRule type="cellIs" dxfId="1139" priority="1112" operator="equal">
      <formula>"NA"</formula>
    </cfRule>
    <cfRule type="cellIs" dxfId="1138" priority="1113" operator="equal">
      <formula>"SI"</formula>
    </cfRule>
  </conditionalFormatting>
  <conditionalFormatting sqref="D829">
    <cfRule type="cellIs" dxfId="1137" priority="1108" operator="equal">
      <formula>"NO"</formula>
    </cfRule>
    <cfRule type="cellIs" dxfId="1136" priority="1109" operator="equal">
      <formula>"NA"</formula>
    </cfRule>
    <cfRule type="cellIs" dxfId="1135" priority="1110" operator="equal">
      <formula>"SI"</formula>
    </cfRule>
  </conditionalFormatting>
  <conditionalFormatting sqref="H14">
    <cfRule type="cellIs" dxfId="1134" priority="1102" stopIfTrue="1" operator="greaterThan">
      <formula>0</formula>
    </cfRule>
  </conditionalFormatting>
  <conditionalFormatting sqref="H15">
    <cfRule type="cellIs" dxfId="1133" priority="1107" stopIfTrue="1" operator="greaterThan">
      <formula>0</formula>
    </cfRule>
  </conditionalFormatting>
  <conditionalFormatting sqref="H15">
    <cfRule type="cellIs" dxfId="1132" priority="1106" operator="equal">
      <formula>"NO"</formula>
    </cfRule>
  </conditionalFormatting>
  <conditionalFormatting sqref="H15">
    <cfRule type="containsBlanks" dxfId="1131" priority="1105">
      <formula>LEN(TRIM(H15))=0</formula>
    </cfRule>
  </conditionalFormatting>
  <conditionalFormatting sqref="H15">
    <cfRule type="cellIs" dxfId="1130" priority="1104" stopIfTrue="1" operator="lessThan">
      <formula>0</formula>
    </cfRule>
  </conditionalFormatting>
  <conditionalFormatting sqref="H15">
    <cfRule type="cellIs" dxfId="1129" priority="1103" operator="equal">
      <formula>"NO"</formula>
    </cfRule>
  </conditionalFormatting>
  <conditionalFormatting sqref="H14">
    <cfRule type="cellIs" dxfId="1128" priority="1101" operator="equal">
      <formula>"NO"</formula>
    </cfRule>
  </conditionalFormatting>
  <conditionalFormatting sqref="H14">
    <cfRule type="containsBlanks" dxfId="1127" priority="1100">
      <formula>LEN(TRIM(H14))=0</formula>
    </cfRule>
  </conditionalFormatting>
  <conditionalFormatting sqref="H14">
    <cfRule type="cellIs" dxfId="1126" priority="1099" stopIfTrue="1" operator="lessThan">
      <formula>0</formula>
    </cfRule>
  </conditionalFormatting>
  <conditionalFormatting sqref="H14">
    <cfRule type="cellIs" dxfId="1125" priority="1098" operator="equal">
      <formula>"NO"</formula>
    </cfRule>
  </conditionalFormatting>
  <conditionalFormatting sqref="H18">
    <cfRule type="cellIs" dxfId="1124" priority="1095" operator="equal">
      <formula>"NA"</formula>
    </cfRule>
    <cfRule type="cellIs" dxfId="1123" priority="1096" operator="equal">
      <formula>"SI"</formula>
    </cfRule>
    <cfRule type="cellIs" dxfId="1122" priority="1097" operator="equal">
      <formula>"NO"</formula>
    </cfRule>
  </conditionalFormatting>
  <conditionalFormatting sqref="H17">
    <cfRule type="cellIs" dxfId="1121" priority="1093" operator="equal">
      <formula>"NA"</formula>
    </cfRule>
    <cfRule type="cellIs" dxfId="1120" priority="1094" operator="equal">
      <formula>"NO"</formula>
    </cfRule>
  </conditionalFormatting>
  <conditionalFormatting sqref="H19">
    <cfRule type="cellIs" dxfId="1119" priority="1090" operator="equal">
      <formula>"NA"</formula>
    </cfRule>
    <cfRule type="cellIs" dxfId="1118" priority="1091" operator="equal">
      <formula>"SI"</formula>
    </cfRule>
    <cfRule type="cellIs" dxfId="1117" priority="1092" operator="equal">
      <formula>"NO"</formula>
    </cfRule>
  </conditionalFormatting>
  <conditionalFormatting sqref="H61">
    <cfRule type="cellIs" dxfId="1116" priority="1081" operator="equal">
      <formula>"SI"</formula>
    </cfRule>
  </conditionalFormatting>
  <conditionalFormatting sqref="H63">
    <cfRule type="cellIs" dxfId="1115" priority="1087" operator="equal">
      <formula>"NA"</formula>
    </cfRule>
    <cfRule type="cellIs" dxfId="1114" priority="1088" operator="equal">
      <formula>"SI"</formula>
    </cfRule>
    <cfRule type="cellIs" dxfId="1113" priority="1089" operator="equal">
      <formula>"NO"</formula>
    </cfRule>
  </conditionalFormatting>
  <conditionalFormatting sqref="H62">
    <cfRule type="cellIs" dxfId="1112" priority="1085" operator="equal">
      <formula>"NA"</formula>
    </cfRule>
    <cfRule type="cellIs" dxfId="1111" priority="1086" operator="equal">
      <formula>"NO"</formula>
    </cfRule>
  </conditionalFormatting>
  <conditionalFormatting sqref="H64">
    <cfRule type="cellIs" dxfId="1110" priority="1082" operator="equal">
      <formula>"NA"</formula>
    </cfRule>
    <cfRule type="cellIs" dxfId="1109" priority="1083" operator="equal">
      <formula>"SI"</formula>
    </cfRule>
    <cfRule type="cellIs" dxfId="1108" priority="1084" operator="equal">
      <formula>"NO"</formula>
    </cfRule>
  </conditionalFormatting>
  <conditionalFormatting sqref="H76">
    <cfRule type="cellIs" dxfId="1107" priority="1072" operator="equal">
      <formula>"SI"</formula>
    </cfRule>
  </conditionalFormatting>
  <conditionalFormatting sqref="H78">
    <cfRule type="cellIs" dxfId="1106" priority="1078" operator="equal">
      <formula>"NA"</formula>
    </cfRule>
    <cfRule type="cellIs" dxfId="1105" priority="1079" operator="equal">
      <formula>"SI"</formula>
    </cfRule>
    <cfRule type="cellIs" dxfId="1104" priority="1080" operator="equal">
      <formula>"NO"</formula>
    </cfRule>
  </conditionalFormatting>
  <conditionalFormatting sqref="H77">
    <cfRule type="cellIs" dxfId="1103" priority="1076" operator="equal">
      <formula>"NA"</formula>
    </cfRule>
    <cfRule type="cellIs" dxfId="1102" priority="1077" operator="equal">
      <formula>"NO"</formula>
    </cfRule>
  </conditionalFormatting>
  <conditionalFormatting sqref="H79">
    <cfRule type="cellIs" dxfId="1101" priority="1073" operator="equal">
      <formula>"NA"</formula>
    </cfRule>
    <cfRule type="cellIs" dxfId="1100" priority="1074" operator="equal">
      <formula>"SI"</formula>
    </cfRule>
    <cfRule type="cellIs" dxfId="1099" priority="1075" operator="equal">
      <formula>"NO"</formula>
    </cfRule>
  </conditionalFormatting>
  <conditionalFormatting sqref="H91">
    <cfRule type="cellIs" dxfId="1098" priority="1063" operator="equal">
      <formula>"SI"</formula>
    </cfRule>
  </conditionalFormatting>
  <conditionalFormatting sqref="H93">
    <cfRule type="cellIs" dxfId="1097" priority="1069" operator="equal">
      <formula>"NA"</formula>
    </cfRule>
    <cfRule type="cellIs" dxfId="1096" priority="1070" operator="equal">
      <formula>"SI"</formula>
    </cfRule>
    <cfRule type="cellIs" dxfId="1095" priority="1071" operator="equal">
      <formula>"NO"</formula>
    </cfRule>
  </conditionalFormatting>
  <conditionalFormatting sqref="H92">
    <cfRule type="cellIs" dxfId="1094" priority="1067" operator="equal">
      <formula>"NA"</formula>
    </cfRule>
    <cfRule type="cellIs" dxfId="1093" priority="1068" operator="equal">
      <formula>"NO"</formula>
    </cfRule>
  </conditionalFormatting>
  <conditionalFormatting sqref="H94">
    <cfRule type="cellIs" dxfId="1092" priority="1064" operator="equal">
      <formula>"NA"</formula>
    </cfRule>
    <cfRule type="cellIs" dxfId="1091" priority="1065" operator="equal">
      <formula>"SI"</formula>
    </cfRule>
    <cfRule type="cellIs" dxfId="1090" priority="1066" operator="equal">
      <formula>"NO"</formula>
    </cfRule>
  </conditionalFormatting>
  <conditionalFormatting sqref="H106">
    <cfRule type="cellIs" dxfId="1089" priority="1054" operator="equal">
      <formula>"SI"</formula>
    </cfRule>
  </conditionalFormatting>
  <conditionalFormatting sqref="H108">
    <cfRule type="cellIs" dxfId="1088" priority="1060" operator="equal">
      <formula>"NA"</formula>
    </cfRule>
    <cfRule type="cellIs" dxfId="1087" priority="1061" operator="equal">
      <formula>"SI"</formula>
    </cfRule>
    <cfRule type="cellIs" dxfId="1086" priority="1062" operator="equal">
      <formula>"NO"</formula>
    </cfRule>
  </conditionalFormatting>
  <conditionalFormatting sqref="H107">
    <cfRule type="cellIs" dxfId="1085" priority="1058" operator="equal">
      <formula>"NA"</formula>
    </cfRule>
    <cfRule type="cellIs" dxfId="1084" priority="1059" operator="equal">
      <formula>"NO"</formula>
    </cfRule>
  </conditionalFormatting>
  <conditionalFormatting sqref="H109">
    <cfRule type="cellIs" dxfId="1083" priority="1055" operator="equal">
      <formula>"NA"</formula>
    </cfRule>
    <cfRule type="cellIs" dxfId="1082" priority="1056" operator="equal">
      <formula>"SI"</formula>
    </cfRule>
    <cfRule type="cellIs" dxfId="1081" priority="1057" operator="equal">
      <formula>"NO"</formula>
    </cfRule>
  </conditionalFormatting>
  <conditionalFormatting sqref="H121">
    <cfRule type="cellIs" dxfId="1080" priority="1045" operator="equal">
      <formula>"SI"</formula>
    </cfRule>
  </conditionalFormatting>
  <conditionalFormatting sqref="H123">
    <cfRule type="cellIs" dxfId="1079" priority="1051" operator="equal">
      <formula>"NA"</formula>
    </cfRule>
    <cfRule type="cellIs" dxfId="1078" priority="1052" operator="equal">
      <formula>"SI"</formula>
    </cfRule>
    <cfRule type="cellIs" dxfId="1077" priority="1053" operator="equal">
      <formula>"NO"</formula>
    </cfRule>
  </conditionalFormatting>
  <conditionalFormatting sqref="H122">
    <cfRule type="cellIs" dxfId="1076" priority="1049" operator="equal">
      <formula>"NA"</formula>
    </cfRule>
    <cfRule type="cellIs" dxfId="1075" priority="1050" operator="equal">
      <formula>"NO"</formula>
    </cfRule>
  </conditionalFormatting>
  <conditionalFormatting sqref="H124">
    <cfRule type="cellIs" dxfId="1074" priority="1046" operator="equal">
      <formula>"NA"</formula>
    </cfRule>
    <cfRule type="cellIs" dxfId="1073" priority="1047" operator="equal">
      <formula>"SI"</formula>
    </cfRule>
    <cfRule type="cellIs" dxfId="1072" priority="1048" operator="equal">
      <formula>"NO"</formula>
    </cfRule>
  </conditionalFormatting>
  <conditionalFormatting sqref="H136">
    <cfRule type="cellIs" dxfId="1071" priority="1036" operator="equal">
      <formula>"SI"</formula>
    </cfRule>
  </conditionalFormatting>
  <conditionalFormatting sqref="H138">
    <cfRule type="cellIs" dxfId="1070" priority="1042" operator="equal">
      <formula>"NA"</formula>
    </cfRule>
    <cfRule type="cellIs" dxfId="1069" priority="1043" operator="equal">
      <formula>"SI"</formula>
    </cfRule>
    <cfRule type="cellIs" dxfId="1068" priority="1044" operator="equal">
      <formula>"NO"</formula>
    </cfRule>
  </conditionalFormatting>
  <conditionalFormatting sqref="H137">
    <cfRule type="cellIs" dxfId="1067" priority="1040" operator="equal">
      <formula>"NA"</formula>
    </cfRule>
    <cfRule type="cellIs" dxfId="1066" priority="1041" operator="equal">
      <formula>"NO"</formula>
    </cfRule>
  </conditionalFormatting>
  <conditionalFormatting sqref="H139">
    <cfRule type="cellIs" dxfId="1065" priority="1037" operator="equal">
      <formula>"NA"</formula>
    </cfRule>
    <cfRule type="cellIs" dxfId="1064" priority="1038" operator="equal">
      <formula>"SI"</formula>
    </cfRule>
    <cfRule type="cellIs" dxfId="1063" priority="1039" operator="equal">
      <formula>"NO"</formula>
    </cfRule>
  </conditionalFormatting>
  <conditionalFormatting sqref="H151">
    <cfRule type="cellIs" dxfId="1062" priority="1027" operator="equal">
      <formula>"SI"</formula>
    </cfRule>
  </conditionalFormatting>
  <conditionalFormatting sqref="H153">
    <cfRule type="cellIs" dxfId="1061" priority="1033" operator="equal">
      <formula>"NA"</formula>
    </cfRule>
    <cfRule type="cellIs" dxfId="1060" priority="1034" operator="equal">
      <formula>"SI"</formula>
    </cfRule>
    <cfRule type="cellIs" dxfId="1059" priority="1035" operator="equal">
      <formula>"NO"</formula>
    </cfRule>
  </conditionalFormatting>
  <conditionalFormatting sqref="H152">
    <cfRule type="cellIs" dxfId="1058" priority="1031" operator="equal">
      <formula>"NA"</formula>
    </cfRule>
    <cfRule type="cellIs" dxfId="1057" priority="1032" operator="equal">
      <formula>"NO"</formula>
    </cfRule>
  </conditionalFormatting>
  <conditionalFormatting sqref="H154">
    <cfRule type="cellIs" dxfId="1056" priority="1028" operator="equal">
      <formula>"NA"</formula>
    </cfRule>
    <cfRule type="cellIs" dxfId="1055" priority="1029" operator="equal">
      <formula>"SI"</formula>
    </cfRule>
    <cfRule type="cellIs" dxfId="1054" priority="1030" operator="equal">
      <formula>"NO"</formula>
    </cfRule>
  </conditionalFormatting>
  <conditionalFormatting sqref="H166">
    <cfRule type="cellIs" dxfId="1053" priority="1018" operator="equal">
      <formula>"SI"</formula>
    </cfRule>
  </conditionalFormatting>
  <conditionalFormatting sqref="H168">
    <cfRule type="cellIs" dxfId="1052" priority="1024" operator="equal">
      <formula>"NA"</formula>
    </cfRule>
    <cfRule type="cellIs" dxfId="1051" priority="1025" operator="equal">
      <formula>"SI"</formula>
    </cfRule>
    <cfRule type="cellIs" dxfId="1050" priority="1026" operator="equal">
      <formula>"NO"</formula>
    </cfRule>
  </conditionalFormatting>
  <conditionalFormatting sqref="H167">
    <cfRule type="cellIs" dxfId="1049" priority="1022" operator="equal">
      <formula>"NA"</formula>
    </cfRule>
    <cfRule type="cellIs" dxfId="1048" priority="1023" operator="equal">
      <formula>"NO"</formula>
    </cfRule>
  </conditionalFormatting>
  <conditionalFormatting sqref="H169">
    <cfRule type="cellIs" dxfId="1047" priority="1019" operator="equal">
      <formula>"NA"</formula>
    </cfRule>
    <cfRule type="cellIs" dxfId="1046" priority="1020" operator="equal">
      <formula>"SI"</formula>
    </cfRule>
    <cfRule type="cellIs" dxfId="1045" priority="1021" operator="equal">
      <formula>"NO"</formula>
    </cfRule>
  </conditionalFormatting>
  <conditionalFormatting sqref="H181">
    <cfRule type="cellIs" dxfId="1044" priority="1009" operator="equal">
      <formula>"SI"</formula>
    </cfRule>
  </conditionalFormatting>
  <conditionalFormatting sqref="H183">
    <cfRule type="cellIs" dxfId="1043" priority="1015" operator="equal">
      <formula>"NA"</formula>
    </cfRule>
    <cfRule type="cellIs" dxfId="1042" priority="1016" operator="equal">
      <formula>"SI"</formula>
    </cfRule>
    <cfRule type="cellIs" dxfId="1041" priority="1017" operator="equal">
      <formula>"NO"</formula>
    </cfRule>
  </conditionalFormatting>
  <conditionalFormatting sqref="H182">
    <cfRule type="cellIs" dxfId="1040" priority="1013" operator="equal">
      <formula>"NA"</formula>
    </cfRule>
    <cfRule type="cellIs" dxfId="1039" priority="1014" operator="equal">
      <formula>"NO"</formula>
    </cfRule>
  </conditionalFormatting>
  <conditionalFormatting sqref="H184">
    <cfRule type="cellIs" dxfId="1038" priority="1010" operator="equal">
      <formula>"NA"</formula>
    </cfRule>
    <cfRule type="cellIs" dxfId="1037" priority="1011" operator="equal">
      <formula>"SI"</formula>
    </cfRule>
    <cfRule type="cellIs" dxfId="1036" priority="1012" operator="equal">
      <formula>"NO"</formula>
    </cfRule>
  </conditionalFormatting>
  <conditionalFormatting sqref="H196">
    <cfRule type="cellIs" dxfId="1035" priority="1000" operator="equal">
      <formula>"SI"</formula>
    </cfRule>
  </conditionalFormatting>
  <conditionalFormatting sqref="H198">
    <cfRule type="cellIs" dxfId="1034" priority="1006" operator="equal">
      <formula>"NA"</formula>
    </cfRule>
    <cfRule type="cellIs" dxfId="1033" priority="1007" operator="equal">
      <formula>"SI"</formula>
    </cfRule>
    <cfRule type="cellIs" dxfId="1032" priority="1008" operator="equal">
      <formula>"NO"</formula>
    </cfRule>
  </conditionalFormatting>
  <conditionalFormatting sqref="H197">
    <cfRule type="cellIs" dxfId="1031" priority="1004" operator="equal">
      <formula>"NA"</formula>
    </cfRule>
    <cfRule type="cellIs" dxfId="1030" priority="1005" operator="equal">
      <formula>"NO"</formula>
    </cfRule>
  </conditionalFormatting>
  <conditionalFormatting sqref="H199">
    <cfRule type="cellIs" dxfId="1029" priority="1001" operator="equal">
      <formula>"NA"</formula>
    </cfRule>
    <cfRule type="cellIs" dxfId="1028" priority="1002" operator="equal">
      <formula>"SI"</formula>
    </cfRule>
    <cfRule type="cellIs" dxfId="1027" priority="1003" operator="equal">
      <formula>"NO"</formula>
    </cfRule>
  </conditionalFormatting>
  <conditionalFormatting sqref="H211">
    <cfRule type="cellIs" dxfId="1026" priority="991" operator="equal">
      <formula>"SI"</formula>
    </cfRule>
  </conditionalFormatting>
  <conditionalFormatting sqref="H213">
    <cfRule type="cellIs" dxfId="1025" priority="997" operator="equal">
      <formula>"NA"</formula>
    </cfRule>
    <cfRule type="cellIs" dxfId="1024" priority="998" operator="equal">
      <formula>"SI"</formula>
    </cfRule>
    <cfRule type="cellIs" dxfId="1023" priority="999" operator="equal">
      <formula>"NO"</formula>
    </cfRule>
  </conditionalFormatting>
  <conditionalFormatting sqref="H212">
    <cfRule type="cellIs" dxfId="1022" priority="995" operator="equal">
      <formula>"NA"</formula>
    </cfRule>
    <cfRule type="cellIs" dxfId="1021" priority="996" operator="equal">
      <formula>"NO"</formula>
    </cfRule>
  </conditionalFormatting>
  <conditionalFormatting sqref="H214">
    <cfRule type="cellIs" dxfId="1020" priority="992" operator="equal">
      <formula>"NA"</formula>
    </cfRule>
    <cfRule type="cellIs" dxfId="1019" priority="993" operator="equal">
      <formula>"SI"</formula>
    </cfRule>
    <cfRule type="cellIs" dxfId="1018" priority="994" operator="equal">
      <formula>"NO"</formula>
    </cfRule>
  </conditionalFormatting>
  <conditionalFormatting sqref="H226">
    <cfRule type="cellIs" dxfId="1017" priority="982" operator="equal">
      <formula>"SI"</formula>
    </cfRule>
  </conditionalFormatting>
  <conditionalFormatting sqref="H228">
    <cfRule type="cellIs" dxfId="1016" priority="988" operator="equal">
      <formula>"NA"</formula>
    </cfRule>
    <cfRule type="cellIs" dxfId="1015" priority="989" operator="equal">
      <formula>"SI"</formula>
    </cfRule>
    <cfRule type="cellIs" dxfId="1014" priority="990" operator="equal">
      <formula>"NO"</formula>
    </cfRule>
  </conditionalFormatting>
  <conditionalFormatting sqref="H227">
    <cfRule type="cellIs" dxfId="1013" priority="986" operator="equal">
      <formula>"NA"</formula>
    </cfRule>
    <cfRule type="cellIs" dxfId="1012" priority="987" operator="equal">
      <formula>"NO"</formula>
    </cfRule>
  </conditionalFormatting>
  <conditionalFormatting sqref="H229">
    <cfRule type="cellIs" dxfId="1011" priority="983" operator="equal">
      <formula>"NA"</formula>
    </cfRule>
    <cfRule type="cellIs" dxfId="1010" priority="984" operator="equal">
      <formula>"SI"</formula>
    </cfRule>
    <cfRule type="cellIs" dxfId="1009" priority="985" operator="equal">
      <formula>"NO"</formula>
    </cfRule>
  </conditionalFormatting>
  <conditionalFormatting sqref="H241">
    <cfRule type="cellIs" dxfId="1008" priority="973" operator="equal">
      <formula>"SI"</formula>
    </cfRule>
  </conditionalFormatting>
  <conditionalFormatting sqref="H243">
    <cfRule type="cellIs" dxfId="1007" priority="979" operator="equal">
      <formula>"NA"</formula>
    </cfRule>
    <cfRule type="cellIs" dxfId="1006" priority="980" operator="equal">
      <formula>"SI"</formula>
    </cfRule>
    <cfRule type="cellIs" dxfId="1005" priority="981" operator="equal">
      <formula>"NO"</formula>
    </cfRule>
  </conditionalFormatting>
  <conditionalFormatting sqref="H242">
    <cfRule type="cellIs" dxfId="1004" priority="977" operator="equal">
      <formula>"NA"</formula>
    </cfRule>
    <cfRule type="cellIs" dxfId="1003" priority="978" operator="equal">
      <formula>"NO"</formula>
    </cfRule>
  </conditionalFormatting>
  <conditionalFormatting sqref="H244">
    <cfRule type="cellIs" dxfId="1002" priority="974" operator="equal">
      <formula>"NA"</formula>
    </cfRule>
    <cfRule type="cellIs" dxfId="1001" priority="975" operator="equal">
      <formula>"SI"</formula>
    </cfRule>
    <cfRule type="cellIs" dxfId="1000" priority="976" operator="equal">
      <formula>"NO"</formula>
    </cfRule>
  </conditionalFormatting>
  <conditionalFormatting sqref="H256">
    <cfRule type="cellIs" dxfId="999" priority="964" operator="equal">
      <formula>"SI"</formula>
    </cfRule>
  </conditionalFormatting>
  <conditionalFormatting sqref="H258">
    <cfRule type="cellIs" dxfId="998" priority="970" operator="equal">
      <formula>"NA"</formula>
    </cfRule>
    <cfRule type="cellIs" dxfId="997" priority="971" operator="equal">
      <formula>"SI"</formula>
    </cfRule>
    <cfRule type="cellIs" dxfId="996" priority="972" operator="equal">
      <formula>"NO"</formula>
    </cfRule>
  </conditionalFormatting>
  <conditionalFormatting sqref="H257">
    <cfRule type="cellIs" dxfId="995" priority="968" operator="equal">
      <formula>"NA"</formula>
    </cfRule>
    <cfRule type="cellIs" dxfId="994" priority="969" operator="equal">
      <formula>"NO"</formula>
    </cfRule>
  </conditionalFormatting>
  <conditionalFormatting sqref="H259">
    <cfRule type="cellIs" dxfId="993" priority="965" operator="equal">
      <formula>"NA"</formula>
    </cfRule>
    <cfRule type="cellIs" dxfId="992" priority="966" operator="equal">
      <formula>"SI"</formula>
    </cfRule>
    <cfRule type="cellIs" dxfId="991" priority="967" operator="equal">
      <formula>"NO"</formula>
    </cfRule>
  </conditionalFormatting>
  <conditionalFormatting sqref="H271">
    <cfRule type="cellIs" dxfId="990" priority="955" operator="equal">
      <formula>"SI"</formula>
    </cfRule>
  </conditionalFormatting>
  <conditionalFormatting sqref="H273">
    <cfRule type="cellIs" dxfId="989" priority="961" operator="equal">
      <formula>"NA"</formula>
    </cfRule>
    <cfRule type="cellIs" dxfId="988" priority="962" operator="equal">
      <formula>"SI"</formula>
    </cfRule>
    <cfRule type="cellIs" dxfId="987" priority="963" operator="equal">
      <formula>"NO"</formula>
    </cfRule>
  </conditionalFormatting>
  <conditionalFormatting sqref="H272">
    <cfRule type="cellIs" dxfId="986" priority="959" operator="equal">
      <formula>"NA"</formula>
    </cfRule>
    <cfRule type="cellIs" dxfId="985" priority="960" operator="equal">
      <formula>"NO"</formula>
    </cfRule>
  </conditionalFormatting>
  <conditionalFormatting sqref="H274">
    <cfRule type="cellIs" dxfId="984" priority="956" operator="equal">
      <formula>"NA"</formula>
    </cfRule>
    <cfRule type="cellIs" dxfId="983" priority="957" operator="equal">
      <formula>"SI"</formula>
    </cfRule>
    <cfRule type="cellIs" dxfId="982" priority="958" operator="equal">
      <formula>"NO"</formula>
    </cfRule>
  </conditionalFormatting>
  <conditionalFormatting sqref="H286">
    <cfRule type="cellIs" dxfId="981" priority="946" operator="equal">
      <formula>"SI"</formula>
    </cfRule>
  </conditionalFormatting>
  <conditionalFormatting sqref="H288">
    <cfRule type="cellIs" dxfId="980" priority="952" operator="equal">
      <formula>"NA"</formula>
    </cfRule>
    <cfRule type="cellIs" dxfId="979" priority="953" operator="equal">
      <formula>"SI"</formula>
    </cfRule>
    <cfRule type="cellIs" dxfId="978" priority="954" operator="equal">
      <formula>"NO"</formula>
    </cfRule>
  </conditionalFormatting>
  <conditionalFormatting sqref="H287">
    <cfRule type="cellIs" dxfId="977" priority="950" operator="equal">
      <formula>"NA"</formula>
    </cfRule>
    <cfRule type="cellIs" dxfId="976" priority="951" operator="equal">
      <formula>"NO"</formula>
    </cfRule>
  </conditionalFormatting>
  <conditionalFormatting sqref="H289">
    <cfRule type="cellIs" dxfId="975" priority="947" operator="equal">
      <formula>"NA"</formula>
    </cfRule>
    <cfRule type="cellIs" dxfId="974" priority="948" operator="equal">
      <formula>"SI"</formula>
    </cfRule>
    <cfRule type="cellIs" dxfId="973" priority="949" operator="equal">
      <formula>"NO"</formula>
    </cfRule>
  </conditionalFormatting>
  <conditionalFormatting sqref="H301">
    <cfRule type="cellIs" dxfId="972" priority="937" operator="equal">
      <formula>"SI"</formula>
    </cfRule>
  </conditionalFormatting>
  <conditionalFormatting sqref="H303">
    <cfRule type="cellIs" dxfId="971" priority="943" operator="equal">
      <formula>"NA"</formula>
    </cfRule>
    <cfRule type="cellIs" dxfId="970" priority="944" operator="equal">
      <formula>"SI"</formula>
    </cfRule>
    <cfRule type="cellIs" dxfId="969" priority="945" operator="equal">
      <formula>"NO"</formula>
    </cfRule>
  </conditionalFormatting>
  <conditionalFormatting sqref="H302">
    <cfRule type="cellIs" dxfId="968" priority="941" operator="equal">
      <formula>"NA"</formula>
    </cfRule>
    <cfRule type="cellIs" dxfId="967" priority="942" operator="equal">
      <formula>"NO"</formula>
    </cfRule>
  </conditionalFormatting>
  <conditionalFormatting sqref="H304">
    <cfRule type="cellIs" dxfId="966" priority="938" operator="equal">
      <formula>"NA"</formula>
    </cfRule>
    <cfRule type="cellIs" dxfId="965" priority="939" operator="equal">
      <formula>"SI"</formula>
    </cfRule>
    <cfRule type="cellIs" dxfId="964" priority="940" operator="equal">
      <formula>"NO"</formula>
    </cfRule>
  </conditionalFormatting>
  <conditionalFormatting sqref="H316">
    <cfRule type="cellIs" dxfId="963" priority="928" operator="equal">
      <formula>"SI"</formula>
    </cfRule>
  </conditionalFormatting>
  <conditionalFormatting sqref="H318">
    <cfRule type="cellIs" dxfId="962" priority="934" operator="equal">
      <formula>"NA"</formula>
    </cfRule>
    <cfRule type="cellIs" dxfId="961" priority="935" operator="equal">
      <formula>"SI"</formula>
    </cfRule>
    <cfRule type="cellIs" dxfId="960" priority="936" operator="equal">
      <formula>"NO"</formula>
    </cfRule>
  </conditionalFormatting>
  <conditionalFormatting sqref="H317">
    <cfRule type="cellIs" dxfId="959" priority="932" operator="equal">
      <formula>"NA"</formula>
    </cfRule>
    <cfRule type="cellIs" dxfId="958" priority="933" operator="equal">
      <formula>"NO"</formula>
    </cfRule>
  </conditionalFormatting>
  <conditionalFormatting sqref="H319">
    <cfRule type="cellIs" dxfId="957" priority="929" operator="equal">
      <formula>"NA"</formula>
    </cfRule>
    <cfRule type="cellIs" dxfId="956" priority="930" operator="equal">
      <formula>"SI"</formula>
    </cfRule>
    <cfRule type="cellIs" dxfId="955" priority="931" operator="equal">
      <formula>"NO"</formula>
    </cfRule>
  </conditionalFormatting>
  <conditionalFormatting sqref="H331">
    <cfRule type="cellIs" dxfId="954" priority="919" operator="equal">
      <formula>"SI"</formula>
    </cfRule>
  </conditionalFormatting>
  <conditionalFormatting sqref="H333">
    <cfRule type="cellIs" dxfId="953" priority="925" operator="equal">
      <formula>"NA"</formula>
    </cfRule>
    <cfRule type="cellIs" dxfId="952" priority="926" operator="equal">
      <formula>"SI"</formula>
    </cfRule>
    <cfRule type="cellIs" dxfId="951" priority="927" operator="equal">
      <formula>"NO"</formula>
    </cfRule>
  </conditionalFormatting>
  <conditionalFormatting sqref="H332">
    <cfRule type="cellIs" dxfId="950" priority="923" operator="equal">
      <formula>"NA"</formula>
    </cfRule>
    <cfRule type="cellIs" dxfId="949" priority="924" operator="equal">
      <formula>"NO"</formula>
    </cfRule>
  </conditionalFormatting>
  <conditionalFormatting sqref="H334">
    <cfRule type="cellIs" dxfId="948" priority="920" operator="equal">
      <formula>"NA"</formula>
    </cfRule>
    <cfRule type="cellIs" dxfId="947" priority="921" operator="equal">
      <formula>"SI"</formula>
    </cfRule>
    <cfRule type="cellIs" dxfId="946" priority="922" operator="equal">
      <formula>"NO"</formula>
    </cfRule>
  </conditionalFormatting>
  <conditionalFormatting sqref="H346">
    <cfRule type="cellIs" dxfId="945" priority="910" operator="equal">
      <formula>"SI"</formula>
    </cfRule>
  </conditionalFormatting>
  <conditionalFormatting sqref="H348">
    <cfRule type="cellIs" dxfId="944" priority="916" operator="equal">
      <formula>"NA"</formula>
    </cfRule>
    <cfRule type="cellIs" dxfId="943" priority="917" operator="equal">
      <formula>"SI"</formula>
    </cfRule>
    <cfRule type="cellIs" dxfId="942" priority="918" operator="equal">
      <formula>"NO"</formula>
    </cfRule>
  </conditionalFormatting>
  <conditionalFormatting sqref="H347">
    <cfRule type="cellIs" dxfId="941" priority="914" operator="equal">
      <formula>"NA"</formula>
    </cfRule>
    <cfRule type="cellIs" dxfId="940" priority="915" operator="equal">
      <formula>"NO"</formula>
    </cfRule>
  </conditionalFormatting>
  <conditionalFormatting sqref="H349">
    <cfRule type="cellIs" dxfId="939" priority="911" operator="equal">
      <formula>"NA"</formula>
    </cfRule>
    <cfRule type="cellIs" dxfId="938" priority="912" operator="equal">
      <formula>"SI"</formula>
    </cfRule>
    <cfRule type="cellIs" dxfId="937" priority="913" operator="equal">
      <formula>"NO"</formula>
    </cfRule>
  </conditionalFormatting>
  <conditionalFormatting sqref="H361">
    <cfRule type="cellIs" dxfId="936" priority="901" operator="equal">
      <formula>"SI"</formula>
    </cfRule>
  </conditionalFormatting>
  <conditionalFormatting sqref="H363">
    <cfRule type="cellIs" dxfId="935" priority="907" operator="equal">
      <formula>"NA"</formula>
    </cfRule>
    <cfRule type="cellIs" dxfId="934" priority="908" operator="equal">
      <formula>"SI"</formula>
    </cfRule>
    <cfRule type="cellIs" dxfId="933" priority="909" operator="equal">
      <formula>"NO"</formula>
    </cfRule>
  </conditionalFormatting>
  <conditionalFormatting sqref="H362">
    <cfRule type="cellIs" dxfId="932" priority="905" operator="equal">
      <formula>"NA"</formula>
    </cfRule>
    <cfRule type="cellIs" dxfId="931" priority="906" operator="equal">
      <formula>"NO"</formula>
    </cfRule>
  </conditionalFormatting>
  <conditionalFormatting sqref="H364">
    <cfRule type="cellIs" dxfId="930" priority="902" operator="equal">
      <formula>"NA"</formula>
    </cfRule>
    <cfRule type="cellIs" dxfId="929" priority="903" operator="equal">
      <formula>"SI"</formula>
    </cfRule>
    <cfRule type="cellIs" dxfId="928" priority="904" operator="equal">
      <formula>"NO"</formula>
    </cfRule>
  </conditionalFormatting>
  <conditionalFormatting sqref="H376">
    <cfRule type="cellIs" dxfId="927" priority="892" operator="equal">
      <formula>"SI"</formula>
    </cfRule>
  </conditionalFormatting>
  <conditionalFormatting sqref="H378">
    <cfRule type="cellIs" dxfId="926" priority="898" operator="equal">
      <formula>"NA"</formula>
    </cfRule>
    <cfRule type="cellIs" dxfId="925" priority="899" operator="equal">
      <formula>"SI"</formula>
    </cfRule>
    <cfRule type="cellIs" dxfId="924" priority="900" operator="equal">
      <formula>"NO"</formula>
    </cfRule>
  </conditionalFormatting>
  <conditionalFormatting sqref="H377">
    <cfRule type="cellIs" dxfId="923" priority="896" operator="equal">
      <formula>"NA"</formula>
    </cfRule>
    <cfRule type="cellIs" dxfId="922" priority="897" operator="equal">
      <formula>"NO"</formula>
    </cfRule>
  </conditionalFormatting>
  <conditionalFormatting sqref="H379">
    <cfRule type="cellIs" dxfId="921" priority="893" operator="equal">
      <formula>"NA"</formula>
    </cfRule>
    <cfRule type="cellIs" dxfId="920" priority="894" operator="equal">
      <formula>"SI"</formula>
    </cfRule>
    <cfRule type="cellIs" dxfId="919" priority="895" operator="equal">
      <formula>"NO"</formula>
    </cfRule>
  </conditionalFormatting>
  <conditionalFormatting sqref="H391">
    <cfRule type="cellIs" dxfId="918" priority="883" operator="equal">
      <formula>"SI"</formula>
    </cfRule>
  </conditionalFormatting>
  <conditionalFormatting sqref="H393">
    <cfRule type="cellIs" dxfId="917" priority="889" operator="equal">
      <formula>"NA"</formula>
    </cfRule>
    <cfRule type="cellIs" dxfId="916" priority="890" operator="equal">
      <formula>"SI"</formula>
    </cfRule>
    <cfRule type="cellIs" dxfId="915" priority="891" operator="equal">
      <formula>"NO"</formula>
    </cfRule>
  </conditionalFormatting>
  <conditionalFormatting sqref="H392">
    <cfRule type="cellIs" dxfId="914" priority="887" operator="equal">
      <formula>"NA"</formula>
    </cfRule>
    <cfRule type="cellIs" dxfId="913" priority="888" operator="equal">
      <formula>"NO"</formula>
    </cfRule>
  </conditionalFormatting>
  <conditionalFormatting sqref="H394">
    <cfRule type="cellIs" dxfId="912" priority="884" operator="equal">
      <formula>"NA"</formula>
    </cfRule>
    <cfRule type="cellIs" dxfId="911" priority="885" operator="equal">
      <formula>"SI"</formula>
    </cfRule>
    <cfRule type="cellIs" dxfId="910" priority="886" operator="equal">
      <formula>"NO"</formula>
    </cfRule>
  </conditionalFormatting>
  <conditionalFormatting sqref="H406">
    <cfRule type="cellIs" dxfId="909" priority="874" operator="equal">
      <formula>"SI"</formula>
    </cfRule>
  </conditionalFormatting>
  <conditionalFormatting sqref="H408">
    <cfRule type="cellIs" dxfId="908" priority="880" operator="equal">
      <formula>"NA"</formula>
    </cfRule>
    <cfRule type="cellIs" dxfId="907" priority="881" operator="equal">
      <formula>"SI"</formula>
    </cfRule>
    <cfRule type="cellIs" dxfId="906" priority="882" operator="equal">
      <formula>"NO"</formula>
    </cfRule>
  </conditionalFormatting>
  <conditionalFormatting sqref="H407">
    <cfRule type="cellIs" dxfId="905" priority="878" operator="equal">
      <formula>"NA"</formula>
    </cfRule>
    <cfRule type="cellIs" dxfId="904" priority="879" operator="equal">
      <formula>"NO"</formula>
    </cfRule>
  </conditionalFormatting>
  <conditionalFormatting sqref="H409">
    <cfRule type="cellIs" dxfId="903" priority="875" operator="equal">
      <formula>"NA"</formula>
    </cfRule>
    <cfRule type="cellIs" dxfId="902" priority="876" operator="equal">
      <formula>"SI"</formula>
    </cfRule>
    <cfRule type="cellIs" dxfId="901" priority="877" operator="equal">
      <formula>"NO"</formula>
    </cfRule>
  </conditionalFormatting>
  <conditionalFormatting sqref="H421">
    <cfRule type="cellIs" dxfId="900" priority="865" operator="equal">
      <formula>"SI"</formula>
    </cfRule>
  </conditionalFormatting>
  <conditionalFormatting sqref="H423">
    <cfRule type="cellIs" dxfId="899" priority="871" operator="equal">
      <formula>"NA"</formula>
    </cfRule>
    <cfRule type="cellIs" dxfId="898" priority="872" operator="equal">
      <formula>"SI"</formula>
    </cfRule>
    <cfRule type="cellIs" dxfId="897" priority="873" operator="equal">
      <formula>"NO"</formula>
    </cfRule>
  </conditionalFormatting>
  <conditionalFormatting sqref="H422">
    <cfRule type="cellIs" dxfId="896" priority="869" operator="equal">
      <formula>"NA"</formula>
    </cfRule>
    <cfRule type="cellIs" dxfId="895" priority="870" operator="equal">
      <formula>"NO"</formula>
    </cfRule>
  </conditionalFormatting>
  <conditionalFormatting sqref="H424">
    <cfRule type="cellIs" dxfId="894" priority="866" operator="equal">
      <formula>"NA"</formula>
    </cfRule>
    <cfRule type="cellIs" dxfId="893" priority="867" operator="equal">
      <formula>"SI"</formula>
    </cfRule>
    <cfRule type="cellIs" dxfId="892" priority="868" operator="equal">
      <formula>"NO"</formula>
    </cfRule>
  </conditionalFormatting>
  <conditionalFormatting sqref="H436">
    <cfRule type="cellIs" dxfId="891" priority="856" operator="equal">
      <formula>"SI"</formula>
    </cfRule>
  </conditionalFormatting>
  <conditionalFormatting sqref="H438">
    <cfRule type="cellIs" dxfId="890" priority="862" operator="equal">
      <formula>"NA"</formula>
    </cfRule>
    <cfRule type="cellIs" dxfId="889" priority="863" operator="equal">
      <formula>"SI"</formula>
    </cfRule>
    <cfRule type="cellIs" dxfId="888" priority="864" operator="equal">
      <formula>"NO"</formula>
    </cfRule>
  </conditionalFormatting>
  <conditionalFormatting sqref="H437">
    <cfRule type="cellIs" dxfId="887" priority="860" operator="equal">
      <formula>"NA"</formula>
    </cfRule>
    <cfRule type="cellIs" dxfId="886" priority="861" operator="equal">
      <formula>"NO"</formula>
    </cfRule>
  </conditionalFormatting>
  <conditionalFormatting sqref="H439">
    <cfRule type="cellIs" dxfId="885" priority="857" operator="equal">
      <formula>"NA"</formula>
    </cfRule>
    <cfRule type="cellIs" dxfId="884" priority="858" operator="equal">
      <formula>"SI"</formula>
    </cfRule>
    <cfRule type="cellIs" dxfId="883" priority="859" operator="equal">
      <formula>"NO"</formula>
    </cfRule>
  </conditionalFormatting>
  <conditionalFormatting sqref="H451">
    <cfRule type="cellIs" dxfId="882" priority="847" operator="equal">
      <formula>"SI"</formula>
    </cfRule>
  </conditionalFormatting>
  <conditionalFormatting sqref="H453">
    <cfRule type="cellIs" dxfId="881" priority="853" operator="equal">
      <formula>"NA"</formula>
    </cfRule>
    <cfRule type="cellIs" dxfId="880" priority="854" operator="equal">
      <formula>"SI"</formula>
    </cfRule>
    <cfRule type="cellIs" dxfId="879" priority="855" operator="equal">
      <formula>"NO"</formula>
    </cfRule>
  </conditionalFormatting>
  <conditionalFormatting sqref="H452">
    <cfRule type="cellIs" dxfId="878" priority="851" operator="equal">
      <formula>"NA"</formula>
    </cfRule>
    <cfRule type="cellIs" dxfId="877" priority="852" operator="equal">
      <formula>"NO"</formula>
    </cfRule>
  </conditionalFormatting>
  <conditionalFormatting sqref="H454">
    <cfRule type="cellIs" dxfId="876" priority="848" operator="equal">
      <formula>"NA"</formula>
    </cfRule>
    <cfRule type="cellIs" dxfId="875" priority="849" operator="equal">
      <formula>"SI"</formula>
    </cfRule>
    <cfRule type="cellIs" dxfId="874" priority="850" operator="equal">
      <formula>"NO"</formula>
    </cfRule>
  </conditionalFormatting>
  <conditionalFormatting sqref="H466">
    <cfRule type="cellIs" dxfId="873" priority="838" operator="equal">
      <formula>"SI"</formula>
    </cfRule>
  </conditionalFormatting>
  <conditionalFormatting sqref="H468">
    <cfRule type="cellIs" dxfId="872" priority="844" operator="equal">
      <formula>"NA"</formula>
    </cfRule>
    <cfRule type="cellIs" dxfId="871" priority="845" operator="equal">
      <formula>"SI"</formula>
    </cfRule>
    <cfRule type="cellIs" dxfId="870" priority="846" operator="equal">
      <formula>"NO"</formula>
    </cfRule>
  </conditionalFormatting>
  <conditionalFormatting sqref="H467">
    <cfRule type="cellIs" dxfId="869" priority="842" operator="equal">
      <formula>"NA"</formula>
    </cfRule>
    <cfRule type="cellIs" dxfId="868" priority="843" operator="equal">
      <formula>"NO"</formula>
    </cfRule>
  </conditionalFormatting>
  <conditionalFormatting sqref="H469">
    <cfRule type="cellIs" dxfId="867" priority="839" operator="equal">
      <formula>"NA"</formula>
    </cfRule>
    <cfRule type="cellIs" dxfId="866" priority="840" operator="equal">
      <formula>"SI"</formula>
    </cfRule>
    <cfRule type="cellIs" dxfId="865" priority="841" operator="equal">
      <formula>"NO"</formula>
    </cfRule>
  </conditionalFormatting>
  <conditionalFormatting sqref="H481">
    <cfRule type="cellIs" dxfId="864" priority="829" operator="equal">
      <formula>"SI"</formula>
    </cfRule>
  </conditionalFormatting>
  <conditionalFormatting sqref="H483">
    <cfRule type="cellIs" dxfId="863" priority="835" operator="equal">
      <formula>"NA"</formula>
    </cfRule>
    <cfRule type="cellIs" dxfId="862" priority="836" operator="equal">
      <formula>"SI"</formula>
    </cfRule>
    <cfRule type="cellIs" dxfId="861" priority="837" operator="equal">
      <formula>"NO"</formula>
    </cfRule>
  </conditionalFormatting>
  <conditionalFormatting sqref="H482">
    <cfRule type="cellIs" dxfId="860" priority="833" operator="equal">
      <formula>"NA"</formula>
    </cfRule>
    <cfRule type="cellIs" dxfId="859" priority="834" operator="equal">
      <formula>"NO"</formula>
    </cfRule>
  </conditionalFormatting>
  <conditionalFormatting sqref="H484">
    <cfRule type="cellIs" dxfId="858" priority="830" operator="equal">
      <formula>"NA"</formula>
    </cfRule>
    <cfRule type="cellIs" dxfId="857" priority="831" operator="equal">
      <formula>"SI"</formula>
    </cfRule>
    <cfRule type="cellIs" dxfId="856" priority="832" operator="equal">
      <formula>"NO"</formula>
    </cfRule>
  </conditionalFormatting>
  <conditionalFormatting sqref="H496">
    <cfRule type="cellIs" dxfId="855" priority="810" operator="equal">
      <formula>"SI"</formula>
    </cfRule>
  </conditionalFormatting>
  <conditionalFormatting sqref="H494">
    <cfRule type="cellIs" dxfId="854" priority="823" stopIfTrue="1" operator="greaterThan">
      <formula>0</formula>
    </cfRule>
  </conditionalFormatting>
  <conditionalFormatting sqref="H495">
    <cfRule type="cellIs" dxfId="853" priority="828" stopIfTrue="1" operator="greaterThan">
      <formula>0</formula>
    </cfRule>
  </conditionalFormatting>
  <conditionalFormatting sqref="H495">
    <cfRule type="cellIs" dxfId="852" priority="827" operator="equal">
      <formula>"NO"</formula>
    </cfRule>
  </conditionalFormatting>
  <conditionalFormatting sqref="H495">
    <cfRule type="containsBlanks" dxfId="851" priority="826">
      <formula>LEN(TRIM(H495))=0</formula>
    </cfRule>
  </conditionalFormatting>
  <conditionalFormatting sqref="H495">
    <cfRule type="cellIs" dxfId="850" priority="825" stopIfTrue="1" operator="lessThan">
      <formula>0</formula>
    </cfRule>
  </conditionalFormatting>
  <conditionalFormatting sqref="H495">
    <cfRule type="cellIs" dxfId="849" priority="824" operator="equal">
      <formula>"NO"</formula>
    </cfRule>
  </conditionalFormatting>
  <conditionalFormatting sqref="H494">
    <cfRule type="cellIs" dxfId="848" priority="822" operator="equal">
      <formula>"NO"</formula>
    </cfRule>
  </conditionalFormatting>
  <conditionalFormatting sqref="H494">
    <cfRule type="containsBlanks" dxfId="847" priority="821">
      <formula>LEN(TRIM(H494))=0</formula>
    </cfRule>
  </conditionalFormatting>
  <conditionalFormatting sqref="H494">
    <cfRule type="cellIs" dxfId="846" priority="820" stopIfTrue="1" operator="lessThan">
      <formula>0</formula>
    </cfRule>
  </conditionalFormatting>
  <conditionalFormatting sqref="H494">
    <cfRule type="cellIs" dxfId="845" priority="819" operator="equal">
      <formula>"NO"</formula>
    </cfRule>
  </conditionalFormatting>
  <conditionalFormatting sqref="H498">
    <cfRule type="cellIs" dxfId="844" priority="816" operator="equal">
      <formula>"NA"</formula>
    </cfRule>
    <cfRule type="cellIs" dxfId="843" priority="817" operator="equal">
      <formula>"SI"</formula>
    </cfRule>
    <cfRule type="cellIs" dxfId="842" priority="818" operator="equal">
      <formula>"NO"</formula>
    </cfRule>
  </conditionalFormatting>
  <conditionalFormatting sqref="H497">
    <cfRule type="cellIs" dxfId="841" priority="814" operator="equal">
      <formula>"NA"</formula>
    </cfRule>
    <cfRule type="cellIs" dxfId="840" priority="815" operator="equal">
      <formula>"NO"</formula>
    </cfRule>
  </conditionalFormatting>
  <conditionalFormatting sqref="H499">
    <cfRule type="cellIs" dxfId="839" priority="811" operator="equal">
      <formula>"NA"</formula>
    </cfRule>
    <cfRule type="cellIs" dxfId="838" priority="812" operator="equal">
      <formula>"SI"</formula>
    </cfRule>
    <cfRule type="cellIs" dxfId="837" priority="813" operator="equal">
      <formula>"NO"</formula>
    </cfRule>
  </conditionalFormatting>
  <conditionalFormatting sqref="H511">
    <cfRule type="cellIs" dxfId="836" priority="801" operator="equal">
      <formula>"SI"</formula>
    </cfRule>
  </conditionalFormatting>
  <conditionalFormatting sqref="H513">
    <cfRule type="cellIs" dxfId="835" priority="807" operator="equal">
      <formula>"NA"</formula>
    </cfRule>
    <cfRule type="cellIs" dxfId="834" priority="808" operator="equal">
      <formula>"SI"</formula>
    </cfRule>
    <cfRule type="cellIs" dxfId="833" priority="809" operator="equal">
      <formula>"NO"</formula>
    </cfRule>
  </conditionalFormatting>
  <conditionalFormatting sqref="H512">
    <cfRule type="cellIs" dxfId="832" priority="805" operator="equal">
      <formula>"NA"</formula>
    </cfRule>
    <cfRule type="cellIs" dxfId="831" priority="806" operator="equal">
      <formula>"NO"</formula>
    </cfRule>
  </conditionalFormatting>
  <conditionalFormatting sqref="H514">
    <cfRule type="cellIs" dxfId="830" priority="802" operator="equal">
      <formula>"NA"</formula>
    </cfRule>
    <cfRule type="cellIs" dxfId="829" priority="803" operator="equal">
      <formula>"SI"</formula>
    </cfRule>
    <cfRule type="cellIs" dxfId="828" priority="804" operator="equal">
      <formula>"NO"</formula>
    </cfRule>
  </conditionalFormatting>
  <conditionalFormatting sqref="H526">
    <cfRule type="cellIs" dxfId="827" priority="782" operator="equal">
      <formula>"SI"</formula>
    </cfRule>
  </conditionalFormatting>
  <conditionalFormatting sqref="H524">
    <cfRule type="cellIs" dxfId="826" priority="795" stopIfTrue="1" operator="greaterThan">
      <formula>0</formula>
    </cfRule>
  </conditionalFormatting>
  <conditionalFormatting sqref="H525">
    <cfRule type="cellIs" dxfId="825" priority="800" stopIfTrue="1" operator="greaterThan">
      <formula>0</formula>
    </cfRule>
  </conditionalFormatting>
  <conditionalFormatting sqref="H525">
    <cfRule type="cellIs" dxfId="824" priority="799" operator="equal">
      <formula>"NO"</formula>
    </cfRule>
  </conditionalFormatting>
  <conditionalFormatting sqref="H525">
    <cfRule type="containsBlanks" dxfId="823" priority="798">
      <formula>LEN(TRIM(H525))=0</formula>
    </cfRule>
  </conditionalFormatting>
  <conditionalFormatting sqref="H525">
    <cfRule type="cellIs" dxfId="822" priority="797" stopIfTrue="1" operator="lessThan">
      <formula>0</formula>
    </cfRule>
  </conditionalFormatting>
  <conditionalFormatting sqref="H525">
    <cfRule type="cellIs" dxfId="821" priority="796" operator="equal">
      <formula>"NO"</formula>
    </cfRule>
  </conditionalFormatting>
  <conditionalFormatting sqref="H524">
    <cfRule type="cellIs" dxfId="820" priority="794" operator="equal">
      <formula>"NO"</formula>
    </cfRule>
  </conditionalFormatting>
  <conditionalFormatting sqref="H524">
    <cfRule type="containsBlanks" dxfId="819" priority="793">
      <formula>LEN(TRIM(H524))=0</formula>
    </cfRule>
  </conditionalFormatting>
  <conditionalFormatting sqref="H524">
    <cfRule type="cellIs" dxfId="818" priority="792" stopIfTrue="1" operator="lessThan">
      <formula>0</formula>
    </cfRule>
  </conditionalFormatting>
  <conditionalFormatting sqref="H524">
    <cfRule type="cellIs" dxfId="817" priority="791" operator="equal">
      <formula>"NO"</formula>
    </cfRule>
  </conditionalFormatting>
  <conditionalFormatting sqref="H528">
    <cfRule type="cellIs" dxfId="816" priority="788" operator="equal">
      <formula>"NA"</formula>
    </cfRule>
    <cfRule type="cellIs" dxfId="815" priority="789" operator="equal">
      <formula>"SI"</formula>
    </cfRule>
    <cfRule type="cellIs" dxfId="814" priority="790" operator="equal">
      <formula>"NO"</formula>
    </cfRule>
  </conditionalFormatting>
  <conditionalFormatting sqref="H527">
    <cfRule type="cellIs" dxfId="813" priority="786" operator="equal">
      <formula>"NA"</formula>
    </cfRule>
    <cfRule type="cellIs" dxfId="812" priority="787" operator="equal">
      <formula>"NO"</formula>
    </cfRule>
  </conditionalFormatting>
  <conditionalFormatting sqref="H529">
    <cfRule type="cellIs" dxfId="811" priority="783" operator="equal">
      <formula>"NA"</formula>
    </cfRule>
    <cfRule type="cellIs" dxfId="810" priority="784" operator="equal">
      <formula>"SI"</formula>
    </cfRule>
    <cfRule type="cellIs" dxfId="809" priority="785" operator="equal">
      <formula>"NO"</formula>
    </cfRule>
  </conditionalFormatting>
  <conditionalFormatting sqref="H541">
    <cfRule type="cellIs" dxfId="808" priority="763" operator="equal">
      <formula>"SI"</formula>
    </cfRule>
  </conditionalFormatting>
  <conditionalFormatting sqref="H539">
    <cfRule type="cellIs" dxfId="807" priority="776" stopIfTrue="1" operator="greaterThan">
      <formula>0</formula>
    </cfRule>
  </conditionalFormatting>
  <conditionalFormatting sqref="H540">
    <cfRule type="cellIs" dxfId="806" priority="781" stopIfTrue="1" operator="greaterThan">
      <formula>0</formula>
    </cfRule>
  </conditionalFormatting>
  <conditionalFormatting sqref="H540">
    <cfRule type="cellIs" dxfId="805" priority="780" operator="equal">
      <formula>"NO"</formula>
    </cfRule>
  </conditionalFormatting>
  <conditionalFormatting sqref="H540">
    <cfRule type="containsBlanks" dxfId="804" priority="779">
      <formula>LEN(TRIM(H540))=0</formula>
    </cfRule>
  </conditionalFormatting>
  <conditionalFormatting sqref="H540">
    <cfRule type="cellIs" dxfId="803" priority="778" stopIfTrue="1" operator="lessThan">
      <formula>0</formula>
    </cfRule>
  </conditionalFormatting>
  <conditionalFormatting sqref="H540">
    <cfRule type="cellIs" dxfId="802" priority="777" operator="equal">
      <formula>"NO"</formula>
    </cfRule>
  </conditionalFormatting>
  <conditionalFormatting sqref="H539">
    <cfRule type="cellIs" dxfId="801" priority="775" operator="equal">
      <formula>"NO"</formula>
    </cfRule>
  </conditionalFormatting>
  <conditionalFormatting sqref="H539">
    <cfRule type="containsBlanks" dxfId="800" priority="774">
      <formula>LEN(TRIM(H539))=0</formula>
    </cfRule>
  </conditionalFormatting>
  <conditionalFormatting sqref="H539">
    <cfRule type="cellIs" dxfId="799" priority="773" stopIfTrue="1" operator="lessThan">
      <formula>0</formula>
    </cfRule>
  </conditionalFormatting>
  <conditionalFormatting sqref="H539">
    <cfRule type="cellIs" dxfId="798" priority="772" operator="equal">
      <formula>"NO"</formula>
    </cfRule>
  </conditionalFormatting>
  <conditionalFormatting sqref="H543">
    <cfRule type="cellIs" dxfId="797" priority="769" operator="equal">
      <formula>"NA"</formula>
    </cfRule>
    <cfRule type="cellIs" dxfId="796" priority="770" operator="equal">
      <formula>"SI"</formula>
    </cfRule>
    <cfRule type="cellIs" dxfId="795" priority="771" operator="equal">
      <formula>"NO"</formula>
    </cfRule>
  </conditionalFormatting>
  <conditionalFormatting sqref="H542">
    <cfRule type="cellIs" dxfId="794" priority="767" operator="equal">
      <formula>"NA"</formula>
    </cfRule>
    <cfRule type="cellIs" dxfId="793" priority="768" operator="equal">
      <formula>"NO"</formula>
    </cfRule>
  </conditionalFormatting>
  <conditionalFormatting sqref="H544">
    <cfRule type="cellIs" dxfId="792" priority="764" operator="equal">
      <formula>"NA"</formula>
    </cfRule>
    <cfRule type="cellIs" dxfId="791" priority="765" operator="equal">
      <formula>"SI"</formula>
    </cfRule>
    <cfRule type="cellIs" dxfId="790" priority="766" operator="equal">
      <formula>"NO"</formula>
    </cfRule>
  </conditionalFormatting>
  <conditionalFormatting sqref="H556">
    <cfRule type="cellIs" dxfId="789" priority="744" operator="equal">
      <formula>"SI"</formula>
    </cfRule>
  </conditionalFormatting>
  <conditionalFormatting sqref="H554">
    <cfRule type="cellIs" dxfId="788" priority="757" stopIfTrue="1" operator="greaterThan">
      <formula>0</formula>
    </cfRule>
  </conditionalFormatting>
  <conditionalFormatting sqref="H555">
    <cfRule type="cellIs" dxfId="787" priority="762" stopIfTrue="1" operator="greaterThan">
      <formula>0</formula>
    </cfRule>
  </conditionalFormatting>
  <conditionalFormatting sqref="H555">
    <cfRule type="cellIs" dxfId="786" priority="761" operator="equal">
      <formula>"NO"</formula>
    </cfRule>
  </conditionalFormatting>
  <conditionalFormatting sqref="H555">
    <cfRule type="containsBlanks" dxfId="785" priority="760">
      <formula>LEN(TRIM(H555))=0</formula>
    </cfRule>
  </conditionalFormatting>
  <conditionalFormatting sqref="H555">
    <cfRule type="cellIs" dxfId="784" priority="759" stopIfTrue="1" operator="lessThan">
      <formula>0</formula>
    </cfRule>
  </conditionalFormatting>
  <conditionalFormatting sqref="H555">
    <cfRule type="cellIs" dxfId="783" priority="758" operator="equal">
      <formula>"NO"</formula>
    </cfRule>
  </conditionalFormatting>
  <conditionalFormatting sqref="H554">
    <cfRule type="cellIs" dxfId="782" priority="756" operator="equal">
      <formula>"NO"</formula>
    </cfRule>
  </conditionalFormatting>
  <conditionalFormatting sqref="H554">
    <cfRule type="containsBlanks" dxfId="781" priority="755">
      <formula>LEN(TRIM(H554))=0</formula>
    </cfRule>
  </conditionalFormatting>
  <conditionalFormatting sqref="H554">
    <cfRule type="cellIs" dxfId="780" priority="754" stopIfTrue="1" operator="lessThan">
      <formula>0</formula>
    </cfRule>
  </conditionalFormatting>
  <conditionalFormatting sqref="H554">
    <cfRule type="cellIs" dxfId="779" priority="753" operator="equal">
      <formula>"NO"</formula>
    </cfRule>
  </conditionalFormatting>
  <conditionalFormatting sqref="H558">
    <cfRule type="cellIs" dxfId="778" priority="750" operator="equal">
      <formula>"NA"</formula>
    </cfRule>
    <cfRule type="cellIs" dxfId="777" priority="751" operator="equal">
      <formula>"SI"</formula>
    </cfRule>
    <cfRule type="cellIs" dxfId="776" priority="752" operator="equal">
      <formula>"NO"</formula>
    </cfRule>
  </conditionalFormatting>
  <conditionalFormatting sqref="H557">
    <cfRule type="cellIs" dxfId="775" priority="748" operator="equal">
      <formula>"NA"</formula>
    </cfRule>
    <cfRule type="cellIs" dxfId="774" priority="749" operator="equal">
      <formula>"NO"</formula>
    </cfRule>
  </conditionalFormatting>
  <conditionalFormatting sqref="H559">
    <cfRule type="cellIs" dxfId="773" priority="745" operator="equal">
      <formula>"NA"</formula>
    </cfRule>
    <cfRule type="cellIs" dxfId="772" priority="746" operator="equal">
      <formula>"SI"</formula>
    </cfRule>
    <cfRule type="cellIs" dxfId="771" priority="747" operator="equal">
      <formula>"NO"</formula>
    </cfRule>
  </conditionalFormatting>
  <conditionalFormatting sqref="H571">
    <cfRule type="cellIs" dxfId="770" priority="725" operator="equal">
      <formula>"SI"</formula>
    </cfRule>
  </conditionalFormatting>
  <conditionalFormatting sqref="H569">
    <cfRule type="cellIs" dxfId="769" priority="738" stopIfTrue="1" operator="greaterThan">
      <formula>0</formula>
    </cfRule>
  </conditionalFormatting>
  <conditionalFormatting sqref="H570">
    <cfRule type="cellIs" dxfId="768" priority="743" stopIfTrue="1" operator="greaterThan">
      <formula>0</formula>
    </cfRule>
  </conditionalFormatting>
  <conditionalFormatting sqref="H570">
    <cfRule type="cellIs" dxfId="767" priority="742" operator="equal">
      <formula>"NO"</formula>
    </cfRule>
  </conditionalFormatting>
  <conditionalFormatting sqref="H570">
    <cfRule type="containsBlanks" dxfId="766" priority="741">
      <formula>LEN(TRIM(H570))=0</formula>
    </cfRule>
  </conditionalFormatting>
  <conditionalFormatting sqref="H570">
    <cfRule type="cellIs" dxfId="765" priority="740" stopIfTrue="1" operator="lessThan">
      <formula>0</formula>
    </cfRule>
  </conditionalFormatting>
  <conditionalFormatting sqref="H570">
    <cfRule type="cellIs" dxfId="764" priority="739" operator="equal">
      <formula>"NO"</formula>
    </cfRule>
  </conditionalFormatting>
  <conditionalFormatting sqref="H569">
    <cfRule type="cellIs" dxfId="763" priority="737" operator="equal">
      <formula>"NO"</formula>
    </cfRule>
  </conditionalFormatting>
  <conditionalFormatting sqref="H569">
    <cfRule type="containsBlanks" dxfId="762" priority="736">
      <formula>LEN(TRIM(H569))=0</formula>
    </cfRule>
  </conditionalFormatting>
  <conditionalFormatting sqref="H569">
    <cfRule type="cellIs" dxfId="761" priority="735" stopIfTrue="1" operator="lessThan">
      <formula>0</formula>
    </cfRule>
  </conditionalFormatting>
  <conditionalFormatting sqref="H569">
    <cfRule type="cellIs" dxfId="760" priority="734" operator="equal">
      <formula>"NO"</formula>
    </cfRule>
  </conditionalFormatting>
  <conditionalFormatting sqref="H573">
    <cfRule type="cellIs" dxfId="759" priority="731" operator="equal">
      <formula>"NA"</formula>
    </cfRule>
    <cfRule type="cellIs" dxfId="758" priority="732" operator="equal">
      <formula>"SI"</formula>
    </cfRule>
    <cfRule type="cellIs" dxfId="757" priority="733" operator="equal">
      <formula>"NO"</formula>
    </cfRule>
  </conditionalFormatting>
  <conditionalFormatting sqref="H572">
    <cfRule type="cellIs" dxfId="756" priority="729" operator="equal">
      <formula>"NA"</formula>
    </cfRule>
    <cfRule type="cellIs" dxfId="755" priority="730" operator="equal">
      <formula>"NO"</formula>
    </cfRule>
  </conditionalFormatting>
  <conditionalFormatting sqref="H574">
    <cfRule type="cellIs" dxfId="754" priority="726" operator="equal">
      <formula>"NA"</formula>
    </cfRule>
    <cfRule type="cellIs" dxfId="753" priority="727" operator="equal">
      <formula>"SI"</formula>
    </cfRule>
    <cfRule type="cellIs" dxfId="752" priority="728" operator="equal">
      <formula>"NO"</formula>
    </cfRule>
  </conditionalFormatting>
  <conditionalFormatting sqref="H586">
    <cfRule type="cellIs" dxfId="751" priority="716" operator="equal">
      <formula>"SI"</formula>
    </cfRule>
  </conditionalFormatting>
  <conditionalFormatting sqref="H588">
    <cfRule type="cellIs" dxfId="750" priority="722" operator="equal">
      <formula>"NA"</formula>
    </cfRule>
    <cfRule type="cellIs" dxfId="749" priority="723" operator="equal">
      <formula>"SI"</formula>
    </cfRule>
    <cfRule type="cellIs" dxfId="748" priority="724" operator="equal">
      <formula>"NO"</formula>
    </cfRule>
  </conditionalFormatting>
  <conditionalFormatting sqref="H587">
    <cfRule type="cellIs" dxfId="747" priority="720" operator="equal">
      <formula>"NA"</formula>
    </cfRule>
    <cfRule type="cellIs" dxfId="746" priority="721" operator="equal">
      <formula>"NO"</formula>
    </cfRule>
  </conditionalFormatting>
  <conditionalFormatting sqref="H589">
    <cfRule type="cellIs" dxfId="745" priority="717" operator="equal">
      <formula>"NA"</formula>
    </cfRule>
    <cfRule type="cellIs" dxfId="744" priority="718" operator="equal">
      <formula>"SI"</formula>
    </cfRule>
    <cfRule type="cellIs" dxfId="743" priority="719" operator="equal">
      <formula>"NO"</formula>
    </cfRule>
  </conditionalFormatting>
  <conditionalFormatting sqref="H601">
    <cfRule type="cellIs" dxfId="742" priority="707" operator="equal">
      <formula>"SI"</formula>
    </cfRule>
  </conditionalFormatting>
  <conditionalFormatting sqref="H603">
    <cfRule type="cellIs" dxfId="741" priority="713" operator="equal">
      <formula>"NA"</formula>
    </cfRule>
    <cfRule type="cellIs" dxfId="740" priority="714" operator="equal">
      <formula>"SI"</formula>
    </cfRule>
    <cfRule type="cellIs" dxfId="739" priority="715" operator="equal">
      <formula>"NO"</formula>
    </cfRule>
  </conditionalFormatting>
  <conditionalFormatting sqref="H602">
    <cfRule type="cellIs" dxfId="738" priority="711" operator="equal">
      <formula>"NA"</formula>
    </cfRule>
    <cfRule type="cellIs" dxfId="737" priority="712" operator="equal">
      <formula>"NO"</formula>
    </cfRule>
  </conditionalFormatting>
  <conditionalFormatting sqref="H604">
    <cfRule type="cellIs" dxfId="736" priority="708" operator="equal">
      <formula>"NA"</formula>
    </cfRule>
    <cfRule type="cellIs" dxfId="735" priority="709" operator="equal">
      <formula>"SI"</formula>
    </cfRule>
    <cfRule type="cellIs" dxfId="734" priority="710" operator="equal">
      <formula>"NO"</formula>
    </cfRule>
  </conditionalFormatting>
  <conditionalFormatting sqref="H616">
    <cfRule type="cellIs" dxfId="733" priority="688" operator="equal">
      <formula>"SI"</formula>
    </cfRule>
  </conditionalFormatting>
  <conditionalFormatting sqref="H614">
    <cfRule type="cellIs" dxfId="732" priority="701" stopIfTrue="1" operator="greaterThan">
      <formula>0</formula>
    </cfRule>
  </conditionalFormatting>
  <conditionalFormatting sqref="H615">
    <cfRule type="cellIs" dxfId="731" priority="706" stopIfTrue="1" operator="greaterThan">
      <formula>0</formula>
    </cfRule>
  </conditionalFormatting>
  <conditionalFormatting sqref="H615">
    <cfRule type="cellIs" dxfId="730" priority="705" operator="equal">
      <formula>"NO"</formula>
    </cfRule>
  </conditionalFormatting>
  <conditionalFormatting sqref="H615">
    <cfRule type="containsBlanks" dxfId="729" priority="704">
      <formula>LEN(TRIM(H615))=0</formula>
    </cfRule>
  </conditionalFormatting>
  <conditionalFormatting sqref="H615">
    <cfRule type="cellIs" dxfId="728" priority="703" stopIfTrue="1" operator="lessThan">
      <formula>0</formula>
    </cfRule>
  </conditionalFormatting>
  <conditionalFormatting sqref="H615">
    <cfRule type="cellIs" dxfId="727" priority="702" operator="equal">
      <formula>"NO"</formula>
    </cfRule>
  </conditionalFormatting>
  <conditionalFormatting sqref="H614">
    <cfRule type="cellIs" dxfId="726" priority="700" operator="equal">
      <formula>"NO"</formula>
    </cfRule>
  </conditionalFormatting>
  <conditionalFormatting sqref="H614">
    <cfRule type="containsBlanks" dxfId="725" priority="699">
      <formula>LEN(TRIM(H614))=0</formula>
    </cfRule>
  </conditionalFormatting>
  <conditionalFormatting sqref="H614">
    <cfRule type="cellIs" dxfId="724" priority="698" stopIfTrue="1" operator="lessThan">
      <formula>0</formula>
    </cfRule>
  </conditionalFormatting>
  <conditionalFormatting sqref="H614">
    <cfRule type="cellIs" dxfId="723" priority="697" operator="equal">
      <formula>"NO"</formula>
    </cfRule>
  </conditionalFormatting>
  <conditionalFormatting sqref="H618">
    <cfRule type="cellIs" dxfId="722" priority="694" operator="equal">
      <formula>"NA"</formula>
    </cfRule>
    <cfRule type="cellIs" dxfId="721" priority="695" operator="equal">
      <formula>"SI"</formula>
    </cfRule>
    <cfRule type="cellIs" dxfId="720" priority="696" operator="equal">
      <formula>"NO"</formula>
    </cfRule>
  </conditionalFormatting>
  <conditionalFormatting sqref="H617">
    <cfRule type="cellIs" dxfId="719" priority="692" operator="equal">
      <formula>"NA"</formula>
    </cfRule>
    <cfRule type="cellIs" dxfId="718" priority="693" operator="equal">
      <formula>"NO"</formula>
    </cfRule>
  </conditionalFormatting>
  <conditionalFormatting sqref="H619">
    <cfRule type="cellIs" dxfId="717" priority="689" operator="equal">
      <formula>"NA"</formula>
    </cfRule>
    <cfRule type="cellIs" dxfId="716" priority="690" operator="equal">
      <formula>"SI"</formula>
    </cfRule>
    <cfRule type="cellIs" dxfId="715" priority="691" operator="equal">
      <formula>"NO"</formula>
    </cfRule>
  </conditionalFormatting>
  <conditionalFormatting sqref="H631">
    <cfRule type="cellIs" dxfId="714" priority="669" operator="equal">
      <formula>"SI"</formula>
    </cfRule>
  </conditionalFormatting>
  <conditionalFormatting sqref="H629">
    <cfRule type="cellIs" dxfId="713" priority="682" stopIfTrue="1" operator="greaterThan">
      <formula>0</formula>
    </cfRule>
  </conditionalFormatting>
  <conditionalFormatting sqref="H630">
    <cfRule type="cellIs" dxfId="712" priority="687" stopIfTrue="1" operator="greaterThan">
      <formula>0</formula>
    </cfRule>
  </conditionalFormatting>
  <conditionalFormatting sqref="H630">
    <cfRule type="cellIs" dxfId="711" priority="686" operator="equal">
      <formula>"NO"</formula>
    </cfRule>
  </conditionalFormatting>
  <conditionalFormatting sqref="H630">
    <cfRule type="containsBlanks" dxfId="710" priority="685">
      <formula>LEN(TRIM(H630))=0</formula>
    </cfRule>
  </conditionalFormatting>
  <conditionalFormatting sqref="H630">
    <cfRule type="cellIs" dxfId="709" priority="684" stopIfTrue="1" operator="lessThan">
      <formula>0</formula>
    </cfRule>
  </conditionalFormatting>
  <conditionalFormatting sqref="H630">
    <cfRule type="cellIs" dxfId="708" priority="683" operator="equal">
      <formula>"NO"</formula>
    </cfRule>
  </conditionalFormatting>
  <conditionalFormatting sqref="H629">
    <cfRule type="cellIs" dxfId="707" priority="681" operator="equal">
      <formula>"NO"</formula>
    </cfRule>
  </conditionalFormatting>
  <conditionalFormatting sqref="H629">
    <cfRule type="containsBlanks" dxfId="706" priority="680">
      <formula>LEN(TRIM(H629))=0</formula>
    </cfRule>
  </conditionalFormatting>
  <conditionalFormatting sqref="H629">
    <cfRule type="cellIs" dxfId="705" priority="679" stopIfTrue="1" operator="lessThan">
      <formula>0</formula>
    </cfRule>
  </conditionalFormatting>
  <conditionalFormatting sqref="H629">
    <cfRule type="cellIs" dxfId="704" priority="678" operator="equal">
      <formula>"NO"</formula>
    </cfRule>
  </conditionalFormatting>
  <conditionalFormatting sqref="H633">
    <cfRule type="cellIs" dxfId="703" priority="675" operator="equal">
      <formula>"NA"</formula>
    </cfRule>
    <cfRule type="cellIs" dxfId="702" priority="676" operator="equal">
      <formula>"SI"</formula>
    </cfRule>
    <cfRule type="cellIs" dxfId="701" priority="677" operator="equal">
      <formula>"NO"</formula>
    </cfRule>
  </conditionalFormatting>
  <conditionalFormatting sqref="H632">
    <cfRule type="cellIs" dxfId="700" priority="673" operator="equal">
      <formula>"NA"</formula>
    </cfRule>
    <cfRule type="cellIs" dxfId="699" priority="674" operator="equal">
      <formula>"NO"</formula>
    </cfRule>
  </conditionalFormatting>
  <conditionalFormatting sqref="H634">
    <cfRule type="cellIs" dxfId="698" priority="670" operator="equal">
      <formula>"NA"</formula>
    </cfRule>
    <cfRule type="cellIs" dxfId="697" priority="671" operator="equal">
      <formula>"SI"</formula>
    </cfRule>
    <cfRule type="cellIs" dxfId="696" priority="672" operator="equal">
      <formula>"NO"</formula>
    </cfRule>
  </conditionalFormatting>
  <conditionalFormatting sqref="H646">
    <cfRule type="cellIs" dxfId="695" priority="660" operator="equal">
      <formula>"SI"</formula>
    </cfRule>
  </conditionalFormatting>
  <conditionalFormatting sqref="H648">
    <cfRule type="cellIs" dxfId="694" priority="666" operator="equal">
      <formula>"NA"</formula>
    </cfRule>
    <cfRule type="cellIs" dxfId="693" priority="667" operator="equal">
      <formula>"SI"</formula>
    </cfRule>
    <cfRule type="cellIs" dxfId="692" priority="668" operator="equal">
      <formula>"NO"</formula>
    </cfRule>
  </conditionalFormatting>
  <conditionalFormatting sqref="H647">
    <cfRule type="cellIs" dxfId="691" priority="664" operator="equal">
      <formula>"NA"</formula>
    </cfRule>
    <cfRule type="cellIs" dxfId="690" priority="665" operator="equal">
      <formula>"NO"</formula>
    </cfRule>
  </conditionalFormatting>
  <conditionalFormatting sqref="H649">
    <cfRule type="cellIs" dxfId="689" priority="661" operator="equal">
      <formula>"NA"</formula>
    </cfRule>
    <cfRule type="cellIs" dxfId="688" priority="662" operator="equal">
      <formula>"SI"</formula>
    </cfRule>
    <cfRule type="cellIs" dxfId="687" priority="663" operator="equal">
      <formula>"NO"</formula>
    </cfRule>
  </conditionalFormatting>
  <conditionalFormatting sqref="H661">
    <cfRule type="cellIs" dxfId="686" priority="641" operator="equal">
      <formula>"SI"</formula>
    </cfRule>
  </conditionalFormatting>
  <conditionalFormatting sqref="H659">
    <cfRule type="cellIs" dxfId="685" priority="654" stopIfTrue="1" operator="greaterThan">
      <formula>0</formula>
    </cfRule>
  </conditionalFormatting>
  <conditionalFormatting sqref="H660">
    <cfRule type="cellIs" dxfId="684" priority="659" stopIfTrue="1" operator="greaterThan">
      <formula>0</formula>
    </cfRule>
  </conditionalFormatting>
  <conditionalFormatting sqref="H660">
    <cfRule type="cellIs" dxfId="683" priority="658" operator="equal">
      <formula>"NO"</formula>
    </cfRule>
  </conditionalFormatting>
  <conditionalFormatting sqref="H660">
    <cfRule type="containsBlanks" dxfId="682" priority="657">
      <formula>LEN(TRIM(H660))=0</formula>
    </cfRule>
  </conditionalFormatting>
  <conditionalFormatting sqref="H660">
    <cfRule type="cellIs" dxfId="681" priority="656" stopIfTrue="1" operator="lessThan">
      <formula>0</formula>
    </cfRule>
  </conditionalFormatting>
  <conditionalFormatting sqref="H660">
    <cfRule type="cellIs" dxfId="680" priority="655" operator="equal">
      <formula>"NO"</formula>
    </cfRule>
  </conditionalFormatting>
  <conditionalFormatting sqref="H659">
    <cfRule type="cellIs" dxfId="679" priority="653" operator="equal">
      <formula>"NO"</formula>
    </cfRule>
  </conditionalFormatting>
  <conditionalFormatting sqref="H659">
    <cfRule type="containsBlanks" dxfId="678" priority="652">
      <formula>LEN(TRIM(H659))=0</formula>
    </cfRule>
  </conditionalFormatting>
  <conditionalFormatting sqref="H659">
    <cfRule type="cellIs" dxfId="677" priority="651" stopIfTrue="1" operator="lessThan">
      <formula>0</formula>
    </cfRule>
  </conditionalFormatting>
  <conditionalFormatting sqref="H659">
    <cfRule type="cellIs" dxfId="676" priority="650" operator="equal">
      <formula>"NO"</formula>
    </cfRule>
  </conditionalFormatting>
  <conditionalFormatting sqref="H663">
    <cfRule type="cellIs" dxfId="675" priority="647" operator="equal">
      <formula>"NA"</formula>
    </cfRule>
    <cfRule type="cellIs" dxfId="674" priority="648" operator="equal">
      <formula>"SI"</formula>
    </cfRule>
    <cfRule type="cellIs" dxfId="673" priority="649" operator="equal">
      <formula>"NO"</formula>
    </cfRule>
  </conditionalFormatting>
  <conditionalFormatting sqref="H662">
    <cfRule type="cellIs" dxfId="672" priority="645" operator="equal">
      <formula>"NA"</formula>
    </cfRule>
    <cfRule type="cellIs" dxfId="671" priority="646" operator="equal">
      <formula>"NO"</formula>
    </cfRule>
  </conditionalFormatting>
  <conditionalFormatting sqref="H664">
    <cfRule type="cellIs" dxfId="670" priority="642" operator="equal">
      <formula>"NA"</formula>
    </cfRule>
    <cfRule type="cellIs" dxfId="669" priority="643" operator="equal">
      <formula>"SI"</formula>
    </cfRule>
    <cfRule type="cellIs" dxfId="668" priority="644" operator="equal">
      <formula>"NO"</formula>
    </cfRule>
  </conditionalFormatting>
  <conditionalFormatting sqref="H676">
    <cfRule type="cellIs" dxfId="667" priority="632" operator="equal">
      <formula>"SI"</formula>
    </cfRule>
  </conditionalFormatting>
  <conditionalFormatting sqref="H678">
    <cfRule type="cellIs" dxfId="666" priority="638" operator="equal">
      <formula>"NA"</formula>
    </cfRule>
    <cfRule type="cellIs" dxfId="665" priority="639" operator="equal">
      <formula>"SI"</formula>
    </cfRule>
    <cfRule type="cellIs" dxfId="664" priority="640" operator="equal">
      <formula>"NO"</formula>
    </cfRule>
  </conditionalFormatting>
  <conditionalFormatting sqref="H677">
    <cfRule type="cellIs" dxfId="663" priority="636" operator="equal">
      <formula>"NA"</formula>
    </cfRule>
    <cfRule type="cellIs" dxfId="662" priority="637" operator="equal">
      <formula>"NO"</formula>
    </cfRule>
  </conditionalFormatting>
  <conditionalFormatting sqref="H679">
    <cfRule type="cellIs" dxfId="661" priority="633" operator="equal">
      <formula>"NA"</formula>
    </cfRule>
    <cfRule type="cellIs" dxfId="660" priority="634" operator="equal">
      <formula>"SI"</formula>
    </cfRule>
    <cfRule type="cellIs" dxfId="659" priority="635" operator="equal">
      <formula>"NO"</formula>
    </cfRule>
  </conditionalFormatting>
  <conditionalFormatting sqref="H691">
    <cfRule type="cellIs" dxfId="658" priority="623" operator="equal">
      <formula>"SI"</formula>
    </cfRule>
  </conditionalFormatting>
  <conditionalFormatting sqref="H693">
    <cfRule type="cellIs" dxfId="657" priority="629" operator="equal">
      <formula>"NA"</formula>
    </cfRule>
    <cfRule type="cellIs" dxfId="656" priority="630" operator="equal">
      <formula>"SI"</formula>
    </cfRule>
    <cfRule type="cellIs" dxfId="655" priority="631" operator="equal">
      <formula>"NO"</formula>
    </cfRule>
  </conditionalFormatting>
  <conditionalFormatting sqref="H692">
    <cfRule type="cellIs" dxfId="654" priority="627" operator="equal">
      <formula>"NA"</formula>
    </cfRule>
    <cfRule type="cellIs" dxfId="653" priority="628" operator="equal">
      <formula>"NO"</formula>
    </cfRule>
  </conditionalFormatting>
  <conditionalFormatting sqref="H694">
    <cfRule type="cellIs" dxfId="652" priority="624" operator="equal">
      <formula>"NA"</formula>
    </cfRule>
    <cfRule type="cellIs" dxfId="651" priority="625" operator="equal">
      <formula>"SI"</formula>
    </cfRule>
    <cfRule type="cellIs" dxfId="650" priority="626" operator="equal">
      <formula>"NO"</formula>
    </cfRule>
  </conditionalFormatting>
  <conditionalFormatting sqref="H706">
    <cfRule type="cellIs" dxfId="649" priority="604" operator="equal">
      <formula>"SI"</formula>
    </cfRule>
  </conditionalFormatting>
  <conditionalFormatting sqref="H704">
    <cfRule type="cellIs" dxfId="648" priority="617" stopIfTrue="1" operator="greaterThan">
      <formula>0</formula>
    </cfRule>
  </conditionalFormatting>
  <conditionalFormatting sqref="H705">
    <cfRule type="cellIs" dxfId="647" priority="622" stopIfTrue="1" operator="greaterThan">
      <formula>0</formula>
    </cfRule>
  </conditionalFormatting>
  <conditionalFormatting sqref="H705">
    <cfRule type="cellIs" dxfId="646" priority="621" operator="equal">
      <formula>"NO"</formula>
    </cfRule>
  </conditionalFormatting>
  <conditionalFormatting sqref="H705">
    <cfRule type="containsBlanks" dxfId="645" priority="620">
      <formula>LEN(TRIM(H705))=0</formula>
    </cfRule>
  </conditionalFormatting>
  <conditionalFormatting sqref="H705">
    <cfRule type="cellIs" dxfId="644" priority="619" stopIfTrue="1" operator="lessThan">
      <formula>0</formula>
    </cfRule>
  </conditionalFormatting>
  <conditionalFormatting sqref="H705">
    <cfRule type="cellIs" dxfId="643" priority="618" operator="equal">
      <formula>"NO"</formula>
    </cfRule>
  </conditionalFormatting>
  <conditionalFormatting sqref="H704">
    <cfRule type="cellIs" dxfId="642" priority="616" operator="equal">
      <formula>"NO"</formula>
    </cfRule>
  </conditionalFormatting>
  <conditionalFormatting sqref="H704">
    <cfRule type="containsBlanks" dxfId="641" priority="615">
      <formula>LEN(TRIM(H704))=0</formula>
    </cfRule>
  </conditionalFormatting>
  <conditionalFormatting sqref="H704">
    <cfRule type="cellIs" dxfId="640" priority="614" stopIfTrue="1" operator="lessThan">
      <formula>0</formula>
    </cfRule>
  </conditionalFormatting>
  <conditionalFormatting sqref="H704">
    <cfRule type="cellIs" dxfId="639" priority="613" operator="equal">
      <formula>"NO"</formula>
    </cfRule>
  </conditionalFormatting>
  <conditionalFormatting sqref="H708">
    <cfRule type="cellIs" dxfId="638" priority="610" operator="equal">
      <formula>"NA"</formula>
    </cfRule>
    <cfRule type="cellIs" dxfId="637" priority="611" operator="equal">
      <formula>"SI"</formula>
    </cfRule>
    <cfRule type="cellIs" dxfId="636" priority="612" operator="equal">
      <formula>"NO"</formula>
    </cfRule>
  </conditionalFormatting>
  <conditionalFormatting sqref="H707">
    <cfRule type="cellIs" dxfId="635" priority="608" operator="equal">
      <formula>"NA"</formula>
    </cfRule>
    <cfRule type="cellIs" dxfId="634" priority="609" operator="equal">
      <formula>"NO"</formula>
    </cfRule>
  </conditionalFormatting>
  <conditionalFormatting sqref="H709">
    <cfRule type="cellIs" dxfId="633" priority="605" operator="equal">
      <formula>"NA"</formula>
    </cfRule>
    <cfRule type="cellIs" dxfId="632" priority="606" operator="equal">
      <formula>"SI"</formula>
    </cfRule>
    <cfRule type="cellIs" dxfId="631" priority="607" operator="equal">
      <formula>"NO"</formula>
    </cfRule>
  </conditionalFormatting>
  <conditionalFormatting sqref="H721">
    <cfRule type="cellIs" dxfId="630" priority="585" operator="equal">
      <formula>"SI"</formula>
    </cfRule>
  </conditionalFormatting>
  <conditionalFormatting sqref="H719">
    <cfRule type="cellIs" dxfId="629" priority="598" stopIfTrue="1" operator="greaterThan">
      <formula>0</formula>
    </cfRule>
  </conditionalFormatting>
  <conditionalFormatting sqref="H720">
    <cfRule type="cellIs" dxfId="628" priority="603" stopIfTrue="1" operator="greaterThan">
      <formula>0</formula>
    </cfRule>
  </conditionalFormatting>
  <conditionalFormatting sqref="H720">
    <cfRule type="cellIs" dxfId="627" priority="602" operator="equal">
      <formula>"NO"</formula>
    </cfRule>
  </conditionalFormatting>
  <conditionalFormatting sqref="H720">
    <cfRule type="containsBlanks" dxfId="626" priority="601">
      <formula>LEN(TRIM(H720))=0</formula>
    </cfRule>
  </conditionalFormatting>
  <conditionalFormatting sqref="H720">
    <cfRule type="cellIs" dxfId="625" priority="600" stopIfTrue="1" operator="lessThan">
      <formula>0</formula>
    </cfRule>
  </conditionalFormatting>
  <conditionalFormatting sqref="H720">
    <cfRule type="cellIs" dxfId="624" priority="599" operator="equal">
      <formula>"NO"</formula>
    </cfRule>
  </conditionalFormatting>
  <conditionalFormatting sqref="H719">
    <cfRule type="cellIs" dxfId="623" priority="597" operator="equal">
      <formula>"NO"</formula>
    </cfRule>
  </conditionalFormatting>
  <conditionalFormatting sqref="H719">
    <cfRule type="containsBlanks" dxfId="622" priority="596">
      <formula>LEN(TRIM(H719))=0</formula>
    </cfRule>
  </conditionalFormatting>
  <conditionalFormatting sqref="H719">
    <cfRule type="cellIs" dxfId="621" priority="595" stopIfTrue="1" operator="lessThan">
      <formula>0</formula>
    </cfRule>
  </conditionalFormatting>
  <conditionalFormatting sqref="H719">
    <cfRule type="cellIs" dxfId="620" priority="594" operator="equal">
      <formula>"NO"</formula>
    </cfRule>
  </conditionalFormatting>
  <conditionalFormatting sqref="H723">
    <cfRule type="cellIs" dxfId="619" priority="591" operator="equal">
      <formula>"NA"</formula>
    </cfRule>
    <cfRule type="cellIs" dxfId="618" priority="592" operator="equal">
      <formula>"SI"</formula>
    </cfRule>
    <cfRule type="cellIs" dxfId="617" priority="593" operator="equal">
      <formula>"NO"</formula>
    </cfRule>
  </conditionalFormatting>
  <conditionalFormatting sqref="H722">
    <cfRule type="cellIs" dxfId="616" priority="589" operator="equal">
      <formula>"NA"</formula>
    </cfRule>
    <cfRule type="cellIs" dxfId="615" priority="590" operator="equal">
      <formula>"NO"</formula>
    </cfRule>
  </conditionalFormatting>
  <conditionalFormatting sqref="H724">
    <cfRule type="cellIs" dxfId="614" priority="586" operator="equal">
      <formula>"NA"</formula>
    </cfRule>
    <cfRule type="cellIs" dxfId="613" priority="587" operator="equal">
      <formula>"SI"</formula>
    </cfRule>
    <cfRule type="cellIs" dxfId="612" priority="588" operator="equal">
      <formula>"NO"</formula>
    </cfRule>
  </conditionalFormatting>
  <conditionalFormatting sqref="H736">
    <cfRule type="cellIs" dxfId="611" priority="566" operator="equal">
      <formula>"SI"</formula>
    </cfRule>
  </conditionalFormatting>
  <conditionalFormatting sqref="H734">
    <cfRule type="cellIs" dxfId="610" priority="579" stopIfTrue="1" operator="greaterThan">
      <formula>0</formula>
    </cfRule>
  </conditionalFormatting>
  <conditionalFormatting sqref="H735">
    <cfRule type="cellIs" dxfId="609" priority="584" stopIfTrue="1" operator="greaterThan">
      <formula>0</formula>
    </cfRule>
  </conditionalFormatting>
  <conditionalFormatting sqref="H735">
    <cfRule type="cellIs" dxfId="608" priority="583" operator="equal">
      <formula>"NO"</formula>
    </cfRule>
  </conditionalFormatting>
  <conditionalFormatting sqref="H735">
    <cfRule type="containsBlanks" dxfId="607" priority="582">
      <formula>LEN(TRIM(H735))=0</formula>
    </cfRule>
  </conditionalFormatting>
  <conditionalFormatting sqref="H735">
    <cfRule type="cellIs" dxfId="606" priority="581" stopIfTrue="1" operator="lessThan">
      <formula>0</formula>
    </cfRule>
  </conditionalFormatting>
  <conditionalFormatting sqref="H735">
    <cfRule type="cellIs" dxfId="605" priority="580" operator="equal">
      <formula>"NO"</formula>
    </cfRule>
  </conditionalFormatting>
  <conditionalFormatting sqref="H734">
    <cfRule type="cellIs" dxfId="604" priority="578" operator="equal">
      <formula>"NO"</formula>
    </cfRule>
  </conditionalFormatting>
  <conditionalFormatting sqref="H734">
    <cfRule type="containsBlanks" dxfId="603" priority="577">
      <formula>LEN(TRIM(H734))=0</formula>
    </cfRule>
  </conditionalFormatting>
  <conditionalFormatting sqref="H734">
    <cfRule type="cellIs" dxfId="602" priority="576" stopIfTrue="1" operator="lessThan">
      <formula>0</formula>
    </cfRule>
  </conditionalFormatting>
  <conditionalFormatting sqref="H734">
    <cfRule type="cellIs" dxfId="601" priority="575" operator="equal">
      <formula>"NO"</formula>
    </cfRule>
  </conditionalFormatting>
  <conditionalFormatting sqref="H738">
    <cfRule type="cellIs" dxfId="600" priority="572" operator="equal">
      <formula>"NA"</formula>
    </cfRule>
    <cfRule type="cellIs" dxfId="599" priority="573" operator="equal">
      <formula>"SI"</formula>
    </cfRule>
    <cfRule type="cellIs" dxfId="598" priority="574" operator="equal">
      <formula>"NO"</formula>
    </cfRule>
  </conditionalFormatting>
  <conditionalFormatting sqref="H737">
    <cfRule type="cellIs" dxfId="597" priority="570" operator="equal">
      <formula>"NA"</formula>
    </cfRule>
    <cfRule type="cellIs" dxfId="596" priority="571" operator="equal">
      <formula>"NO"</formula>
    </cfRule>
  </conditionalFormatting>
  <conditionalFormatting sqref="H739">
    <cfRule type="cellIs" dxfId="595" priority="567" operator="equal">
      <formula>"NA"</formula>
    </cfRule>
    <cfRule type="cellIs" dxfId="594" priority="568" operator="equal">
      <formula>"SI"</formula>
    </cfRule>
    <cfRule type="cellIs" dxfId="593" priority="569" operator="equal">
      <formula>"NO"</formula>
    </cfRule>
  </conditionalFormatting>
  <conditionalFormatting sqref="H751">
    <cfRule type="cellIs" dxfId="592" priority="547" operator="equal">
      <formula>"SI"</formula>
    </cfRule>
  </conditionalFormatting>
  <conditionalFormatting sqref="H749">
    <cfRule type="cellIs" dxfId="591" priority="560" stopIfTrue="1" operator="greaterThan">
      <formula>0</formula>
    </cfRule>
  </conditionalFormatting>
  <conditionalFormatting sqref="H750">
    <cfRule type="cellIs" dxfId="590" priority="565" stopIfTrue="1" operator="greaterThan">
      <formula>0</formula>
    </cfRule>
  </conditionalFormatting>
  <conditionalFormatting sqref="H750">
    <cfRule type="cellIs" dxfId="589" priority="564" operator="equal">
      <formula>"NO"</formula>
    </cfRule>
  </conditionalFormatting>
  <conditionalFormatting sqref="H750">
    <cfRule type="containsBlanks" dxfId="588" priority="563">
      <formula>LEN(TRIM(H750))=0</formula>
    </cfRule>
  </conditionalFormatting>
  <conditionalFormatting sqref="H750">
    <cfRule type="cellIs" dxfId="587" priority="562" stopIfTrue="1" operator="lessThan">
      <formula>0</formula>
    </cfRule>
  </conditionalFormatting>
  <conditionalFormatting sqref="H750">
    <cfRule type="cellIs" dxfId="586" priority="561" operator="equal">
      <formula>"NO"</formula>
    </cfRule>
  </conditionalFormatting>
  <conditionalFormatting sqref="H749">
    <cfRule type="cellIs" dxfId="585" priority="559" operator="equal">
      <formula>"NO"</formula>
    </cfRule>
  </conditionalFormatting>
  <conditionalFormatting sqref="H749">
    <cfRule type="containsBlanks" dxfId="584" priority="558">
      <formula>LEN(TRIM(H749))=0</formula>
    </cfRule>
  </conditionalFormatting>
  <conditionalFormatting sqref="H749">
    <cfRule type="cellIs" dxfId="583" priority="557" stopIfTrue="1" operator="lessThan">
      <formula>0</formula>
    </cfRule>
  </conditionalFormatting>
  <conditionalFormatting sqref="H749">
    <cfRule type="cellIs" dxfId="582" priority="556" operator="equal">
      <formula>"NO"</formula>
    </cfRule>
  </conditionalFormatting>
  <conditionalFormatting sqref="H753">
    <cfRule type="cellIs" dxfId="581" priority="553" operator="equal">
      <formula>"NA"</formula>
    </cfRule>
    <cfRule type="cellIs" dxfId="580" priority="554" operator="equal">
      <formula>"SI"</formula>
    </cfRule>
    <cfRule type="cellIs" dxfId="579" priority="555" operator="equal">
      <formula>"NO"</formula>
    </cfRule>
  </conditionalFormatting>
  <conditionalFormatting sqref="H752">
    <cfRule type="cellIs" dxfId="578" priority="551" operator="equal">
      <formula>"NA"</formula>
    </cfRule>
    <cfRule type="cellIs" dxfId="577" priority="552" operator="equal">
      <formula>"NO"</formula>
    </cfRule>
  </conditionalFormatting>
  <conditionalFormatting sqref="H754">
    <cfRule type="cellIs" dxfId="576" priority="548" operator="equal">
      <formula>"NA"</formula>
    </cfRule>
    <cfRule type="cellIs" dxfId="575" priority="549" operator="equal">
      <formula>"SI"</formula>
    </cfRule>
    <cfRule type="cellIs" dxfId="574" priority="550" operator="equal">
      <formula>"NO"</formula>
    </cfRule>
  </conditionalFormatting>
  <conditionalFormatting sqref="H766">
    <cfRule type="cellIs" dxfId="573" priority="528" operator="equal">
      <formula>"SI"</formula>
    </cfRule>
  </conditionalFormatting>
  <conditionalFormatting sqref="H764">
    <cfRule type="cellIs" dxfId="572" priority="541" stopIfTrue="1" operator="greaterThan">
      <formula>0</formula>
    </cfRule>
  </conditionalFormatting>
  <conditionalFormatting sqref="H765">
    <cfRule type="cellIs" dxfId="571" priority="546" stopIfTrue="1" operator="greaterThan">
      <formula>0</formula>
    </cfRule>
  </conditionalFormatting>
  <conditionalFormatting sqref="H765">
    <cfRule type="cellIs" dxfId="570" priority="545" operator="equal">
      <formula>"NO"</formula>
    </cfRule>
  </conditionalFormatting>
  <conditionalFormatting sqref="H765">
    <cfRule type="containsBlanks" dxfId="569" priority="544">
      <formula>LEN(TRIM(H765))=0</formula>
    </cfRule>
  </conditionalFormatting>
  <conditionalFormatting sqref="H765">
    <cfRule type="cellIs" dxfId="568" priority="543" stopIfTrue="1" operator="lessThan">
      <formula>0</formula>
    </cfRule>
  </conditionalFormatting>
  <conditionalFormatting sqref="H765">
    <cfRule type="cellIs" dxfId="567" priority="542" operator="equal">
      <formula>"NO"</formula>
    </cfRule>
  </conditionalFormatting>
  <conditionalFormatting sqref="H764">
    <cfRule type="cellIs" dxfId="566" priority="540" operator="equal">
      <formula>"NO"</formula>
    </cfRule>
  </conditionalFormatting>
  <conditionalFormatting sqref="H764">
    <cfRule type="containsBlanks" dxfId="565" priority="539">
      <formula>LEN(TRIM(H764))=0</formula>
    </cfRule>
  </conditionalFormatting>
  <conditionalFormatting sqref="H764">
    <cfRule type="cellIs" dxfId="564" priority="538" stopIfTrue="1" operator="lessThan">
      <formula>0</formula>
    </cfRule>
  </conditionalFormatting>
  <conditionalFormatting sqref="H764">
    <cfRule type="cellIs" dxfId="563" priority="537" operator="equal">
      <formula>"NO"</formula>
    </cfRule>
  </conditionalFormatting>
  <conditionalFormatting sqref="H768">
    <cfRule type="cellIs" dxfId="562" priority="534" operator="equal">
      <formula>"NA"</formula>
    </cfRule>
    <cfRule type="cellIs" dxfId="561" priority="535" operator="equal">
      <formula>"SI"</formula>
    </cfRule>
    <cfRule type="cellIs" dxfId="560" priority="536" operator="equal">
      <formula>"NO"</formula>
    </cfRule>
  </conditionalFormatting>
  <conditionalFormatting sqref="H767">
    <cfRule type="cellIs" dxfId="559" priority="532" operator="equal">
      <formula>"NA"</formula>
    </cfRule>
    <cfRule type="cellIs" dxfId="558" priority="533" operator="equal">
      <formula>"NO"</formula>
    </cfRule>
  </conditionalFormatting>
  <conditionalFormatting sqref="H769">
    <cfRule type="cellIs" dxfId="557" priority="529" operator="equal">
      <formula>"NA"</formula>
    </cfRule>
    <cfRule type="cellIs" dxfId="556" priority="530" operator="equal">
      <formula>"SI"</formula>
    </cfRule>
    <cfRule type="cellIs" dxfId="555" priority="531" operator="equal">
      <formula>"NO"</formula>
    </cfRule>
  </conditionalFormatting>
  <conditionalFormatting sqref="H781">
    <cfRule type="cellIs" dxfId="554" priority="509" operator="equal">
      <formula>"SI"</formula>
    </cfRule>
  </conditionalFormatting>
  <conditionalFormatting sqref="H779">
    <cfRule type="cellIs" dxfId="553" priority="522" stopIfTrue="1" operator="greaterThan">
      <formula>0</formula>
    </cfRule>
  </conditionalFormatting>
  <conditionalFormatting sqref="H780">
    <cfRule type="cellIs" dxfId="552" priority="527" stopIfTrue="1" operator="greaterThan">
      <formula>0</formula>
    </cfRule>
  </conditionalFormatting>
  <conditionalFormatting sqref="H780">
    <cfRule type="cellIs" dxfId="551" priority="526" operator="equal">
      <formula>"NO"</formula>
    </cfRule>
  </conditionalFormatting>
  <conditionalFormatting sqref="H780">
    <cfRule type="containsBlanks" dxfId="550" priority="525">
      <formula>LEN(TRIM(H780))=0</formula>
    </cfRule>
  </conditionalFormatting>
  <conditionalFormatting sqref="H780">
    <cfRule type="cellIs" dxfId="549" priority="524" stopIfTrue="1" operator="lessThan">
      <formula>0</formula>
    </cfRule>
  </conditionalFormatting>
  <conditionalFormatting sqref="H780">
    <cfRule type="cellIs" dxfId="548" priority="523" operator="equal">
      <formula>"NO"</formula>
    </cfRule>
  </conditionalFormatting>
  <conditionalFormatting sqref="H779">
    <cfRule type="cellIs" dxfId="547" priority="521" operator="equal">
      <formula>"NO"</formula>
    </cfRule>
  </conditionalFormatting>
  <conditionalFormatting sqref="H779">
    <cfRule type="containsBlanks" dxfId="546" priority="520">
      <formula>LEN(TRIM(H779))=0</formula>
    </cfRule>
  </conditionalFormatting>
  <conditionalFormatting sqref="H779">
    <cfRule type="cellIs" dxfId="545" priority="519" stopIfTrue="1" operator="lessThan">
      <formula>0</formula>
    </cfRule>
  </conditionalFormatting>
  <conditionalFormatting sqref="H779">
    <cfRule type="cellIs" dxfId="544" priority="518" operator="equal">
      <formula>"NO"</formula>
    </cfRule>
  </conditionalFormatting>
  <conditionalFormatting sqref="H783">
    <cfRule type="cellIs" dxfId="543" priority="515" operator="equal">
      <formula>"NA"</formula>
    </cfRule>
    <cfRule type="cellIs" dxfId="542" priority="516" operator="equal">
      <formula>"SI"</formula>
    </cfRule>
    <cfRule type="cellIs" dxfId="541" priority="517" operator="equal">
      <formula>"NO"</formula>
    </cfRule>
  </conditionalFormatting>
  <conditionalFormatting sqref="H782">
    <cfRule type="cellIs" dxfId="540" priority="513" operator="equal">
      <formula>"NA"</formula>
    </cfRule>
    <cfRule type="cellIs" dxfId="539" priority="514" operator="equal">
      <formula>"NO"</formula>
    </cfRule>
  </conditionalFormatting>
  <conditionalFormatting sqref="H784">
    <cfRule type="cellIs" dxfId="538" priority="510" operator="equal">
      <formula>"NA"</formula>
    </cfRule>
    <cfRule type="cellIs" dxfId="537" priority="511" operator="equal">
      <formula>"SI"</formula>
    </cfRule>
    <cfRule type="cellIs" dxfId="536" priority="512" operator="equal">
      <formula>"NO"</formula>
    </cfRule>
  </conditionalFormatting>
  <conditionalFormatting sqref="H796">
    <cfRule type="cellIs" dxfId="535" priority="490" operator="equal">
      <formula>"SI"</formula>
    </cfRule>
  </conditionalFormatting>
  <conditionalFormatting sqref="H794">
    <cfRule type="cellIs" dxfId="534" priority="503" stopIfTrue="1" operator="greaterThan">
      <formula>0</formula>
    </cfRule>
  </conditionalFormatting>
  <conditionalFormatting sqref="H795">
    <cfRule type="cellIs" dxfId="533" priority="508" stopIfTrue="1" operator="greaterThan">
      <formula>0</formula>
    </cfRule>
  </conditionalFormatting>
  <conditionalFormatting sqref="H795">
    <cfRule type="cellIs" dxfId="532" priority="507" operator="equal">
      <formula>"NO"</formula>
    </cfRule>
  </conditionalFormatting>
  <conditionalFormatting sqref="H795">
    <cfRule type="containsBlanks" dxfId="531" priority="506">
      <formula>LEN(TRIM(H795))=0</formula>
    </cfRule>
  </conditionalFormatting>
  <conditionalFormatting sqref="H795">
    <cfRule type="cellIs" dxfId="530" priority="505" stopIfTrue="1" operator="lessThan">
      <formula>0</formula>
    </cfRule>
  </conditionalFormatting>
  <conditionalFormatting sqref="H795">
    <cfRule type="cellIs" dxfId="529" priority="504" operator="equal">
      <formula>"NO"</formula>
    </cfRule>
  </conditionalFormatting>
  <conditionalFormatting sqref="H794">
    <cfRule type="cellIs" dxfId="528" priority="502" operator="equal">
      <formula>"NO"</formula>
    </cfRule>
  </conditionalFormatting>
  <conditionalFormatting sqref="H794">
    <cfRule type="containsBlanks" dxfId="527" priority="501">
      <formula>LEN(TRIM(H794))=0</formula>
    </cfRule>
  </conditionalFormatting>
  <conditionalFormatting sqref="H794">
    <cfRule type="cellIs" dxfId="526" priority="500" stopIfTrue="1" operator="lessThan">
      <formula>0</formula>
    </cfRule>
  </conditionalFormatting>
  <conditionalFormatting sqref="H794">
    <cfRule type="cellIs" dxfId="525" priority="499" operator="equal">
      <formula>"NO"</formula>
    </cfRule>
  </conditionalFormatting>
  <conditionalFormatting sqref="H798">
    <cfRule type="cellIs" dxfId="524" priority="496" operator="equal">
      <formula>"NA"</formula>
    </cfRule>
    <cfRule type="cellIs" dxfId="523" priority="497" operator="equal">
      <formula>"SI"</formula>
    </cfRule>
    <cfRule type="cellIs" dxfId="522" priority="498" operator="equal">
      <formula>"NO"</formula>
    </cfRule>
  </conditionalFormatting>
  <conditionalFormatting sqref="H797">
    <cfRule type="cellIs" dxfId="521" priority="494" operator="equal">
      <formula>"NA"</formula>
    </cfRule>
    <cfRule type="cellIs" dxfId="520" priority="495" operator="equal">
      <formula>"NO"</formula>
    </cfRule>
  </conditionalFormatting>
  <conditionalFormatting sqref="H799">
    <cfRule type="cellIs" dxfId="519" priority="491" operator="equal">
      <formula>"NA"</formula>
    </cfRule>
    <cfRule type="cellIs" dxfId="518" priority="492" operator="equal">
      <formula>"SI"</formula>
    </cfRule>
    <cfRule type="cellIs" dxfId="517" priority="493" operator="equal">
      <formula>"NO"</formula>
    </cfRule>
  </conditionalFormatting>
  <conditionalFormatting sqref="H811">
    <cfRule type="cellIs" dxfId="516" priority="471" operator="equal">
      <formula>"SI"</formula>
    </cfRule>
  </conditionalFormatting>
  <conditionalFormatting sqref="H809">
    <cfRule type="cellIs" dxfId="515" priority="484" stopIfTrue="1" operator="greaterThan">
      <formula>0</formula>
    </cfRule>
  </conditionalFormatting>
  <conditionalFormatting sqref="H810">
    <cfRule type="cellIs" dxfId="514" priority="489" stopIfTrue="1" operator="greaterThan">
      <formula>0</formula>
    </cfRule>
  </conditionalFormatting>
  <conditionalFormatting sqref="H810">
    <cfRule type="cellIs" dxfId="513" priority="488" operator="equal">
      <formula>"NO"</formula>
    </cfRule>
  </conditionalFormatting>
  <conditionalFormatting sqref="H810">
    <cfRule type="containsBlanks" dxfId="512" priority="487">
      <formula>LEN(TRIM(H810))=0</formula>
    </cfRule>
  </conditionalFormatting>
  <conditionalFormatting sqref="H810">
    <cfRule type="cellIs" dxfId="511" priority="486" stopIfTrue="1" operator="lessThan">
      <formula>0</formula>
    </cfRule>
  </conditionalFormatting>
  <conditionalFormatting sqref="H810">
    <cfRule type="cellIs" dxfId="510" priority="485" operator="equal">
      <formula>"NO"</formula>
    </cfRule>
  </conditionalFormatting>
  <conditionalFormatting sqref="H809">
    <cfRule type="cellIs" dxfId="509" priority="483" operator="equal">
      <formula>"NO"</formula>
    </cfRule>
  </conditionalFormatting>
  <conditionalFormatting sqref="H809">
    <cfRule type="containsBlanks" dxfId="508" priority="482">
      <formula>LEN(TRIM(H809))=0</formula>
    </cfRule>
  </conditionalFormatting>
  <conditionalFormatting sqref="H809">
    <cfRule type="cellIs" dxfId="507" priority="481" stopIfTrue="1" operator="lessThan">
      <formula>0</formula>
    </cfRule>
  </conditionalFormatting>
  <conditionalFormatting sqref="H809">
    <cfRule type="cellIs" dxfId="506" priority="480" operator="equal">
      <formula>"NO"</formula>
    </cfRule>
  </conditionalFormatting>
  <conditionalFormatting sqref="H813">
    <cfRule type="cellIs" dxfId="505" priority="477" operator="equal">
      <formula>"NA"</formula>
    </cfRule>
    <cfRule type="cellIs" dxfId="504" priority="478" operator="equal">
      <formula>"SI"</formula>
    </cfRule>
    <cfRule type="cellIs" dxfId="503" priority="479" operator="equal">
      <formula>"NO"</formula>
    </cfRule>
  </conditionalFormatting>
  <conditionalFormatting sqref="H812">
    <cfRule type="cellIs" dxfId="502" priority="475" operator="equal">
      <formula>"NA"</formula>
    </cfRule>
    <cfRule type="cellIs" dxfId="501" priority="476" operator="equal">
      <formula>"NO"</formula>
    </cfRule>
  </conditionalFormatting>
  <conditionalFormatting sqref="H814">
    <cfRule type="cellIs" dxfId="500" priority="472" operator="equal">
      <formula>"NA"</formula>
    </cfRule>
    <cfRule type="cellIs" dxfId="499" priority="473" operator="equal">
      <formula>"SI"</formula>
    </cfRule>
    <cfRule type="cellIs" dxfId="498" priority="474" operator="equal">
      <formula>"NO"</formula>
    </cfRule>
  </conditionalFormatting>
  <conditionalFormatting sqref="H826">
    <cfRule type="cellIs" dxfId="497" priority="452" operator="equal">
      <formula>"SI"</formula>
    </cfRule>
  </conditionalFormatting>
  <conditionalFormatting sqref="H824">
    <cfRule type="cellIs" dxfId="496" priority="465" stopIfTrue="1" operator="greaterThan">
      <formula>0</formula>
    </cfRule>
  </conditionalFormatting>
  <conditionalFormatting sqref="H825">
    <cfRule type="cellIs" dxfId="495" priority="470" stopIfTrue="1" operator="greaterThan">
      <formula>0</formula>
    </cfRule>
  </conditionalFormatting>
  <conditionalFormatting sqref="H825">
    <cfRule type="cellIs" dxfId="494" priority="469" operator="equal">
      <formula>"NO"</formula>
    </cfRule>
  </conditionalFormatting>
  <conditionalFormatting sqref="H825">
    <cfRule type="containsBlanks" dxfId="493" priority="468">
      <formula>LEN(TRIM(H825))=0</formula>
    </cfRule>
  </conditionalFormatting>
  <conditionalFormatting sqref="H825">
    <cfRule type="cellIs" dxfId="492" priority="467" stopIfTrue="1" operator="lessThan">
      <formula>0</formula>
    </cfRule>
  </conditionalFormatting>
  <conditionalFormatting sqref="H825">
    <cfRule type="cellIs" dxfId="491" priority="466" operator="equal">
      <formula>"NO"</formula>
    </cfRule>
  </conditionalFormatting>
  <conditionalFormatting sqref="H824">
    <cfRule type="cellIs" dxfId="490" priority="464" operator="equal">
      <formula>"NO"</formula>
    </cfRule>
  </conditionalFormatting>
  <conditionalFormatting sqref="H824">
    <cfRule type="containsBlanks" dxfId="489" priority="463">
      <formula>LEN(TRIM(H824))=0</formula>
    </cfRule>
  </conditionalFormatting>
  <conditionalFormatting sqref="H824">
    <cfRule type="cellIs" dxfId="488" priority="462" stopIfTrue="1" operator="lessThan">
      <formula>0</formula>
    </cfRule>
  </conditionalFormatting>
  <conditionalFormatting sqref="H824">
    <cfRule type="cellIs" dxfId="487" priority="461" operator="equal">
      <formula>"NO"</formula>
    </cfRule>
  </conditionalFormatting>
  <conditionalFormatting sqref="H828">
    <cfRule type="cellIs" dxfId="486" priority="458" operator="equal">
      <formula>"NA"</formula>
    </cfRule>
    <cfRule type="cellIs" dxfId="485" priority="459" operator="equal">
      <formula>"SI"</formula>
    </cfRule>
    <cfRule type="cellIs" dxfId="484" priority="460" operator="equal">
      <formula>"NO"</formula>
    </cfRule>
  </conditionalFormatting>
  <conditionalFormatting sqref="H827">
    <cfRule type="cellIs" dxfId="483" priority="456" operator="equal">
      <formula>"NA"</formula>
    </cfRule>
    <cfRule type="cellIs" dxfId="482" priority="457" operator="equal">
      <formula>"NO"</formula>
    </cfRule>
  </conditionalFormatting>
  <conditionalFormatting sqref="H829">
    <cfRule type="cellIs" dxfId="481" priority="453" operator="equal">
      <formula>"NA"</formula>
    </cfRule>
    <cfRule type="cellIs" dxfId="480" priority="454" operator="equal">
      <formula>"SI"</formula>
    </cfRule>
    <cfRule type="cellIs" dxfId="479" priority="455" operator="equal">
      <formula>"NO"</formula>
    </cfRule>
  </conditionalFormatting>
  <conditionalFormatting sqref="H31">
    <cfRule type="cellIs" dxfId="478" priority="451" operator="equal">
      <formula>"SI"</formula>
    </cfRule>
  </conditionalFormatting>
  <conditionalFormatting sqref="H16">
    <cfRule type="cellIs" dxfId="477" priority="450" operator="equal">
      <formula>"SI"</formula>
    </cfRule>
  </conditionalFormatting>
  <conditionalFormatting sqref="I60">
    <cfRule type="cellIs" dxfId="476" priority="449" stopIfTrue="1" operator="greaterThan">
      <formula>0</formula>
    </cfRule>
  </conditionalFormatting>
  <conditionalFormatting sqref="I132">
    <cfRule type="cellIs" dxfId="475" priority="448" stopIfTrue="1" operator="greaterThan">
      <formula>0</formula>
    </cfRule>
  </conditionalFormatting>
  <conditionalFormatting sqref="I580">
    <cfRule type="cellIs" dxfId="474" priority="447" stopIfTrue="1" operator="greaterThan">
      <formula>0</formula>
    </cfRule>
  </conditionalFormatting>
  <conditionalFormatting sqref="I585">
    <cfRule type="cellIs" dxfId="473" priority="446" stopIfTrue="1" operator="greaterThan">
      <formula>0</formula>
    </cfRule>
  </conditionalFormatting>
  <conditionalFormatting sqref="I584">
    <cfRule type="cellIs" dxfId="472" priority="445" stopIfTrue="1" operator="greaterThan">
      <formula>0</formula>
    </cfRule>
  </conditionalFormatting>
  <conditionalFormatting sqref="H584">
    <cfRule type="cellIs" dxfId="471" priority="439" stopIfTrue="1" operator="greaterThan">
      <formula>0</formula>
    </cfRule>
  </conditionalFormatting>
  <conditionalFormatting sqref="H585">
    <cfRule type="cellIs" dxfId="470" priority="444" stopIfTrue="1" operator="greaterThan">
      <formula>0</formula>
    </cfRule>
  </conditionalFormatting>
  <conditionalFormatting sqref="H585">
    <cfRule type="cellIs" dxfId="469" priority="443" operator="equal">
      <formula>"NO"</formula>
    </cfRule>
  </conditionalFormatting>
  <conditionalFormatting sqref="H585">
    <cfRule type="containsBlanks" dxfId="468" priority="442">
      <formula>LEN(TRIM(H585))=0</formula>
    </cfRule>
  </conditionalFormatting>
  <conditionalFormatting sqref="H585">
    <cfRule type="cellIs" dxfId="467" priority="441" stopIfTrue="1" operator="lessThan">
      <formula>0</formula>
    </cfRule>
  </conditionalFormatting>
  <conditionalFormatting sqref="H585">
    <cfRule type="cellIs" dxfId="466" priority="440" operator="equal">
      <formula>"NO"</formula>
    </cfRule>
  </conditionalFormatting>
  <conditionalFormatting sqref="H584">
    <cfRule type="cellIs" dxfId="465" priority="438" operator="equal">
      <formula>"NO"</formula>
    </cfRule>
  </conditionalFormatting>
  <conditionalFormatting sqref="H584">
    <cfRule type="containsBlanks" dxfId="464" priority="437">
      <formula>LEN(TRIM(H584))=0</formula>
    </cfRule>
  </conditionalFormatting>
  <conditionalFormatting sqref="H584">
    <cfRule type="cellIs" dxfId="463" priority="436" stopIfTrue="1" operator="lessThan">
      <formula>0</formula>
    </cfRule>
  </conditionalFormatting>
  <conditionalFormatting sqref="H584">
    <cfRule type="cellIs" dxfId="462" priority="435" operator="equal">
      <formula>"NO"</formula>
    </cfRule>
  </conditionalFormatting>
  <conditionalFormatting sqref="I595">
    <cfRule type="cellIs" dxfId="461" priority="434" stopIfTrue="1" operator="greaterThan">
      <formula>0</formula>
    </cfRule>
  </conditionalFormatting>
  <conditionalFormatting sqref="I535">
    <cfRule type="cellIs" dxfId="460" priority="433" stopIfTrue="1" operator="greaterThan">
      <formula>0</formula>
    </cfRule>
  </conditionalFormatting>
  <conditionalFormatting sqref="I536">
    <cfRule type="cellIs" dxfId="459" priority="432" stopIfTrue="1" operator="greaterThan">
      <formula>0</formula>
    </cfRule>
  </conditionalFormatting>
  <conditionalFormatting sqref="I340">
    <cfRule type="cellIs" dxfId="458" priority="431" stopIfTrue="1" operator="greaterThan">
      <formula>0</formula>
    </cfRule>
  </conditionalFormatting>
  <conditionalFormatting sqref="I342">
    <cfRule type="cellIs" dxfId="457" priority="430" stopIfTrue="1" operator="greaterThan">
      <formula>0</formula>
    </cfRule>
  </conditionalFormatting>
  <conditionalFormatting sqref="I295">
    <cfRule type="cellIs" dxfId="456" priority="429" stopIfTrue="1" operator="greaterThan">
      <formula>0</formula>
    </cfRule>
  </conditionalFormatting>
  <conditionalFormatting sqref="I175">
    <cfRule type="cellIs" dxfId="455" priority="428" stopIfTrue="1" operator="greaterThan">
      <formula>0</formula>
    </cfRule>
  </conditionalFormatting>
  <conditionalFormatting sqref="I176">
    <cfRule type="cellIs" dxfId="454" priority="427" stopIfTrue="1" operator="greaterThan">
      <formula>0</formula>
    </cfRule>
  </conditionalFormatting>
  <conditionalFormatting sqref="I177">
    <cfRule type="cellIs" dxfId="453" priority="426" stopIfTrue="1" operator="greaterThan">
      <formula>0</formula>
    </cfRule>
  </conditionalFormatting>
  <conditionalFormatting sqref="I116">
    <cfRule type="cellIs" dxfId="452" priority="425" stopIfTrue="1" operator="greaterThan">
      <formula>0</formula>
    </cfRule>
  </conditionalFormatting>
  <conditionalFormatting sqref="I117">
    <cfRule type="cellIs" dxfId="451" priority="424" stopIfTrue="1" operator="greaterThan">
      <formula>0</formula>
    </cfRule>
  </conditionalFormatting>
  <conditionalFormatting sqref="I56">
    <cfRule type="cellIs" dxfId="450" priority="423" stopIfTrue="1" operator="greaterThan">
      <formula>0</formula>
    </cfRule>
  </conditionalFormatting>
  <conditionalFormatting sqref="I41">
    <cfRule type="cellIs" dxfId="449" priority="422" stopIfTrue="1" operator="greaterThan">
      <formula>0</formula>
    </cfRule>
  </conditionalFormatting>
  <conditionalFormatting sqref="I42">
    <cfRule type="cellIs" dxfId="448" priority="421" stopIfTrue="1" operator="greaterThan">
      <formula>0</formula>
    </cfRule>
  </conditionalFormatting>
  <conditionalFormatting sqref="I40">
    <cfRule type="cellIs" dxfId="447" priority="420" stopIfTrue="1" operator="greaterThan">
      <formula>0</formula>
    </cfRule>
  </conditionalFormatting>
  <conditionalFormatting sqref="I600">
    <cfRule type="cellIs" dxfId="446" priority="419" stopIfTrue="1" operator="greaterThan">
      <formula>0</formula>
    </cfRule>
  </conditionalFormatting>
  <conditionalFormatting sqref="I599">
    <cfRule type="cellIs" dxfId="445" priority="418" stopIfTrue="1" operator="greaterThan">
      <formula>0</formula>
    </cfRule>
  </conditionalFormatting>
  <conditionalFormatting sqref="H599">
    <cfRule type="cellIs" dxfId="444" priority="412" stopIfTrue="1" operator="greaterThan">
      <formula>0</formula>
    </cfRule>
  </conditionalFormatting>
  <conditionalFormatting sqref="H600">
    <cfRule type="cellIs" dxfId="443" priority="417" stopIfTrue="1" operator="greaterThan">
      <formula>0</formula>
    </cfRule>
  </conditionalFormatting>
  <conditionalFormatting sqref="H600">
    <cfRule type="cellIs" dxfId="442" priority="416" operator="equal">
      <formula>"NO"</formula>
    </cfRule>
  </conditionalFormatting>
  <conditionalFormatting sqref="H600">
    <cfRule type="containsBlanks" dxfId="441" priority="415">
      <formula>LEN(TRIM(H600))=0</formula>
    </cfRule>
  </conditionalFormatting>
  <conditionalFormatting sqref="H600">
    <cfRule type="cellIs" dxfId="440" priority="414" stopIfTrue="1" operator="lessThan">
      <formula>0</formula>
    </cfRule>
  </conditionalFormatting>
  <conditionalFormatting sqref="H600">
    <cfRule type="cellIs" dxfId="439" priority="413" operator="equal">
      <formula>"NO"</formula>
    </cfRule>
  </conditionalFormatting>
  <conditionalFormatting sqref="H599">
    <cfRule type="cellIs" dxfId="438" priority="411" operator="equal">
      <formula>"NO"</formula>
    </cfRule>
  </conditionalFormatting>
  <conditionalFormatting sqref="H599">
    <cfRule type="containsBlanks" dxfId="437" priority="410">
      <formula>LEN(TRIM(H599))=0</formula>
    </cfRule>
  </conditionalFormatting>
  <conditionalFormatting sqref="H599">
    <cfRule type="cellIs" dxfId="436" priority="409" stopIfTrue="1" operator="lessThan">
      <formula>0</formula>
    </cfRule>
  </conditionalFormatting>
  <conditionalFormatting sqref="H599">
    <cfRule type="cellIs" dxfId="435" priority="408" operator="equal">
      <formula>"NO"</formula>
    </cfRule>
  </conditionalFormatting>
  <conditionalFormatting sqref="H640">
    <cfRule type="cellIs" dxfId="434" priority="407" stopIfTrue="1" operator="greaterThan">
      <formula>0</formula>
    </cfRule>
  </conditionalFormatting>
  <conditionalFormatting sqref="H640">
    <cfRule type="cellIs" dxfId="433" priority="406" operator="equal">
      <formula>"NO"</formula>
    </cfRule>
  </conditionalFormatting>
  <conditionalFormatting sqref="H641">
    <cfRule type="cellIs" dxfId="432" priority="405" stopIfTrue="1" operator="greaterThan">
      <formula>0</formula>
    </cfRule>
  </conditionalFormatting>
  <conditionalFormatting sqref="H641">
    <cfRule type="cellIs" dxfId="431" priority="404" operator="equal">
      <formula>"NO"</formula>
    </cfRule>
  </conditionalFormatting>
  <conditionalFormatting sqref="H642">
    <cfRule type="cellIs" dxfId="430" priority="403" stopIfTrue="1" operator="greaterThan">
      <formula>0</formula>
    </cfRule>
  </conditionalFormatting>
  <conditionalFormatting sqref="H642">
    <cfRule type="cellIs" dxfId="429" priority="402" operator="equal">
      <formula>"NO"</formula>
    </cfRule>
  </conditionalFormatting>
  <conditionalFormatting sqref="H626">
    <cfRule type="cellIs" dxfId="428" priority="401" stopIfTrue="1" operator="greaterThan">
      <formula>0</formula>
    </cfRule>
  </conditionalFormatting>
  <conditionalFormatting sqref="H626">
    <cfRule type="cellIs" dxfId="427" priority="400" operator="equal">
      <formula>"NO"</formula>
    </cfRule>
  </conditionalFormatting>
  <conditionalFormatting sqref="H627">
    <cfRule type="cellIs" dxfId="426" priority="399" stopIfTrue="1" operator="greaterThan">
      <formula>0</formula>
    </cfRule>
  </conditionalFormatting>
  <conditionalFormatting sqref="H627">
    <cfRule type="cellIs" dxfId="425" priority="398" operator="equal">
      <formula>"NO"</formula>
    </cfRule>
  </conditionalFormatting>
  <conditionalFormatting sqref="H625">
    <cfRule type="cellIs" dxfId="424" priority="397" stopIfTrue="1" operator="greaterThan">
      <formula>0</formula>
    </cfRule>
  </conditionalFormatting>
  <conditionalFormatting sqref="H625">
    <cfRule type="cellIs" dxfId="423" priority="396" operator="equal">
      <formula>"NO"</formula>
    </cfRule>
  </conditionalFormatting>
  <conditionalFormatting sqref="H611">
    <cfRule type="cellIs" dxfId="422" priority="395" stopIfTrue="1" operator="greaterThan">
      <formula>0</formula>
    </cfRule>
  </conditionalFormatting>
  <conditionalFormatting sqref="H611">
    <cfRule type="cellIs" dxfId="421" priority="394" operator="equal">
      <formula>"NO"</formula>
    </cfRule>
  </conditionalFormatting>
  <conditionalFormatting sqref="H612">
    <cfRule type="cellIs" dxfId="420" priority="393" stopIfTrue="1" operator="greaterThan">
      <formula>0</formula>
    </cfRule>
  </conditionalFormatting>
  <conditionalFormatting sqref="H612">
    <cfRule type="cellIs" dxfId="419" priority="392" operator="equal">
      <formula>"NO"</formula>
    </cfRule>
  </conditionalFormatting>
  <conditionalFormatting sqref="H610">
    <cfRule type="cellIs" dxfId="418" priority="391" stopIfTrue="1" operator="greaterThan">
      <formula>0</formula>
    </cfRule>
  </conditionalFormatting>
  <conditionalFormatting sqref="H610">
    <cfRule type="cellIs" dxfId="417" priority="390" operator="equal">
      <formula>"NO"</formula>
    </cfRule>
  </conditionalFormatting>
  <conditionalFormatting sqref="H596">
    <cfRule type="cellIs" dxfId="416" priority="389" stopIfTrue="1" operator="greaterThan">
      <formula>0</formula>
    </cfRule>
  </conditionalFormatting>
  <conditionalFormatting sqref="H596">
    <cfRule type="cellIs" dxfId="415" priority="388" operator="equal">
      <formula>"NO"</formula>
    </cfRule>
  </conditionalFormatting>
  <conditionalFormatting sqref="H597">
    <cfRule type="cellIs" dxfId="414" priority="387" stopIfTrue="1" operator="greaterThan">
      <formula>0</formula>
    </cfRule>
  </conditionalFormatting>
  <conditionalFormatting sqref="H597">
    <cfRule type="cellIs" dxfId="413" priority="386" operator="equal">
      <formula>"NO"</formula>
    </cfRule>
  </conditionalFormatting>
  <conditionalFormatting sqref="H595">
    <cfRule type="cellIs" dxfId="412" priority="385" stopIfTrue="1" operator="greaterThan">
      <formula>0</formula>
    </cfRule>
  </conditionalFormatting>
  <conditionalFormatting sqref="H595">
    <cfRule type="cellIs" dxfId="411" priority="384" operator="equal">
      <formula>"NO"</formula>
    </cfRule>
  </conditionalFormatting>
  <conditionalFormatting sqref="I645">
    <cfRule type="cellIs" dxfId="410" priority="383" stopIfTrue="1" operator="greaterThan">
      <formula>0</formula>
    </cfRule>
  </conditionalFormatting>
  <conditionalFormatting sqref="I644">
    <cfRule type="cellIs" dxfId="409" priority="382" stopIfTrue="1" operator="greaterThan">
      <formula>0</formula>
    </cfRule>
  </conditionalFormatting>
  <conditionalFormatting sqref="H644">
    <cfRule type="cellIs" dxfId="408" priority="376" stopIfTrue="1" operator="greaterThan">
      <formula>0</formula>
    </cfRule>
  </conditionalFormatting>
  <conditionalFormatting sqref="H645">
    <cfRule type="cellIs" dxfId="407" priority="381" stopIfTrue="1" operator="greaterThan">
      <formula>0</formula>
    </cfRule>
  </conditionalFormatting>
  <conditionalFormatting sqref="H645">
    <cfRule type="cellIs" dxfId="406" priority="380" operator="equal">
      <formula>"NO"</formula>
    </cfRule>
  </conditionalFormatting>
  <conditionalFormatting sqref="H645">
    <cfRule type="containsBlanks" dxfId="405" priority="379">
      <formula>LEN(TRIM(H645))=0</formula>
    </cfRule>
  </conditionalFormatting>
  <conditionalFormatting sqref="H645">
    <cfRule type="cellIs" dxfId="404" priority="378" stopIfTrue="1" operator="lessThan">
      <formula>0</formula>
    </cfRule>
  </conditionalFormatting>
  <conditionalFormatting sqref="H645">
    <cfRule type="cellIs" dxfId="403" priority="377" operator="equal">
      <formula>"NO"</formula>
    </cfRule>
  </conditionalFormatting>
  <conditionalFormatting sqref="H644">
    <cfRule type="cellIs" dxfId="402" priority="375" operator="equal">
      <formula>"NO"</formula>
    </cfRule>
  </conditionalFormatting>
  <conditionalFormatting sqref="H644">
    <cfRule type="containsBlanks" dxfId="401" priority="374">
      <formula>LEN(TRIM(H644))=0</formula>
    </cfRule>
  </conditionalFormatting>
  <conditionalFormatting sqref="H644">
    <cfRule type="cellIs" dxfId="400" priority="373" stopIfTrue="1" operator="lessThan">
      <formula>0</formula>
    </cfRule>
  </conditionalFormatting>
  <conditionalFormatting sqref="H644">
    <cfRule type="cellIs" dxfId="399" priority="372" operator="equal">
      <formula>"NO"</formula>
    </cfRule>
  </conditionalFormatting>
  <conditionalFormatting sqref="I675">
    <cfRule type="cellIs" dxfId="398" priority="371" stopIfTrue="1" operator="greaterThan">
      <formula>0</formula>
    </cfRule>
  </conditionalFormatting>
  <conditionalFormatting sqref="I674">
    <cfRule type="cellIs" dxfId="397" priority="370" stopIfTrue="1" operator="greaterThan">
      <formula>0</formula>
    </cfRule>
  </conditionalFormatting>
  <conditionalFormatting sqref="H674">
    <cfRule type="cellIs" dxfId="396" priority="364" stopIfTrue="1" operator="greaterThan">
      <formula>0</formula>
    </cfRule>
  </conditionalFormatting>
  <conditionalFormatting sqref="H675">
    <cfRule type="cellIs" dxfId="395" priority="369" stopIfTrue="1" operator="greaterThan">
      <formula>0</formula>
    </cfRule>
  </conditionalFormatting>
  <conditionalFormatting sqref="H675">
    <cfRule type="cellIs" dxfId="394" priority="368" operator="equal">
      <formula>"NO"</formula>
    </cfRule>
  </conditionalFormatting>
  <conditionalFormatting sqref="H675">
    <cfRule type="containsBlanks" dxfId="393" priority="367">
      <formula>LEN(TRIM(H675))=0</formula>
    </cfRule>
  </conditionalFormatting>
  <conditionalFormatting sqref="H675">
    <cfRule type="cellIs" dxfId="392" priority="366" stopIfTrue="1" operator="lessThan">
      <formula>0</formula>
    </cfRule>
  </conditionalFormatting>
  <conditionalFormatting sqref="H675">
    <cfRule type="cellIs" dxfId="391" priority="365" operator="equal">
      <formula>"NO"</formula>
    </cfRule>
  </conditionalFormatting>
  <conditionalFormatting sqref="H674">
    <cfRule type="cellIs" dxfId="390" priority="363" operator="equal">
      <formula>"NO"</formula>
    </cfRule>
  </conditionalFormatting>
  <conditionalFormatting sqref="H674">
    <cfRule type="containsBlanks" dxfId="389" priority="362">
      <formula>LEN(TRIM(H674))=0</formula>
    </cfRule>
  </conditionalFormatting>
  <conditionalFormatting sqref="H674">
    <cfRule type="cellIs" dxfId="388" priority="361" stopIfTrue="1" operator="lessThan">
      <formula>0</formula>
    </cfRule>
  </conditionalFormatting>
  <conditionalFormatting sqref="H674">
    <cfRule type="cellIs" dxfId="387" priority="360" operator="equal">
      <formula>"NO"</formula>
    </cfRule>
  </conditionalFormatting>
  <conditionalFormatting sqref="I685">
    <cfRule type="cellIs" dxfId="386" priority="359" stopIfTrue="1" operator="greaterThan">
      <formula>0</formula>
    </cfRule>
  </conditionalFormatting>
  <conditionalFormatting sqref="I690">
    <cfRule type="cellIs" dxfId="385" priority="358" stopIfTrue="1" operator="greaterThan">
      <formula>0</formula>
    </cfRule>
  </conditionalFormatting>
  <conditionalFormatting sqref="I689">
    <cfRule type="cellIs" dxfId="384" priority="357" stopIfTrue="1" operator="greaterThan">
      <formula>0</formula>
    </cfRule>
  </conditionalFormatting>
  <conditionalFormatting sqref="H689">
    <cfRule type="cellIs" dxfId="383" priority="351" stopIfTrue="1" operator="greaterThan">
      <formula>0</formula>
    </cfRule>
  </conditionalFormatting>
  <conditionalFormatting sqref="H690">
    <cfRule type="cellIs" dxfId="382" priority="356" stopIfTrue="1" operator="greaterThan">
      <formula>0</formula>
    </cfRule>
  </conditionalFormatting>
  <conditionalFormatting sqref="H690">
    <cfRule type="cellIs" dxfId="381" priority="355" operator="equal">
      <formula>"NO"</formula>
    </cfRule>
  </conditionalFormatting>
  <conditionalFormatting sqref="H690">
    <cfRule type="containsBlanks" dxfId="380" priority="354">
      <formula>LEN(TRIM(H690))=0</formula>
    </cfRule>
  </conditionalFormatting>
  <conditionalFormatting sqref="H690">
    <cfRule type="cellIs" dxfId="379" priority="353" stopIfTrue="1" operator="lessThan">
      <formula>0</formula>
    </cfRule>
  </conditionalFormatting>
  <conditionalFormatting sqref="H690">
    <cfRule type="cellIs" dxfId="378" priority="352" operator="equal">
      <formula>"NO"</formula>
    </cfRule>
  </conditionalFormatting>
  <conditionalFormatting sqref="H689">
    <cfRule type="cellIs" dxfId="377" priority="350" operator="equal">
      <formula>"NO"</formula>
    </cfRule>
  </conditionalFormatting>
  <conditionalFormatting sqref="H689">
    <cfRule type="containsBlanks" dxfId="376" priority="349">
      <formula>LEN(TRIM(H689))=0</formula>
    </cfRule>
  </conditionalFormatting>
  <conditionalFormatting sqref="H689">
    <cfRule type="cellIs" dxfId="375" priority="348" stopIfTrue="1" operator="lessThan">
      <formula>0</formula>
    </cfRule>
  </conditionalFormatting>
  <conditionalFormatting sqref="H689">
    <cfRule type="cellIs" dxfId="374" priority="347" operator="equal">
      <formula>"NO"</formula>
    </cfRule>
  </conditionalFormatting>
  <conditionalFormatting sqref="I510">
    <cfRule type="cellIs" dxfId="373" priority="346" stopIfTrue="1" operator="greaterThan">
      <formula>0</formula>
    </cfRule>
  </conditionalFormatting>
  <conditionalFormatting sqref="I509">
    <cfRule type="cellIs" dxfId="372" priority="345" stopIfTrue="1" operator="greaterThan">
      <formula>0</formula>
    </cfRule>
  </conditionalFormatting>
  <conditionalFormatting sqref="H509">
    <cfRule type="cellIs" dxfId="371" priority="339" stopIfTrue="1" operator="greaterThan">
      <formula>0</formula>
    </cfRule>
  </conditionalFormatting>
  <conditionalFormatting sqref="H510">
    <cfRule type="cellIs" dxfId="370" priority="344" stopIfTrue="1" operator="greaterThan">
      <formula>0</formula>
    </cfRule>
  </conditionalFormatting>
  <conditionalFormatting sqref="H510">
    <cfRule type="cellIs" dxfId="369" priority="343" operator="equal">
      <formula>"NO"</formula>
    </cfRule>
  </conditionalFormatting>
  <conditionalFormatting sqref="H510">
    <cfRule type="containsBlanks" dxfId="368" priority="342">
      <formula>LEN(TRIM(H510))=0</formula>
    </cfRule>
  </conditionalFormatting>
  <conditionalFormatting sqref="H510">
    <cfRule type="cellIs" dxfId="367" priority="341" stopIfTrue="1" operator="lessThan">
      <formula>0</formula>
    </cfRule>
  </conditionalFormatting>
  <conditionalFormatting sqref="H510">
    <cfRule type="cellIs" dxfId="366" priority="340" operator="equal">
      <formula>"NO"</formula>
    </cfRule>
  </conditionalFormatting>
  <conditionalFormatting sqref="H509">
    <cfRule type="cellIs" dxfId="365" priority="338" operator="equal">
      <formula>"NO"</formula>
    </cfRule>
  </conditionalFormatting>
  <conditionalFormatting sqref="H509">
    <cfRule type="containsBlanks" dxfId="364" priority="337">
      <formula>LEN(TRIM(H509))=0</formula>
    </cfRule>
  </conditionalFormatting>
  <conditionalFormatting sqref="H509">
    <cfRule type="cellIs" dxfId="363" priority="336" stopIfTrue="1" operator="lessThan">
      <formula>0</formula>
    </cfRule>
  </conditionalFormatting>
  <conditionalFormatting sqref="H509">
    <cfRule type="cellIs" dxfId="362" priority="335" operator="equal">
      <formula>"NO"</formula>
    </cfRule>
  </conditionalFormatting>
  <conditionalFormatting sqref="I404">
    <cfRule type="cellIs" dxfId="361" priority="334" stopIfTrue="1" operator="greaterThan">
      <formula>0</formula>
    </cfRule>
  </conditionalFormatting>
  <conditionalFormatting sqref="I430">
    <cfRule type="cellIs" dxfId="360" priority="333" stopIfTrue="1" operator="greaterThan">
      <formula>0</formula>
    </cfRule>
  </conditionalFormatting>
  <conditionalFormatting sqref="I431">
    <cfRule type="cellIs" dxfId="359" priority="332" stopIfTrue="1" operator="greaterThan">
      <formula>0</formula>
    </cfRule>
  </conditionalFormatting>
  <conditionalFormatting sqref="I432">
    <cfRule type="cellIs" dxfId="358" priority="331" stopIfTrue="1" operator="greaterThan">
      <formula>0</formula>
    </cfRule>
  </conditionalFormatting>
  <conditionalFormatting sqref="I434">
    <cfRule type="cellIs" dxfId="357" priority="330" stopIfTrue="1" operator="greaterThan">
      <formula>0</formula>
    </cfRule>
  </conditionalFormatting>
  <conditionalFormatting sqref="D70">
    <cfRule type="cellIs" dxfId="356" priority="329" stopIfTrue="1" operator="greaterThan">
      <formula>0</formula>
    </cfRule>
  </conditionalFormatting>
  <conditionalFormatting sqref="I464">
    <cfRule type="cellIs" dxfId="355" priority="328" stopIfTrue="1" operator="greaterThan">
      <formula>0</formula>
    </cfRule>
  </conditionalFormatting>
  <conditionalFormatting sqref="I492">
    <cfRule type="cellIs" dxfId="354" priority="327" stopIfTrue="1" operator="greaterThan">
      <formula>0</formula>
    </cfRule>
  </conditionalFormatting>
  <conditionalFormatting sqref="H10:H13">
    <cfRule type="cellIs" dxfId="353" priority="326" stopIfTrue="1" operator="greaterThan">
      <formula>0</formula>
    </cfRule>
  </conditionalFormatting>
  <conditionalFormatting sqref="H10:H13">
    <cfRule type="cellIs" dxfId="352" priority="325" operator="equal">
      <formula>"NO"</formula>
    </cfRule>
  </conditionalFormatting>
  <conditionalFormatting sqref="H29">
    <cfRule type="cellIs" dxfId="351" priority="319" stopIfTrue="1" operator="greaterThan">
      <formula>0</formula>
    </cfRule>
  </conditionalFormatting>
  <conditionalFormatting sqref="H30">
    <cfRule type="cellIs" dxfId="350" priority="324" stopIfTrue="1" operator="greaterThan">
      <formula>0</formula>
    </cfRule>
  </conditionalFormatting>
  <conditionalFormatting sqref="H30">
    <cfRule type="cellIs" dxfId="349" priority="323" operator="equal">
      <formula>"NO"</formula>
    </cfRule>
  </conditionalFormatting>
  <conditionalFormatting sqref="H30">
    <cfRule type="containsBlanks" dxfId="348" priority="322">
      <formula>LEN(TRIM(H30))=0</formula>
    </cfRule>
  </conditionalFormatting>
  <conditionalFormatting sqref="H30">
    <cfRule type="cellIs" dxfId="347" priority="321" stopIfTrue="1" operator="lessThan">
      <formula>0</formula>
    </cfRule>
  </conditionalFormatting>
  <conditionalFormatting sqref="H30">
    <cfRule type="cellIs" dxfId="346" priority="320" operator="equal">
      <formula>"NO"</formula>
    </cfRule>
  </conditionalFormatting>
  <conditionalFormatting sqref="H29">
    <cfRule type="cellIs" dxfId="345" priority="318" operator="equal">
      <formula>"NO"</formula>
    </cfRule>
  </conditionalFormatting>
  <conditionalFormatting sqref="H29">
    <cfRule type="containsBlanks" dxfId="344" priority="317">
      <formula>LEN(TRIM(H29))=0</formula>
    </cfRule>
  </conditionalFormatting>
  <conditionalFormatting sqref="H29">
    <cfRule type="cellIs" dxfId="343" priority="316" stopIfTrue="1" operator="lessThan">
      <formula>0</formula>
    </cfRule>
  </conditionalFormatting>
  <conditionalFormatting sqref="H29">
    <cfRule type="cellIs" dxfId="342" priority="315" operator="equal">
      <formula>"NO"</formula>
    </cfRule>
  </conditionalFormatting>
  <conditionalFormatting sqref="H44">
    <cfRule type="cellIs" dxfId="341" priority="309" stopIfTrue="1" operator="greaterThan">
      <formula>0</formula>
    </cfRule>
  </conditionalFormatting>
  <conditionalFormatting sqref="H45">
    <cfRule type="cellIs" dxfId="340" priority="314" stopIfTrue="1" operator="greaterThan">
      <formula>0</formula>
    </cfRule>
  </conditionalFormatting>
  <conditionalFormatting sqref="H45">
    <cfRule type="cellIs" dxfId="339" priority="313" operator="equal">
      <formula>"NO"</formula>
    </cfRule>
  </conditionalFormatting>
  <conditionalFormatting sqref="H45">
    <cfRule type="containsBlanks" dxfId="338" priority="312">
      <formula>LEN(TRIM(H45))=0</formula>
    </cfRule>
  </conditionalFormatting>
  <conditionalFormatting sqref="H45">
    <cfRule type="cellIs" dxfId="337" priority="311" stopIfTrue="1" operator="lessThan">
      <formula>0</formula>
    </cfRule>
  </conditionalFormatting>
  <conditionalFormatting sqref="H45">
    <cfRule type="cellIs" dxfId="336" priority="310" operator="equal">
      <formula>"NO"</formula>
    </cfRule>
  </conditionalFormatting>
  <conditionalFormatting sqref="H44">
    <cfRule type="cellIs" dxfId="335" priority="308" operator="equal">
      <formula>"NO"</formula>
    </cfRule>
  </conditionalFormatting>
  <conditionalFormatting sqref="H44">
    <cfRule type="containsBlanks" dxfId="334" priority="307">
      <formula>LEN(TRIM(H44))=0</formula>
    </cfRule>
  </conditionalFormatting>
  <conditionalFormatting sqref="H44">
    <cfRule type="cellIs" dxfId="333" priority="306" stopIfTrue="1" operator="lessThan">
      <formula>0</formula>
    </cfRule>
  </conditionalFormatting>
  <conditionalFormatting sqref="H44">
    <cfRule type="cellIs" dxfId="332" priority="305" operator="equal">
      <formula>"NO"</formula>
    </cfRule>
  </conditionalFormatting>
  <conditionalFormatting sqref="H59">
    <cfRule type="cellIs" dxfId="331" priority="299" stopIfTrue="1" operator="greaterThan">
      <formula>0</formula>
    </cfRule>
  </conditionalFormatting>
  <conditionalFormatting sqref="H60">
    <cfRule type="cellIs" dxfId="330" priority="304" stopIfTrue="1" operator="greaterThan">
      <formula>0</formula>
    </cfRule>
  </conditionalFormatting>
  <conditionalFormatting sqref="H60">
    <cfRule type="cellIs" dxfId="329" priority="303" operator="equal">
      <formula>"NO"</formula>
    </cfRule>
  </conditionalFormatting>
  <conditionalFormatting sqref="H60">
    <cfRule type="containsBlanks" dxfId="328" priority="302">
      <formula>LEN(TRIM(H60))=0</formula>
    </cfRule>
  </conditionalFormatting>
  <conditionalFormatting sqref="H60">
    <cfRule type="cellIs" dxfId="327" priority="301" stopIfTrue="1" operator="lessThan">
      <formula>0</formula>
    </cfRule>
  </conditionalFormatting>
  <conditionalFormatting sqref="H60">
    <cfRule type="cellIs" dxfId="326" priority="300" operator="equal">
      <formula>"NO"</formula>
    </cfRule>
  </conditionalFormatting>
  <conditionalFormatting sqref="H59">
    <cfRule type="cellIs" dxfId="325" priority="298" operator="equal">
      <formula>"NO"</formula>
    </cfRule>
  </conditionalFormatting>
  <conditionalFormatting sqref="H59">
    <cfRule type="containsBlanks" dxfId="324" priority="297">
      <formula>LEN(TRIM(H59))=0</formula>
    </cfRule>
  </conditionalFormatting>
  <conditionalFormatting sqref="H59">
    <cfRule type="cellIs" dxfId="323" priority="296" stopIfTrue="1" operator="lessThan">
      <formula>0</formula>
    </cfRule>
  </conditionalFormatting>
  <conditionalFormatting sqref="H59">
    <cfRule type="cellIs" dxfId="322" priority="295" operator="equal">
      <formula>"NO"</formula>
    </cfRule>
  </conditionalFormatting>
  <conditionalFormatting sqref="H74">
    <cfRule type="cellIs" dxfId="321" priority="289" stopIfTrue="1" operator="greaterThan">
      <formula>0</formula>
    </cfRule>
  </conditionalFormatting>
  <conditionalFormatting sqref="H75">
    <cfRule type="cellIs" dxfId="320" priority="294" stopIfTrue="1" operator="greaterThan">
      <formula>0</formula>
    </cfRule>
  </conditionalFormatting>
  <conditionalFormatting sqref="H75">
    <cfRule type="cellIs" dxfId="319" priority="293" operator="equal">
      <formula>"NO"</formula>
    </cfRule>
  </conditionalFormatting>
  <conditionalFormatting sqref="H75">
    <cfRule type="containsBlanks" dxfId="318" priority="292">
      <formula>LEN(TRIM(H75))=0</formula>
    </cfRule>
  </conditionalFormatting>
  <conditionalFormatting sqref="H75">
    <cfRule type="cellIs" dxfId="317" priority="291" stopIfTrue="1" operator="lessThan">
      <formula>0</formula>
    </cfRule>
  </conditionalFormatting>
  <conditionalFormatting sqref="H75">
    <cfRule type="cellIs" dxfId="316" priority="290" operator="equal">
      <formula>"NO"</formula>
    </cfRule>
  </conditionalFormatting>
  <conditionalFormatting sqref="H74">
    <cfRule type="cellIs" dxfId="315" priority="288" operator="equal">
      <formula>"NO"</formula>
    </cfRule>
  </conditionalFormatting>
  <conditionalFormatting sqref="H74">
    <cfRule type="containsBlanks" dxfId="314" priority="287">
      <formula>LEN(TRIM(H74))=0</formula>
    </cfRule>
  </conditionalFormatting>
  <conditionalFormatting sqref="H74">
    <cfRule type="cellIs" dxfId="313" priority="286" stopIfTrue="1" operator="lessThan">
      <formula>0</formula>
    </cfRule>
  </conditionalFormatting>
  <conditionalFormatting sqref="H74">
    <cfRule type="cellIs" dxfId="312" priority="285" operator="equal">
      <formula>"NO"</formula>
    </cfRule>
  </conditionalFormatting>
  <conditionalFormatting sqref="H89">
    <cfRule type="cellIs" dxfId="311" priority="279" stopIfTrue="1" operator="greaterThan">
      <formula>0</formula>
    </cfRule>
  </conditionalFormatting>
  <conditionalFormatting sqref="H90">
    <cfRule type="cellIs" dxfId="310" priority="284" stopIfTrue="1" operator="greaterThan">
      <formula>0</formula>
    </cfRule>
  </conditionalFormatting>
  <conditionalFormatting sqref="H90">
    <cfRule type="cellIs" dxfId="309" priority="283" operator="equal">
      <formula>"NO"</formula>
    </cfRule>
  </conditionalFormatting>
  <conditionalFormatting sqref="H90">
    <cfRule type="containsBlanks" dxfId="308" priority="282">
      <formula>LEN(TRIM(H90))=0</formula>
    </cfRule>
  </conditionalFormatting>
  <conditionalFormatting sqref="H90">
    <cfRule type="cellIs" dxfId="307" priority="281" stopIfTrue="1" operator="lessThan">
      <formula>0</formula>
    </cfRule>
  </conditionalFormatting>
  <conditionalFormatting sqref="H90">
    <cfRule type="cellIs" dxfId="306" priority="280" operator="equal">
      <formula>"NO"</formula>
    </cfRule>
  </conditionalFormatting>
  <conditionalFormatting sqref="H89">
    <cfRule type="cellIs" dxfId="305" priority="278" operator="equal">
      <formula>"NO"</formula>
    </cfRule>
  </conditionalFormatting>
  <conditionalFormatting sqref="H89">
    <cfRule type="containsBlanks" dxfId="304" priority="277">
      <formula>LEN(TRIM(H89))=0</formula>
    </cfRule>
  </conditionalFormatting>
  <conditionalFormatting sqref="H89">
    <cfRule type="cellIs" dxfId="303" priority="276" stopIfTrue="1" operator="lessThan">
      <formula>0</formula>
    </cfRule>
  </conditionalFormatting>
  <conditionalFormatting sqref="H89">
    <cfRule type="cellIs" dxfId="302" priority="275" operator="equal">
      <formula>"NO"</formula>
    </cfRule>
  </conditionalFormatting>
  <conditionalFormatting sqref="I100">
    <cfRule type="cellIs" dxfId="301" priority="274" stopIfTrue="1" operator="greaterThan">
      <formula>0</formula>
    </cfRule>
  </conditionalFormatting>
  <conditionalFormatting sqref="H104">
    <cfRule type="cellIs" dxfId="300" priority="268" stopIfTrue="1" operator="greaterThan">
      <formula>0</formula>
    </cfRule>
  </conditionalFormatting>
  <conditionalFormatting sqref="H105">
    <cfRule type="cellIs" dxfId="299" priority="273" stopIfTrue="1" operator="greaterThan">
      <formula>0</formula>
    </cfRule>
  </conditionalFormatting>
  <conditionalFormatting sqref="H105">
    <cfRule type="cellIs" dxfId="298" priority="272" operator="equal">
      <formula>"NO"</formula>
    </cfRule>
  </conditionalFormatting>
  <conditionalFormatting sqref="H105">
    <cfRule type="containsBlanks" dxfId="297" priority="271">
      <formula>LEN(TRIM(H105))=0</formula>
    </cfRule>
  </conditionalFormatting>
  <conditionalFormatting sqref="H105">
    <cfRule type="cellIs" dxfId="296" priority="270" stopIfTrue="1" operator="lessThan">
      <formula>0</formula>
    </cfRule>
  </conditionalFormatting>
  <conditionalFormatting sqref="H105">
    <cfRule type="cellIs" dxfId="295" priority="269" operator="equal">
      <formula>"NO"</formula>
    </cfRule>
  </conditionalFormatting>
  <conditionalFormatting sqref="H104">
    <cfRule type="cellIs" dxfId="294" priority="267" operator="equal">
      <formula>"NO"</formula>
    </cfRule>
  </conditionalFormatting>
  <conditionalFormatting sqref="H104">
    <cfRule type="containsBlanks" dxfId="293" priority="266">
      <formula>LEN(TRIM(H104))=0</formula>
    </cfRule>
  </conditionalFormatting>
  <conditionalFormatting sqref="H104">
    <cfRule type="cellIs" dxfId="292" priority="265" stopIfTrue="1" operator="lessThan">
      <formula>0</formula>
    </cfRule>
  </conditionalFormatting>
  <conditionalFormatting sqref="H104">
    <cfRule type="cellIs" dxfId="291" priority="264" operator="equal">
      <formula>"NO"</formula>
    </cfRule>
  </conditionalFormatting>
  <conditionalFormatting sqref="H119">
    <cfRule type="cellIs" dxfId="290" priority="258" stopIfTrue="1" operator="greaterThan">
      <formula>0</formula>
    </cfRule>
  </conditionalFormatting>
  <conditionalFormatting sqref="H120">
    <cfRule type="cellIs" dxfId="289" priority="263" stopIfTrue="1" operator="greaterThan">
      <formula>0</formula>
    </cfRule>
  </conditionalFormatting>
  <conditionalFormatting sqref="H120">
    <cfRule type="cellIs" dxfId="288" priority="262" operator="equal">
      <formula>"NO"</formula>
    </cfRule>
  </conditionalFormatting>
  <conditionalFormatting sqref="H120">
    <cfRule type="containsBlanks" dxfId="287" priority="261">
      <formula>LEN(TRIM(H120))=0</formula>
    </cfRule>
  </conditionalFormatting>
  <conditionalFormatting sqref="H120">
    <cfRule type="cellIs" dxfId="286" priority="260" stopIfTrue="1" operator="lessThan">
      <formula>0</formula>
    </cfRule>
  </conditionalFormatting>
  <conditionalFormatting sqref="H120">
    <cfRule type="cellIs" dxfId="285" priority="259" operator="equal">
      <formula>"NO"</formula>
    </cfRule>
  </conditionalFormatting>
  <conditionalFormatting sqref="H119">
    <cfRule type="cellIs" dxfId="284" priority="257" operator="equal">
      <formula>"NO"</formula>
    </cfRule>
  </conditionalFormatting>
  <conditionalFormatting sqref="H119">
    <cfRule type="containsBlanks" dxfId="283" priority="256">
      <formula>LEN(TRIM(H119))=0</formula>
    </cfRule>
  </conditionalFormatting>
  <conditionalFormatting sqref="H119">
    <cfRule type="cellIs" dxfId="282" priority="255" stopIfTrue="1" operator="lessThan">
      <formula>0</formula>
    </cfRule>
  </conditionalFormatting>
  <conditionalFormatting sqref="H119">
    <cfRule type="cellIs" dxfId="281" priority="254" operator="equal">
      <formula>"NO"</formula>
    </cfRule>
  </conditionalFormatting>
  <conditionalFormatting sqref="H134">
    <cfRule type="cellIs" dxfId="280" priority="248" stopIfTrue="1" operator="greaterThan">
      <formula>0</formula>
    </cfRule>
  </conditionalFormatting>
  <conditionalFormatting sqref="H135">
    <cfRule type="cellIs" dxfId="279" priority="253" stopIfTrue="1" operator="greaterThan">
      <formula>0</formula>
    </cfRule>
  </conditionalFormatting>
  <conditionalFormatting sqref="H135">
    <cfRule type="cellIs" dxfId="278" priority="252" operator="equal">
      <formula>"NO"</formula>
    </cfRule>
  </conditionalFormatting>
  <conditionalFormatting sqref="H135">
    <cfRule type="containsBlanks" dxfId="277" priority="251">
      <formula>LEN(TRIM(H135))=0</formula>
    </cfRule>
  </conditionalFormatting>
  <conditionalFormatting sqref="H135">
    <cfRule type="cellIs" dxfId="276" priority="250" stopIfTrue="1" operator="lessThan">
      <formula>0</formula>
    </cfRule>
  </conditionalFormatting>
  <conditionalFormatting sqref="H135">
    <cfRule type="cellIs" dxfId="275" priority="249" operator="equal">
      <formula>"NO"</formula>
    </cfRule>
  </conditionalFormatting>
  <conditionalFormatting sqref="H134">
    <cfRule type="cellIs" dxfId="274" priority="247" operator="equal">
      <formula>"NO"</formula>
    </cfRule>
  </conditionalFormatting>
  <conditionalFormatting sqref="H134">
    <cfRule type="containsBlanks" dxfId="273" priority="246">
      <formula>LEN(TRIM(H134))=0</formula>
    </cfRule>
  </conditionalFormatting>
  <conditionalFormatting sqref="H134">
    <cfRule type="cellIs" dxfId="272" priority="245" stopIfTrue="1" operator="lessThan">
      <formula>0</formula>
    </cfRule>
  </conditionalFormatting>
  <conditionalFormatting sqref="H134">
    <cfRule type="cellIs" dxfId="271" priority="244" operator="equal">
      <formula>"NO"</formula>
    </cfRule>
  </conditionalFormatting>
  <conditionalFormatting sqref="H149">
    <cfRule type="cellIs" dxfId="270" priority="238" stopIfTrue="1" operator="greaterThan">
      <formula>0</formula>
    </cfRule>
  </conditionalFormatting>
  <conditionalFormatting sqref="H150">
    <cfRule type="cellIs" dxfId="269" priority="243" stopIfTrue="1" operator="greaterThan">
      <formula>0</formula>
    </cfRule>
  </conditionalFormatting>
  <conditionalFormatting sqref="H150">
    <cfRule type="cellIs" dxfId="268" priority="242" operator="equal">
      <formula>"NO"</formula>
    </cfRule>
  </conditionalFormatting>
  <conditionalFormatting sqref="H150">
    <cfRule type="containsBlanks" dxfId="267" priority="241">
      <formula>LEN(TRIM(H150))=0</formula>
    </cfRule>
  </conditionalFormatting>
  <conditionalFormatting sqref="H150">
    <cfRule type="cellIs" dxfId="266" priority="240" stopIfTrue="1" operator="lessThan">
      <formula>0</formula>
    </cfRule>
  </conditionalFormatting>
  <conditionalFormatting sqref="H150">
    <cfRule type="cellIs" dxfId="265" priority="239" operator="equal">
      <formula>"NO"</formula>
    </cfRule>
  </conditionalFormatting>
  <conditionalFormatting sqref="H149">
    <cfRule type="cellIs" dxfId="264" priority="237" operator="equal">
      <formula>"NO"</formula>
    </cfRule>
  </conditionalFormatting>
  <conditionalFormatting sqref="H149">
    <cfRule type="containsBlanks" dxfId="263" priority="236">
      <formula>LEN(TRIM(H149))=0</formula>
    </cfRule>
  </conditionalFormatting>
  <conditionalFormatting sqref="H149">
    <cfRule type="cellIs" dxfId="262" priority="235" stopIfTrue="1" operator="lessThan">
      <formula>0</formula>
    </cfRule>
  </conditionalFormatting>
  <conditionalFormatting sqref="H149">
    <cfRule type="cellIs" dxfId="261" priority="234" operator="equal">
      <formula>"NO"</formula>
    </cfRule>
  </conditionalFormatting>
  <conditionalFormatting sqref="H164">
    <cfRule type="cellIs" dxfId="260" priority="228" stopIfTrue="1" operator="greaterThan">
      <formula>0</formula>
    </cfRule>
  </conditionalFormatting>
  <conditionalFormatting sqref="H165">
    <cfRule type="cellIs" dxfId="259" priority="233" stopIfTrue="1" operator="greaterThan">
      <formula>0</formula>
    </cfRule>
  </conditionalFormatting>
  <conditionalFormatting sqref="H165">
    <cfRule type="cellIs" dxfId="258" priority="232" operator="equal">
      <formula>"NO"</formula>
    </cfRule>
  </conditionalFormatting>
  <conditionalFormatting sqref="H165">
    <cfRule type="containsBlanks" dxfId="257" priority="231">
      <formula>LEN(TRIM(H165))=0</formula>
    </cfRule>
  </conditionalFormatting>
  <conditionalFormatting sqref="H165">
    <cfRule type="cellIs" dxfId="256" priority="230" stopIfTrue="1" operator="lessThan">
      <formula>0</formula>
    </cfRule>
  </conditionalFormatting>
  <conditionalFormatting sqref="H165">
    <cfRule type="cellIs" dxfId="255" priority="229" operator="equal">
      <formula>"NO"</formula>
    </cfRule>
  </conditionalFormatting>
  <conditionalFormatting sqref="H164">
    <cfRule type="cellIs" dxfId="254" priority="227" operator="equal">
      <formula>"NO"</formula>
    </cfRule>
  </conditionalFormatting>
  <conditionalFormatting sqref="H164">
    <cfRule type="containsBlanks" dxfId="253" priority="226">
      <formula>LEN(TRIM(H164))=0</formula>
    </cfRule>
  </conditionalFormatting>
  <conditionalFormatting sqref="H164">
    <cfRule type="cellIs" dxfId="252" priority="225" stopIfTrue="1" operator="lessThan">
      <formula>0</formula>
    </cfRule>
  </conditionalFormatting>
  <conditionalFormatting sqref="H164">
    <cfRule type="cellIs" dxfId="251" priority="224" operator="equal">
      <formula>"NO"</formula>
    </cfRule>
  </conditionalFormatting>
  <conditionalFormatting sqref="H179">
    <cfRule type="cellIs" dxfId="250" priority="218" stopIfTrue="1" operator="greaterThan">
      <formula>0</formula>
    </cfRule>
  </conditionalFormatting>
  <conditionalFormatting sqref="H180">
    <cfRule type="cellIs" dxfId="249" priority="223" stopIfTrue="1" operator="greaterThan">
      <formula>0</formula>
    </cfRule>
  </conditionalFormatting>
  <conditionalFormatting sqref="H180">
    <cfRule type="cellIs" dxfId="248" priority="222" operator="equal">
      <formula>"NO"</formula>
    </cfRule>
  </conditionalFormatting>
  <conditionalFormatting sqref="H180">
    <cfRule type="containsBlanks" dxfId="247" priority="221">
      <formula>LEN(TRIM(H180))=0</formula>
    </cfRule>
  </conditionalFormatting>
  <conditionalFormatting sqref="H180">
    <cfRule type="cellIs" dxfId="246" priority="220" stopIfTrue="1" operator="lessThan">
      <formula>0</formula>
    </cfRule>
  </conditionalFormatting>
  <conditionalFormatting sqref="H180">
    <cfRule type="cellIs" dxfId="245" priority="219" operator="equal">
      <formula>"NO"</formula>
    </cfRule>
  </conditionalFormatting>
  <conditionalFormatting sqref="H179">
    <cfRule type="cellIs" dxfId="244" priority="217" operator="equal">
      <formula>"NO"</formula>
    </cfRule>
  </conditionalFormatting>
  <conditionalFormatting sqref="H179">
    <cfRule type="containsBlanks" dxfId="243" priority="216">
      <formula>LEN(TRIM(H179))=0</formula>
    </cfRule>
  </conditionalFormatting>
  <conditionalFormatting sqref="H179">
    <cfRule type="cellIs" dxfId="242" priority="215" stopIfTrue="1" operator="lessThan">
      <formula>0</formula>
    </cfRule>
  </conditionalFormatting>
  <conditionalFormatting sqref="H179">
    <cfRule type="cellIs" dxfId="241" priority="214" operator="equal">
      <formula>"NO"</formula>
    </cfRule>
  </conditionalFormatting>
  <conditionalFormatting sqref="I191">
    <cfRule type="cellIs" dxfId="240" priority="213" stopIfTrue="1" operator="greaterThan">
      <formula>0</formula>
    </cfRule>
  </conditionalFormatting>
  <conditionalFormatting sqref="H194">
    <cfRule type="cellIs" dxfId="239" priority="207" stopIfTrue="1" operator="greaterThan">
      <formula>0</formula>
    </cfRule>
  </conditionalFormatting>
  <conditionalFormatting sqref="H195">
    <cfRule type="cellIs" dxfId="238" priority="212" stopIfTrue="1" operator="greaterThan">
      <formula>0</formula>
    </cfRule>
  </conditionalFormatting>
  <conditionalFormatting sqref="H195">
    <cfRule type="cellIs" dxfId="237" priority="211" operator="equal">
      <formula>"NO"</formula>
    </cfRule>
  </conditionalFormatting>
  <conditionalFormatting sqref="H195">
    <cfRule type="containsBlanks" dxfId="236" priority="210">
      <formula>LEN(TRIM(H195))=0</formula>
    </cfRule>
  </conditionalFormatting>
  <conditionalFormatting sqref="H195">
    <cfRule type="cellIs" dxfId="235" priority="209" stopIfTrue="1" operator="lessThan">
      <formula>0</formula>
    </cfRule>
  </conditionalFormatting>
  <conditionalFormatting sqref="H195">
    <cfRule type="cellIs" dxfId="234" priority="208" operator="equal">
      <formula>"NO"</formula>
    </cfRule>
  </conditionalFormatting>
  <conditionalFormatting sqref="H194">
    <cfRule type="cellIs" dxfId="233" priority="206" operator="equal">
      <formula>"NO"</formula>
    </cfRule>
  </conditionalFormatting>
  <conditionalFormatting sqref="H194">
    <cfRule type="containsBlanks" dxfId="232" priority="205">
      <formula>LEN(TRIM(H194))=0</formula>
    </cfRule>
  </conditionalFormatting>
  <conditionalFormatting sqref="H194">
    <cfRule type="cellIs" dxfId="231" priority="204" stopIfTrue="1" operator="lessThan">
      <formula>0</formula>
    </cfRule>
  </conditionalFormatting>
  <conditionalFormatting sqref="H194">
    <cfRule type="cellIs" dxfId="230" priority="203" operator="equal">
      <formula>"NO"</formula>
    </cfRule>
  </conditionalFormatting>
  <conditionalFormatting sqref="H209">
    <cfRule type="cellIs" dxfId="229" priority="197" stopIfTrue="1" operator="greaterThan">
      <formula>0</formula>
    </cfRule>
  </conditionalFormatting>
  <conditionalFormatting sqref="H210">
    <cfRule type="cellIs" dxfId="228" priority="202" stopIfTrue="1" operator="greaterThan">
      <formula>0</formula>
    </cfRule>
  </conditionalFormatting>
  <conditionalFormatting sqref="H210">
    <cfRule type="cellIs" dxfId="227" priority="201" operator="equal">
      <formula>"NO"</formula>
    </cfRule>
  </conditionalFormatting>
  <conditionalFormatting sqref="H210">
    <cfRule type="containsBlanks" dxfId="226" priority="200">
      <formula>LEN(TRIM(H210))=0</formula>
    </cfRule>
  </conditionalFormatting>
  <conditionalFormatting sqref="H210">
    <cfRule type="cellIs" dxfId="225" priority="199" stopIfTrue="1" operator="lessThan">
      <formula>0</formula>
    </cfRule>
  </conditionalFormatting>
  <conditionalFormatting sqref="H210">
    <cfRule type="cellIs" dxfId="224" priority="198" operator="equal">
      <formula>"NO"</formula>
    </cfRule>
  </conditionalFormatting>
  <conditionalFormatting sqref="H209">
    <cfRule type="cellIs" dxfId="223" priority="196" operator="equal">
      <formula>"NO"</formula>
    </cfRule>
  </conditionalFormatting>
  <conditionalFormatting sqref="H209">
    <cfRule type="containsBlanks" dxfId="222" priority="195">
      <formula>LEN(TRIM(H209))=0</formula>
    </cfRule>
  </conditionalFormatting>
  <conditionalFormatting sqref="H209">
    <cfRule type="cellIs" dxfId="221" priority="194" stopIfTrue="1" operator="lessThan">
      <formula>0</formula>
    </cfRule>
  </conditionalFormatting>
  <conditionalFormatting sqref="H209">
    <cfRule type="cellIs" dxfId="220" priority="193" operator="equal">
      <formula>"NO"</formula>
    </cfRule>
  </conditionalFormatting>
  <conditionalFormatting sqref="H224">
    <cfRule type="cellIs" dxfId="219" priority="187" stopIfTrue="1" operator="greaterThan">
      <formula>0</formula>
    </cfRule>
  </conditionalFormatting>
  <conditionalFormatting sqref="H225">
    <cfRule type="cellIs" dxfId="218" priority="192" stopIfTrue="1" operator="greaterThan">
      <formula>0</formula>
    </cfRule>
  </conditionalFormatting>
  <conditionalFormatting sqref="H225">
    <cfRule type="cellIs" dxfId="217" priority="191" operator="equal">
      <formula>"NO"</formula>
    </cfRule>
  </conditionalFormatting>
  <conditionalFormatting sqref="H225">
    <cfRule type="containsBlanks" dxfId="216" priority="190">
      <formula>LEN(TRIM(H225))=0</formula>
    </cfRule>
  </conditionalFormatting>
  <conditionalFormatting sqref="H225">
    <cfRule type="cellIs" dxfId="215" priority="189" stopIfTrue="1" operator="lessThan">
      <formula>0</formula>
    </cfRule>
  </conditionalFormatting>
  <conditionalFormatting sqref="H225">
    <cfRule type="cellIs" dxfId="214" priority="188" operator="equal">
      <formula>"NO"</formula>
    </cfRule>
  </conditionalFormatting>
  <conditionalFormatting sqref="H224">
    <cfRule type="cellIs" dxfId="213" priority="186" operator="equal">
      <formula>"NO"</formula>
    </cfRule>
  </conditionalFormatting>
  <conditionalFormatting sqref="H224">
    <cfRule type="containsBlanks" dxfId="212" priority="185">
      <formula>LEN(TRIM(H224))=0</formula>
    </cfRule>
  </conditionalFormatting>
  <conditionalFormatting sqref="H224">
    <cfRule type="cellIs" dxfId="211" priority="184" stopIfTrue="1" operator="lessThan">
      <formula>0</formula>
    </cfRule>
  </conditionalFormatting>
  <conditionalFormatting sqref="H224">
    <cfRule type="cellIs" dxfId="210" priority="183" operator="equal">
      <formula>"NO"</formula>
    </cfRule>
  </conditionalFormatting>
  <conditionalFormatting sqref="H239">
    <cfRule type="cellIs" dxfId="209" priority="177" stopIfTrue="1" operator="greaterThan">
      <formula>0</formula>
    </cfRule>
  </conditionalFormatting>
  <conditionalFormatting sqref="H240">
    <cfRule type="cellIs" dxfId="208" priority="182" stopIfTrue="1" operator="greaterThan">
      <formula>0</formula>
    </cfRule>
  </conditionalFormatting>
  <conditionalFormatting sqref="H240">
    <cfRule type="cellIs" dxfId="207" priority="181" operator="equal">
      <formula>"NO"</formula>
    </cfRule>
  </conditionalFormatting>
  <conditionalFormatting sqref="H240">
    <cfRule type="containsBlanks" dxfId="206" priority="180">
      <formula>LEN(TRIM(H240))=0</formula>
    </cfRule>
  </conditionalFormatting>
  <conditionalFormatting sqref="H240">
    <cfRule type="cellIs" dxfId="205" priority="179" stopIfTrue="1" operator="lessThan">
      <formula>0</formula>
    </cfRule>
  </conditionalFormatting>
  <conditionalFormatting sqref="H240">
    <cfRule type="cellIs" dxfId="204" priority="178" operator="equal">
      <formula>"NO"</formula>
    </cfRule>
  </conditionalFormatting>
  <conditionalFormatting sqref="H239">
    <cfRule type="cellIs" dxfId="203" priority="176" operator="equal">
      <formula>"NO"</formula>
    </cfRule>
  </conditionalFormatting>
  <conditionalFormatting sqref="H239">
    <cfRule type="containsBlanks" dxfId="202" priority="175">
      <formula>LEN(TRIM(H239))=0</formula>
    </cfRule>
  </conditionalFormatting>
  <conditionalFormatting sqref="H239">
    <cfRule type="cellIs" dxfId="201" priority="174" stopIfTrue="1" operator="lessThan">
      <formula>0</formula>
    </cfRule>
  </conditionalFormatting>
  <conditionalFormatting sqref="H239">
    <cfRule type="cellIs" dxfId="200" priority="173" operator="equal">
      <formula>"NO"</formula>
    </cfRule>
  </conditionalFormatting>
  <conditionalFormatting sqref="H254">
    <cfRule type="cellIs" dxfId="199" priority="167" stopIfTrue="1" operator="greaterThan">
      <formula>0</formula>
    </cfRule>
  </conditionalFormatting>
  <conditionalFormatting sqref="H255">
    <cfRule type="cellIs" dxfId="198" priority="172" stopIfTrue="1" operator="greaterThan">
      <formula>0</formula>
    </cfRule>
  </conditionalFormatting>
  <conditionalFormatting sqref="H255">
    <cfRule type="cellIs" dxfId="197" priority="171" operator="equal">
      <formula>"NO"</formula>
    </cfRule>
  </conditionalFormatting>
  <conditionalFormatting sqref="H255">
    <cfRule type="containsBlanks" dxfId="196" priority="170">
      <formula>LEN(TRIM(H255))=0</formula>
    </cfRule>
  </conditionalFormatting>
  <conditionalFormatting sqref="H255">
    <cfRule type="cellIs" dxfId="195" priority="169" stopIfTrue="1" operator="lessThan">
      <formula>0</formula>
    </cfRule>
  </conditionalFormatting>
  <conditionalFormatting sqref="H255">
    <cfRule type="cellIs" dxfId="194" priority="168" operator="equal">
      <formula>"NO"</formula>
    </cfRule>
  </conditionalFormatting>
  <conditionalFormatting sqref="H254">
    <cfRule type="cellIs" dxfId="193" priority="166" operator="equal">
      <formula>"NO"</formula>
    </cfRule>
  </conditionalFormatting>
  <conditionalFormatting sqref="H254">
    <cfRule type="containsBlanks" dxfId="192" priority="165">
      <formula>LEN(TRIM(H254))=0</formula>
    </cfRule>
  </conditionalFormatting>
  <conditionalFormatting sqref="H254">
    <cfRule type="cellIs" dxfId="191" priority="164" stopIfTrue="1" operator="lessThan">
      <formula>0</formula>
    </cfRule>
  </conditionalFormatting>
  <conditionalFormatting sqref="H254">
    <cfRule type="cellIs" dxfId="190" priority="163" operator="equal">
      <formula>"NO"</formula>
    </cfRule>
  </conditionalFormatting>
  <conditionalFormatting sqref="H269">
    <cfRule type="cellIs" dxfId="189" priority="157" stopIfTrue="1" operator="greaterThan">
      <formula>0</formula>
    </cfRule>
  </conditionalFormatting>
  <conditionalFormatting sqref="H270">
    <cfRule type="cellIs" dxfId="188" priority="162" stopIfTrue="1" operator="greaterThan">
      <formula>0</formula>
    </cfRule>
  </conditionalFormatting>
  <conditionalFormatting sqref="H270">
    <cfRule type="cellIs" dxfId="187" priority="161" operator="equal">
      <formula>"NO"</formula>
    </cfRule>
  </conditionalFormatting>
  <conditionalFormatting sqref="H270">
    <cfRule type="containsBlanks" dxfId="186" priority="160">
      <formula>LEN(TRIM(H270))=0</formula>
    </cfRule>
  </conditionalFormatting>
  <conditionalFormatting sqref="H270">
    <cfRule type="cellIs" dxfId="185" priority="159" stopIfTrue="1" operator="lessThan">
      <formula>0</formula>
    </cfRule>
  </conditionalFormatting>
  <conditionalFormatting sqref="H270">
    <cfRule type="cellIs" dxfId="184" priority="158" operator="equal">
      <formula>"NO"</formula>
    </cfRule>
  </conditionalFormatting>
  <conditionalFormatting sqref="H269">
    <cfRule type="cellIs" dxfId="183" priority="156" operator="equal">
      <formula>"NO"</formula>
    </cfRule>
  </conditionalFormatting>
  <conditionalFormatting sqref="H269">
    <cfRule type="containsBlanks" dxfId="182" priority="155">
      <formula>LEN(TRIM(H269))=0</formula>
    </cfRule>
  </conditionalFormatting>
  <conditionalFormatting sqref="H269">
    <cfRule type="cellIs" dxfId="181" priority="154" stopIfTrue="1" operator="lessThan">
      <formula>0</formula>
    </cfRule>
  </conditionalFormatting>
  <conditionalFormatting sqref="H269">
    <cfRule type="cellIs" dxfId="180" priority="153" operator="equal">
      <formula>"NO"</formula>
    </cfRule>
  </conditionalFormatting>
  <conditionalFormatting sqref="H284">
    <cfRule type="cellIs" dxfId="179" priority="147" stopIfTrue="1" operator="greaterThan">
      <formula>0</formula>
    </cfRule>
  </conditionalFormatting>
  <conditionalFormatting sqref="H285">
    <cfRule type="cellIs" dxfId="178" priority="152" stopIfTrue="1" operator="greaterThan">
      <formula>0</formula>
    </cfRule>
  </conditionalFormatting>
  <conditionalFormatting sqref="H285">
    <cfRule type="cellIs" dxfId="177" priority="151" operator="equal">
      <formula>"NO"</formula>
    </cfRule>
  </conditionalFormatting>
  <conditionalFormatting sqref="H285">
    <cfRule type="containsBlanks" dxfId="176" priority="150">
      <formula>LEN(TRIM(H285))=0</formula>
    </cfRule>
  </conditionalFormatting>
  <conditionalFormatting sqref="H285">
    <cfRule type="cellIs" dxfId="175" priority="149" stopIfTrue="1" operator="lessThan">
      <formula>0</formula>
    </cfRule>
  </conditionalFormatting>
  <conditionalFormatting sqref="H285">
    <cfRule type="cellIs" dxfId="174" priority="148" operator="equal">
      <formula>"NO"</formula>
    </cfRule>
  </conditionalFormatting>
  <conditionalFormatting sqref="H284">
    <cfRule type="cellIs" dxfId="173" priority="146" operator="equal">
      <formula>"NO"</formula>
    </cfRule>
  </conditionalFormatting>
  <conditionalFormatting sqref="H284">
    <cfRule type="containsBlanks" dxfId="172" priority="145">
      <formula>LEN(TRIM(H284))=0</formula>
    </cfRule>
  </conditionalFormatting>
  <conditionalFormatting sqref="H284">
    <cfRule type="cellIs" dxfId="171" priority="144" stopIfTrue="1" operator="lessThan">
      <formula>0</formula>
    </cfRule>
  </conditionalFormatting>
  <conditionalFormatting sqref="H284">
    <cfRule type="cellIs" dxfId="170" priority="143" operator="equal">
      <formula>"NO"</formula>
    </cfRule>
  </conditionalFormatting>
  <conditionalFormatting sqref="H299">
    <cfRule type="cellIs" dxfId="169" priority="137" stopIfTrue="1" operator="greaterThan">
      <formula>0</formula>
    </cfRule>
  </conditionalFormatting>
  <conditionalFormatting sqref="H300">
    <cfRule type="cellIs" dxfId="168" priority="142" stopIfTrue="1" operator="greaterThan">
      <formula>0</formula>
    </cfRule>
  </conditionalFormatting>
  <conditionalFormatting sqref="H300">
    <cfRule type="cellIs" dxfId="167" priority="141" operator="equal">
      <formula>"NO"</formula>
    </cfRule>
  </conditionalFormatting>
  <conditionalFormatting sqref="H300">
    <cfRule type="containsBlanks" dxfId="166" priority="140">
      <formula>LEN(TRIM(H300))=0</formula>
    </cfRule>
  </conditionalFormatting>
  <conditionalFormatting sqref="H300">
    <cfRule type="cellIs" dxfId="165" priority="139" stopIfTrue="1" operator="lessThan">
      <formula>0</formula>
    </cfRule>
  </conditionalFormatting>
  <conditionalFormatting sqref="H300">
    <cfRule type="cellIs" dxfId="164" priority="138" operator="equal">
      <formula>"NO"</formula>
    </cfRule>
  </conditionalFormatting>
  <conditionalFormatting sqref="H299">
    <cfRule type="cellIs" dxfId="163" priority="136" operator="equal">
      <formula>"NO"</formula>
    </cfRule>
  </conditionalFormatting>
  <conditionalFormatting sqref="H299">
    <cfRule type="containsBlanks" dxfId="162" priority="135">
      <formula>LEN(TRIM(H299))=0</formula>
    </cfRule>
  </conditionalFormatting>
  <conditionalFormatting sqref="H299">
    <cfRule type="cellIs" dxfId="161" priority="134" stopIfTrue="1" operator="lessThan">
      <formula>0</formula>
    </cfRule>
  </conditionalFormatting>
  <conditionalFormatting sqref="H299">
    <cfRule type="cellIs" dxfId="160" priority="133" operator="equal">
      <formula>"NO"</formula>
    </cfRule>
  </conditionalFormatting>
  <conditionalFormatting sqref="I310">
    <cfRule type="cellIs" dxfId="159" priority="132" stopIfTrue="1" operator="greaterThan">
      <formula>0</formula>
    </cfRule>
  </conditionalFormatting>
  <conditionalFormatting sqref="H314">
    <cfRule type="cellIs" dxfId="158" priority="126" stopIfTrue="1" operator="greaterThan">
      <formula>0</formula>
    </cfRule>
  </conditionalFormatting>
  <conditionalFormatting sqref="H315">
    <cfRule type="cellIs" dxfId="157" priority="131" stopIfTrue="1" operator="greaterThan">
      <formula>0</formula>
    </cfRule>
  </conditionalFormatting>
  <conditionalFormatting sqref="H315">
    <cfRule type="cellIs" dxfId="156" priority="130" operator="equal">
      <formula>"NO"</formula>
    </cfRule>
  </conditionalFormatting>
  <conditionalFormatting sqref="H315">
    <cfRule type="containsBlanks" dxfId="155" priority="129">
      <formula>LEN(TRIM(H315))=0</formula>
    </cfRule>
  </conditionalFormatting>
  <conditionalFormatting sqref="H315">
    <cfRule type="cellIs" dxfId="154" priority="128" stopIfTrue="1" operator="lessThan">
      <formula>0</formula>
    </cfRule>
  </conditionalFormatting>
  <conditionalFormatting sqref="H315">
    <cfRule type="cellIs" dxfId="153" priority="127" operator="equal">
      <formula>"NO"</formula>
    </cfRule>
  </conditionalFormatting>
  <conditionalFormatting sqref="H314">
    <cfRule type="cellIs" dxfId="152" priority="125" operator="equal">
      <formula>"NO"</formula>
    </cfRule>
  </conditionalFormatting>
  <conditionalFormatting sqref="H314">
    <cfRule type="containsBlanks" dxfId="151" priority="124">
      <formula>LEN(TRIM(H314))=0</formula>
    </cfRule>
  </conditionalFormatting>
  <conditionalFormatting sqref="H314">
    <cfRule type="cellIs" dxfId="150" priority="123" stopIfTrue="1" operator="lessThan">
      <formula>0</formula>
    </cfRule>
  </conditionalFormatting>
  <conditionalFormatting sqref="H314">
    <cfRule type="cellIs" dxfId="149" priority="122" operator="equal">
      <formula>"NO"</formula>
    </cfRule>
  </conditionalFormatting>
  <conditionalFormatting sqref="H329">
    <cfRule type="cellIs" dxfId="148" priority="116" stopIfTrue="1" operator="greaterThan">
      <formula>0</formula>
    </cfRule>
  </conditionalFormatting>
  <conditionalFormatting sqref="H330">
    <cfRule type="cellIs" dxfId="147" priority="121" stopIfTrue="1" operator="greaterThan">
      <formula>0</formula>
    </cfRule>
  </conditionalFormatting>
  <conditionalFormatting sqref="H330">
    <cfRule type="cellIs" dxfId="146" priority="120" operator="equal">
      <formula>"NO"</formula>
    </cfRule>
  </conditionalFormatting>
  <conditionalFormatting sqref="H330">
    <cfRule type="containsBlanks" dxfId="145" priority="119">
      <formula>LEN(TRIM(H330))=0</formula>
    </cfRule>
  </conditionalFormatting>
  <conditionalFormatting sqref="H330">
    <cfRule type="cellIs" dxfId="144" priority="118" stopIfTrue="1" operator="lessThan">
      <formula>0</formula>
    </cfRule>
  </conditionalFormatting>
  <conditionalFormatting sqref="H330">
    <cfRule type="cellIs" dxfId="143" priority="117" operator="equal">
      <formula>"NO"</formula>
    </cfRule>
  </conditionalFormatting>
  <conditionalFormatting sqref="H329">
    <cfRule type="cellIs" dxfId="142" priority="115" operator="equal">
      <formula>"NO"</formula>
    </cfRule>
  </conditionalFormatting>
  <conditionalFormatting sqref="H329">
    <cfRule type="containsBlanks" dxfId="141" priority="114">
      <formula>LEN(TRIM(H329))=0</formula>
    </cfRule>
  </conditionalFormatting>
  <conditionalFormatting sqref="H329">
    <cfRule type="cellIs" dxfId="140" priority="113" stopIfTrue="1" operator="lessThan">
      <formula>0</formula>
    </cfRule>
  </conditionalFormatting>
  <conditionalFormatting sqref="H329">
    <cfRule type="cellIs" dxfId="139" priority="112" operator="equal">
      <formula>"NO"</formula>
    </cfRule>
  </conditionalFormatting>
  <conditionalFormatting sqref="H344">
    <cfRule type="cellIs" dxfId="138" priority="106" stopIfTrue="1" operator="greaterThan">
      <formula>0</formula>
    </cfRule>
  </conditionalFormatting>
  <conditionalFormatting sqref="H345">
    <cfRule type="cellIs" dxfId="137" priority="111" stopIfTrue="1" operator="greaterThan">
      <formula>0</formula>
    </cfRule>
  </conditionalFormatting>
  <conditionalFormatting sqref="H345">
    <cfRule type="cellIs" dxfId="136" priority="110" operator="equal">
      <formula>"NO"</formula>
    </cfRule>
  </conditionalFormatting>
  <conditionalFormatting sqref="H345">
    <cfRule type="containsBlanks" dxfId="135" priority="109">
      <formula>LEN(TRIM(H345))=0</formula>
    </cfRule>
  </conditionalFormatting>
  <conditionalFormatting sqref="H345">
    <cfRule type="cellIs" dxfId="134" priority="108" stopIfTrue="1" operator="lessThan">
      <formula>0</formula>
    </cfRule>
  </conditionalFormatting>
  <conditionalFormatting sqref="H345">
    <cfRule type="cellIs" dxfId="133" priority="107" operator="equal">
      <formula>"NO"</formula>
    </cfRule>
  </conditionalFormatting>
  <conditionalFormatting sqref="H344">
    <cfRule type="cellIs" dxfId="132" priority="105" operator="equal">
      <formula>"NO"</formula>
    </cfRule>
  </conditionalFormatting>
  <conditionalFormatting sqref="H344">
    <cfRule type="containsBlanks" dxfId="131" priority="104">
      <formula>LEN(TRIM(H344))=0</formula>
    </cfRule>
  </conditionalFormatting>
  <conditionalFormatting sqref="H344">
    <cfRule type="cellIs" dxfId="130" priority="103" stopIfTrue="1" operator="lessThan">
      <formula>0</formula>
    </cfRule>
  </conditionalFormatting>
  <conditionalFormatting sqref="H344">
    <cfRule type="cellIs" dxfId="129" priority="102" operator="equal">
      <formula>"NO"</formula>
    </cfRule>
  </conditionalFormatting>
  <conditionalFormatting sqref="I355">
    <cfRule type="cellIs" dxfId="128" priority="101" stopIfTrue="1" operator="greaterThan">
      <formula>0</formula>
    </cfRule>
  </conditionalFormatting>
  <conditionalFormatting sqref="I356">
    <cfRule type="cellIs" dxfId="127" priority="100" stopIfTrue="1" operator="greaterThan">
      <formula>0</formula>
    </cfRule>
  </conditionalFormatting>
  <conditionalFormatting sqref="I357">
    <cfRule type="cellIs" dxfId="126" priority="99" stopIfTrue="1" operator="greaterThan">
      <formula>0</formula>
    </cfRule>
  </conditionalFormatting>
  <conditionalFormatting sqref="H359">
    <cfRule type="cellIs" dxfId="125" priority="93" stopIfTrue="1" operator="greaterThan">
      <formula>0</formula>
    </cfRule>
  </conditionalFormatting>
  <conditionalFormatting sqref="H360">
    <cfRule type="cellIs" dxfId="124" priority="98" stopIfTrue="1" operator="greaterThan">
      <formula>0</formula>
    </cfRule>
  </conditionalFormatting>
  <conditionalFormatting sqref="H360">
    <cfRule type="cellIs" dxfId="123" priority="97" operator="equal">
      <formula>"NO"</formula>
    </cfRule>
  </conditionalFormatting>
  <conditionalFormatting sqref="H360">
    <cfRule type="containsBlanks" dxfId="122" priority="96">
      <formula>LEN(TRIM(H360))=0</formula>
    </cfRule>
  </conditionalFormatting>
  <conditionalFormatting sqref="H360">
    <cfRule type="cellIs" dxfId="121" priority="95" stopIfTrue="1" operator="lessThan">
      <formula>0</formula>
    </cfRule>
  </conditionalFormatting>
  <conditionalFormatting sqref="H360">
    <cfRule type="cellIs" dxfId="120" priority="94" operator="equal">
      <formula>"NO"</formula>
    </cfRule>
  </conditionalFormatting>
  <conditionalFormatting sqref="H359">
    <cfRule type="cellIs" dxfId="119" priority="92" operator="equal">
      <formula>"NO"</formula>
    </cfRule>
  </conditionalFormatting>
  <conditionalFormatting sqref="H359">
    <cfRule type="containsBlanks" dxfId="118" priority="91">
      <formula>LEN(TRIM(H359))=0</formula>
    </cfRule>
  </conditionalFormatting>
  <conditionalFormatting sqref="H359">
    <cfRule type="cellIs" dxfId="117" priority="90" stopIfTrue="1" operator="lessThan">
      <formula>0</formula>
    </cfRule>
  </conditionalFormatting>
  <conditionalFormatting sqref="H359">
    <cfRule type="cellIs" dxfId="116" priority="89" operator="equal">
      <formula>"NO"</formula>
    </cfRule>
  </conditionalFormatting>
  <conditionalFormatting sqref="I371:I372">
    <cfRule type="cellIs" dxfId="115" priority="88" stopIfTrue="1" operator="greaterThan">
      <formula>0</formula>
    </cfRule>
  </conditionalFormatting>
  <conditionalFormatting sqref="H374">
    <cfRule type="cellIs" dxfId="114" priority="82" stopIfTrue="1" operator="greaterThan">
      <formula>0</formula>
    </cfRule>
  </conditionalFormatting>
  <conditionalFormatting sqref="H375">
    <cfRule type="cellIs" dxfId="113" priority="87" stopIfTrue="1" operator="greaterThan">
      <formula>0</formula>
    </cfRule>
  </conditionalFormatting>
  <conditionalFormatting sqref="H375">
    <cfRule type="cellIs" dxfId="112" priority="86" operator="equal">
      <formula>"NO"</formula>
    </cfRule>
  </conditionalFormatting>
  <conditionalFormatting sqref="H375">
    <cfRule type="containsBlanks" dxfId="111" priority="85">
      <formula>LEN(TRIM(H375))=0</formula>
    </cfRule>
  </conditionalFormatting>
  <conditionalFormatting sqref="H375">
    <cfRule type="cellIs" dxfId="110" priority="84" stopIfTrue="1" operator="lessThan">
      <formula>0</formula>
    </cfRule>
  </conditionalFormatting>
  <conditionalFormatting sqref="H375">
    <cfRule type="cellIs" dxfId="109" priority="83" operator="equal">
      <formula>"NO"</formula>
    </cfRule>
  </conditionalFormatting>
  <conditionalFormatting sqref="H374">
    <cfRule type="cellIs" dxfId="108" priority="81" operator="equal">
      <formula>"NO"</formula>
    </cfRule>
  </conditionalFormatting>
  <conditionalFormatting sqref="H374">
    <cfRule type="containsBlanks" dxfId="107" priority="80">
      <formula>LEN(TRIM(H374))=0</formula>
    </cfRule>
  </conditionalFormatting>
  <conditionalFormatting sqref="H374">
    <cfRule type="cellIs" dxfId="106" priority="79" stopIfTrue="1" operator="lessThan">
      <formula>0</formula>
    </cfRule>
  </conditionalFormatting>
  <conditionalFormatting sqref="H374">
    <cfRule type="cellIs" dxfId="105" priority="78" operator="equal">
      <formula>"NO"</formula>
    </cfRule>
  </conditionalFormatting>
  <conditionalFormatting sqref="I386:I387">
    <cfRule type="cellIs" dxfId="104" priority="77" stopIfTrue="1" operator="greaterThan">
      <formula>0</formula>
    </cfRule>
  </conditionalFormatting>
  <conditionalFormatting sqref="I385">
    <cfRule type="cellIs" dxfId="103" priority="76" stopIfTrue="1" operator="greaterThan">
      <formula>0</formula>
    </cfRule>
  </conditionalFormatting>
  <conditionalFormatting sqref="H389">
    <cfRule type="cellIs" dxfId="102" priority="70" stopIfTrue="1" operator="greaterThan">
      <formula>0</formula>
    </cfRule>
  </conditionalFormatting>
  <conditionalFormatting sqref="H390">
    <cfRule type="cellIs" dxfId="101" priority="75" stopIfTrue="1" operator="greaterThan">
      <formula>0</formula>
    </cfRule>
  </conditionalFormatting>
  <conditionalFormatting sqref="H390">
    <cfRule type="cellIs" dxfId="100" priority="74" operator="equal">
      <formula>"NO"</formula>
    </cfRule>
  </conditionalFormatting>
  <conditionalFormatting sqref="H390">
    <cfRule type="containsBlanks" dxfId="99" priority="73">
      <formula>LEN(TRIM(H390))=0</formula>
    </cfRule>
  </conditionalFormatting>
  <conditionalFormatting sqref="H390">
    <cfRule type="cellIs" dxfId="98" priority="72" stopIfTrue="1" operator="lessThan">
      <formula>0</formula>
    </cfRule>
  </conditionalFormatting>
  <conditionalFormatting sqref="H390">
    <cfRule type="cellIs" dxfId="97" priority="71" operator="equal">
      <formula>"NO"</formula>
    </cfRule>
  </conditionalFormatting>
  <conditionalFormatting sqref="H389">
    <cfRule type="cellIs" dxfId="96" priority="69" operator="equal">
      <formula>"NO"</formula>
    </cfRule>
  </conditionalFormatting>
  <conditionalFormatting sqref="H389">
    <cfRule type="containsBlanks" dxfId="95" priority="68">
      <formula>LEN(TRIM(H389))=0</formula>
    </cfRule>
  </conditionalFormatting>
  <conditionalFormatting sqref="H389">
    <cfRule type="cellIs" dxfId="94" priority="67" stopIfTrue="1" operator="lessThan">
      <formula>0</formula>
    </cfRule>
  </conditionalFormatting>
  <conditionalFormatting sqref="H389">
    <cfRule type="cellIs" dxfId="93" priority="66" operator="equal">
      <formula>"NO"</formula>
    </cfRule>
  </conditionalFormatting>
  <conditionalFormatting sqref="I401">
    <cfRule type="cellIs" dxfId="92" priority="65" stopIfTrue="1" operator="greaterThan">
      <formula>0</formula>
    </cfRule>
  </conditionalFormatting>
  <conditionalFormatting sqref="I402">
    <cfRule type="cellIs" dxfId="91" priority="64" stopIfTrue="1" operator="greaterThan">
      <formula>0</formula>
    </cfRule>
  </conditionalFormatting>
  <conditionalFormatting sqref="I400">
    <cfRule type="cellIs" dxfId="90" priority="63" stopIfTrue="1" operator="greaterThan">
      <formula>0</formula>
    </cfRule>
  </conditionalFormatting>
  <conditionalFormatting sqref="H405">
    <cfRule type="cellIs" dxfId="89" priority="62" stopIfTrue="1" operator="greaterThan">
      <formula>0</formula>
    </cfRule>
  </conditionalFormatting>
  <conditionalFormatting sqref="H405">
    <cfRule type="cellIs" dxfId="88" priority="61" operator="equal">
      <formula>"NO"</formula>
    </cfRule>
  </conditionalFormatting>
  <conditionalFormatting sqref="H405">
    <cfRule type="containsBlanks" dxfId="87" priority="60">
      <formula>LEN(TRIM(H405))=0</formula>
    </cfRule>
  </conditionalFormatting>
  <conditionalFormatting sqref="H405">
    <cfRule type="cellIs" dxfId="86" priority="59" stopIfTrue="1" operator="lessThan">
      <formula>0</formula>
    </cfRule>
  </conditionalFormatting>
  <conditionalFormatting sqref="H405">
    <cfRule type="cellIs" dxfId="85" priority="58" operator="equal">
      <formula>"NO"</formula>
    </cfRule>
  </conditionalFormatting>
  <conditionalFormatting sqref="H404">
    <cfRule type="cellIs" dxfId="84" priority="57" stopIfTrue="1" operator="greaterThan">
      <formula>0</formula>
    </cfRule>
  </conditionalFormatting>
  <conditionalFormatting sqref="H404">
    <cfRule type="cellIs" dxfId="83" priority="56" operator="equal">
      <formula>"NO"</formula>
    </cfRule>
  </conditionalFormatting>
  <conditionalFormatting sqref="H404">
    <cfRule type="containsBlanks" dxfId="82" priority="55">
      <formula>LEN(TRIM(H404))=0</formula>
    </cfRule>
  </conditionalFormatting>
  <conditionalFormatting sqref="H404">
    <cfRule type="cellIs" dxfId="81" priority="54" stopIfTrue="1" operator="lessThan">
      <formula>0</formula>
    </cfRule>
  </conditionalFormatting>
  <conditionalFormatting sqref="H404">
    <cfRule type="cellIs" dxfId="80" priority="53" operator="equal">
      <formula>"NO"</formula>
    </cfRule>
  </conditionalFormatting>
  <conditionalFormatting sqref="H419">
    <cfRule type="cellIs" dxfId="79" priority="47" stopIfTrue="1" operator="greaterThan">
      <formula>0</formula>
    </cfRule>
  </conditionalFormatting>
  <conditionalFormatting sqref="H420">
    <cfRule type="cellIs" dxfId="78" priority="52" stopIfTrue="1" operator="greaterThan">
      <formula>0</formula>
    </cfRule>
  </conditionalFormatting>
  <conditionalFormatting sqref="H420">
    <cfRule type="cellIs" dxfId="77" priority="51" operator="equal">
      <formula>"NO"</formula>
    </cfRule>
  </conditionalFormatting>
  <conditionalFormatting sqref="H420">
    <cfRule type="containsBlanks" dxfId="76" priority="50">
      <formula>LEN(TRIM(H420))=0</formula>
    </cfRule>
  </conditionalFormatting>
  <conditionalFormatting sqref="H420">
    <cfRule type="cellIs" dxfId="75" priority="49" stopIfTrue="1" operator="lessThan">
      <formula>0</formula>
    </cfRule>
  </conditionalFormatting>
  <conditionalFormatting sqref="H420">
    <cfRule type="cellIs" dxfId="74" priority="48" operator="equal">
      <formula>"NO"</formula>
    </cfRule>
  </conditionalFormatting>
  <conditionalFormatting sqref="H419">
    <cfRule type="cellIs" dxfId="73" priority="46" operator="equal">
      <formula>"NO"</formula>
    </cfRule>
  </conditionalFormatting>
  <conditionalFormatting sqref="H419">
    <cfRule type="containsBlanks" dxfId="72" priority="45">
      <formula>LEN(TRIM(H419))=0</formula>
    </cfRule>
  </conditionalFormatting>
  <conditionalFormatting sqref="H419">
    <cfRule type="cellIs" dxfId="71" priority="44" stopIfTrue="1" operator="lessThan">
      <formula>0</formula>
    </cfRule>
  </conditionalFormatting>
  <conditionalFormatting sqref="H419">
    <cfRule type="cellIs" dxfId="70" priority="43" operator="equal">
      <formula>"NO"</formula>
    </cfRule>
  </conditionalFormatting>
  <conditionalFormatting sqref="H435">
    <cfRule type="cellIs" dxfId="69" priority="42" stopIfTrue="1" operator="greaterThan">
      <formula>0</formula>
    </cfRule>
  </conditionalFormatting>
  <conditionalFormatting sqref="H435">
    <cfRule type="cellIs" dxfId="68" priority="41" operator="equal">
      <formula>"NO"</formula>
    </cfRule>
  </conditionalFormatting>
  <conditionalFormatting sqref="H435">
    <cfRule type="containsBlanks" dxfId="67" priority="40">
      <formula>LEN(TRIM(H435))=0</formula>
    </cfRule>
  </conditionalFormatting>
  <conditionalFormatting sqref="H435">
    <cfRule type="cellIs" dxfId="66" priority="39" stopIfTrue="1" operator="lessThan">
      <formula>0</formula>
    </cfRule>
  </conditionalFormatting>
  <conditionalFormatting sqref="H435">
    <cfRule type="cellIs" dxfId="65" priority="38" operator="equal">
      <formula>"NO"</formula>
    </cfRule>
  </conditionalFormatting>
  <conditionalFormatting sqref="H434">
    <cfRule type="cellIs" dxfId="64" priority="37" stopIfTrue="1" operator="greaterThan">
      <formula>0</formula>
    </cfRule>
  </conditionalFormatting>
  <conditionalFormatting sqref="H434">
    <cfRule type="cellIs" dxfId="63" priority="36" operator="equal">
      <formula>"NO"</formula>
    </cfRule>
  </conditionalFormatting>
  <conditionalFormatting sqref="H434">
    <cfRule type="containsBlanks" dxfId="62" priority="35">
      <formula>LEN(TRIM(H434))=0</formula>
    </cfRule>
  </conditionalFormatting>
  <conditionalFormatting sqref="H434">
    <cfRule type="cellIs" dxfId="61" priority="34" stopIfTrue="1" operator="lessThan">
      <formula>0</formula>
    </cfRule>
  </conditionalFormatting>
  <conditionalFormatting sqref="H434">
    <cfRule type="cellIs" dxfId="60" priority="33" operator="equal">
      <formula>"NO"</formula>
    </cfRule>
  </conditionalFormatting>
  <conditionalFormatting sqref="H449">
    <cfRule type="cellIs" dxfId="59" priority="27" stopIfTrue="1" operator="greaterThan">
      <formula>0</formula>
    </cfRule>
  </conditionalFormatting>
  <conditionalFormatting sqref="H450">
    <cfRule type="cellIs" dxfId="58" priority="32" stopIfTrue="1" operator="greaterThan">
      <formula>0</formula>
    </cfRule>
  </conditionalFormatting>
  <conditionalFormatting sqref="H450">
    <cfRule type="cellIs" dxfId="57" priority="31" operator="equal">
      <formula>"NO"</formula>
    </cfRule>
  </conditionalFormatting>
  <conditionalFormatting sqref="H450">
    <cfRule type="containsBlanks" dxfId="56" priority="30">
      <formula>LEN(TRIM(H450))=0</formula>
    </cfRule>
  </conditionalFormatting>
  <conditionalFormatting sqref="H450">
    <cfRule type="cellIs" dxfId="55" priority="29" stopIfTrue="1" operator="lessThan">
      <formula>0</formula>
    </cfRule>
  </conditionalFormatting>
  <conditionalFormatting sqref="H450">
    <cfRule type="cellIs" dxfId="54" priority="28" operator="equal">
      <formula>"NO"</formula>
    </cfRule>
  </conditionalFormatting>
  <conditionalFormatting sqref="H449">
    <cfRule type="cellIs" dxfId="53" priority="26" operator="equal">
      <formula>"NO"</formula>
    </cfRule>
  </conditionalFormatting>
  <conditionalFormatting sqref="H449">
    <cfRule type="containsBlanks" dxfId="52" priority="25">
      <formula>LEN(TRIM(H449))=0</formula>
    </cfRule>
  </conditionalFormatting>
  <conditionalFormatting sqref="H449">
    <cfRule type="cellIs" dxfId="51" priority="24" stopIfTrue="1" operator="lessThan">
      <formula>0</formula>
    </cfRule>
  </conditionalFormatting>
  <conditionalFormatting sqref="H449">
    <cfRule type="cellIs" dxfId="50" priority="23" operator="equal">
      <formula>"NO"</formula>
    </cfRule>
  </conditionalFormatting>
  <conditionalFormatting sqref="H465">
    <cfRule type="cellIs" dxfId="49" priority="22" stopIfTrue="1" operator="greaterThan">
      <formula>0</formula>
    </cfRule>
  </conditionalFormatting>
  <conditionalFormatting sqref="H465">
    <cfRule type="cellIs" dxfId="48" priority="21" operator="equal">
      <formula>"NO"</formula>
    </cfRule>
  </conditionalFormatting>
  <conditionalFormatting sqref="H465">
    <cfRule type="containsBlanks" dxfId="47" priority="20">
      <formula>LEN(TRIM(H465))=0</formula>
    </cfRule>
  </conditionalFormatting>
  <conditionalFormatting sqref="H465">
    <cfRule type="cellIs" dxfId="46" priority="19" stopIfTrue="1" operator="lessThan">
      <formula>0</formula>
    </cfRule>
  </conditionalFormatting>
  <conditionalFormatting sqref="H465">
    <cfRule type="cellIs" dxfId="45" priority="18" operator="equal">
      <formula>"NO"</formula>
    </cfRule>
  </conditionalFormatting>
  <conditionalFormatting sqref="H464">
    <cfRule type="cellIs" dxfId="44" priority="17" stopIfTrue="1" operator="greaterThan">
      <formula>0</formula>
    </cfRule>
  </conditionalFormatting>
  <conditionalFormatting sqref="H464">
    <cfRule type="cellIs" dxfId="43" priority="16" operator="equal">
      <formula>"NO"</formula>
    </cfRule>
  </conditionalFormatting>
  <conditionalFormatting sqref="H464">
    <cfRule type="containsBlanks" dxfId="42" priority="15">
      <formula>LEN(TRIM(H464))=0</formula>
    </cfRule>
  </conditionalFormatting>
  <conditionalFormatting sqref="H464">
    <cfRule type="cellIs" dxfId="41" priority="14" stopIfTrue="1" operator="lessThan">
      <formula>0</formula>
    </cfRule>
  </conditionalFormatting>
  <conditionalFormatting sqref="H464">
    <cfRule type="cellIs" dxfId="40" priority="13" operator="equal">
      <formula>"NO"</formula>
    </cfRule>
  </conditionalFormatting>
  <conditionalFormatting sqref="H479">
    <cfRule type="cellIs" dxfId="39" priority="7" stopIfTrue="1" operator="greaterThan">
      <formula>0</formula>
    </cfRule>
  </conditionalFormatting>
  <conditionalFormatting sqref="H480">
    <cfRule type="cellIs" dxfId="38" priority="12" stopIfTrue="1" operator="greaterThan">
      <formula>0</formula>
    </cfRule>
  </conditionalFormatting>
  <conditionalFormatting sqref="H480">
    <cfRule type="cellIs" dxfId="37" priority="11" operator="equal">
      <formula>"NO"</formula>
    </cfRule>
  </conditionalFormatting>
  <conditionalFormatting sqref="H480">
    <cfRule type="containsBlanks" dxfId="36" priority="10">
      <formula>LEN(TRIM(H480))=0</formula>
    </cfRule>
  </conditionalFormatting>
  <conditionalFormatting sqref="H480">
    <cfRule type="cellIs" dxfId="35" priority="9" stopIfTrue="1" operator="lessThan">
      <formula>0</formula>
    </cfRule>
  </conditionalFormatting>
  <conditionalFormatting sqref="H480">
    <cfRule type="cellIs" dxfId="34" priority="8" operator="equal">
      <formula>"NO"</formula>
    </cfRule>
  </conditionalFormatting>
  <conditionalFormatting sqref="H479">
    <cfRule type="cellIs" dxfId="33" priority="6" operator="equal">
      <formula>"NO"</formula>
    </cfRule>
  </conditionalFormatting>
  <conditionalFormatting sqref="H479">
    <cfRule type="containsBlanks" dxfId="32" priority="5">
      <formula>LEN(TRIM(H479))=0</formula>
    </cfRule>
  </conditionalFormatting>
  <conditionalFormatting sqref="H479">
    <cfRule type="cellIs" dxfId="31" priority="4" stopIfTrue="1" operator="lessThan">
      <formula>0</formula>
    </cfRule>
  </conditionalFormatting>
  <conditionalFormatting sqref="H479">
    <cfRule type="cellIs" dxfId="30" priority="3" operator="equal">
      <formula>"NO"</formula>
    </cfRule>
  </conditionalFormatting>
  <conditionalFormatting sqref="I490">
    <cfRule type="cellIs" dxfId="29" priority="2" stopIfTrue="1" operator="greaterThan">
      <formula>0</formula>
    </cfRule>
  </conditionalFormatting>
  <conditionalFormatting sqref="I491">
    <cfRule type="cellIs" dxfId="28" priority="1" stopIfTrue="1" operator="greaterThan">
      <formula>0</formula>
    </cfRule>
  </conditionalFormatting>
  <dataValidations count="1">
    <dataValidation type="list" allowBlank="1" showInputMessage="1" showErrorMessage="1" sqref="F10:F13 F25:F28 F40:F43 F55:F58 F70:F73 F85:F88 F100:F103 F115:F118 F130:F133 F145:F148 F160:F163 F175:F178 F190:F193 F205:F208 F220:F223 F235:F238 F250:F253 F265:F268 F280:F283 F295:F298 F310:F313 F325:F328 F340:F343 F355:F358 F370:F373 F385:F388 F400:F403 F415:F418 F430:F433 F445:F448 F460:F463 F475:F478 F490:F493 F505:F508 F520:F523 F535:F538 F550:F553 F565:F568 F580:F583 F595:F598 F610:F613 F625:F628 F640:F643 F655:F658 F670:F673 F685:F688 F700:F703 F715:F718 F730:F733 F745:F748 F760:F763 F775:F778 F790:F793 F805:F808 F820:F823" xr:uid="{2B9E7B56-A8B3-4FEA-9F85-1C8A5026FEED}">
      <formula1>"Coodinador,Director,Residente,Supervisor en entidades estatales,Otro"</formula1>
    </dataValidation>
  </dataValidations>
  <hyperlinks>
    <hyperlink ref="A1:B2" location="Indice!A1" display="Volver al Indice" xr:uid="{39032B59-730E-45B5-B0BB-40473A76B8E3}"/>
  </hyperlinks>
  <printOptions horizontalCentered="1"/>
  <pageMargins left="0.31496062992125984" right="0.31496062992125984" top="0.78740157480314965" bottom="0.43307086614173229" header="0.27559055118110237" footer="0.27559055118110237"/>
  <pageSetup paperSize="3" scale="43" fitToHeight="60" orientation="landscape" horizontalDpi="300" verticalDpi="300" r:id="rId1"/>
  <headerFooter scaleWithDoc="0" alignWithMargins="0">
    <oddHeader>&amp;C&amp;"Arial,Negrita"&amp;16DEPARTAMENTO DE ANTIOQUIA
&amp;12SECRETARÍA DE INFRAESTRUCTURA FISICA</oddHeader>
    <oddFooter>&amp;C&amp;9Página &amp;P de &amp;N</oddFooter>
  </headerFooter>
  <rowBreaks count="1" manualBreakCount="1">
    <brk id="777" max="11" man="1"/>
  </rowBreak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E29D0-20A9-4892-8B32-F77B63CEECE6}">
  <sheetPr codeName="Hoja17">
    <tabColor rgb="FF0070C0"/>
  </sheetPr>
  <dimension ref="A1:AA69"/>
  <sheetViews>
    <sheetView showGridLines="0" tabSelected="1" view="pageBreakPreview" zoomScale="90" zoomScaleNormal="100" zoomScaleSheetLayoutView="90" workbookViewId="0">
      <selection activeCell="B2" sqref="B2:L2"/>
    </sheetView>
  </sheetViews>
  <sheetFormatPr baseColWidth="10" defaultColWidth="11.42578125" defaultRowHeight="14.25" x14ac:dyDescent="0.2"/>
  <cols>
    <col min="1" max="1" width="7.85546875" style="262" customWidth="1"/>
    <col min="2" max="2" width="70" style="262" customWidth="1"/>
    <col min="3" max="3" width="21.28515625" style="262" customWidth="1"/>
    <col min="4" max="4" width="19.85546875" style="262" customWidth="1"/>
    <col min="5" max="5" width="19.140625" style="262" customWidth="1"/>
    <col min="6" max="6" width="19.28515625" style="262" customWidth="1"/>
    <col min="7" max="7" width="19" style="262" customWidth="1"/>
    <col min="8" max="8" width="18.5703125" style="262" customWidth="1"/>
    <col min="9" max="9" width="21.140625" style="262" customWidth="1"/>
    <col min="10" max="10" width="18.5703125" style="262" customWidth="1"/>
    <col min="11" max="11" width="19.42578125" style="262" customWidth="1"/>
    <col min="12" max="12" width="16" style="262" customWidth="1"/>
    <col min="13" max="13" width="14.5703125" style="259" hidden="1" customWidth="1"/>
    <col min="14" max="14" width="7" style="259" hidden="1" customWidth="1"/>
    <col min="15" max="15" width="13" style="259" hidden="1" customWidth="1"/>
    <col min="16" max="16" width="20.28515625" style="261" hidden="1" customWidth="1"/>
    <col min="17" max="17" width="0" style="261" hidden="1" customWidth="1"/>
    <col min="18" max="18" width="6.5703125" style="259" hidden="1" customWidth="1"/>
    <col min="19" max="19" width="13.140625" style="259" hidden="1" customWidth="1"/>
    <col min="20" max="20" width="22" style="259" hidden="1" customWidth="1"/>
    <col min="21" max="22" width="16.5703125" style="259" hidden="1" customWidth="1"/>
    <col min="23" max="23" width="12.85546875" style="259" hidden="1" customWidth="1"/>
    <col min="24" max="26" width="0" style="259" hidden="1" customWidth="1"/>
    <col min="27" max="27" width="0" style="262" hidden="1" customWidth="1"/>
    <col min="28" max="16384" width="11.42578125" style="262"/>
  </cols>
  <sheetData>
    <row r="1" spans="1:27" ht="15.75" customHeight="1" x14ac:dyDescent="0.2">
      <c r="A1" s="503" t="s">
        <v>0</v>
      </c>
      <c r="B1" s="505" t="s">
        <v>882</v>
      </c>
      <c r="C1" s="505"/>
      <c r="D1" s="505"/>
      <c r="E1" s="505"/>
      <c r="F1" s="505"/>
      <c r="G1" s="505"/>
      <c r="H1" s="505"/>
      <c r="I1" s="505"/>
      <c r="J1" s="505"/>
      <c r="K1" s="505"/>
      <c r="L1" s="505"/>
      <c r="P1" s="260"/>
    </row>
    <row r="2" spans="1:27" ht="48.75" customHeight="1" thickBot="1" x14ac:dyDescent="0.25">
      <c r="A2" s="504"/>
      <c r="B2" s="506" t="s">
        <v>883</v>
      </c>
      <c r="C2" s="506"/>
      <c r="D2" s="506"/>
      <c r="E2" s="506"/>
      <c r="F2" s="506"/>
      <c r="G2" s="506"/>
      <c r="H2" s="506"/>
      <c r="I2" s="506"/>
      <c r="J2" s="506"/>
      <c r="K2" s="506"/>
      <c r="L2" s="506"/>
    </row>
    <row r="3" spans="1:27" ht="15" x14ac:dyDescent="0.2">
      <c r="A3" s="263"/>
      <c r="B3" s="264" t="s">
        <v>851</v>
      </c>
      <c r="C3" s="265">
        <f>+'EXP ESPECIFICA PROPONENTE'!$G$4</f>
        <v>784601462</v>
      </c>
      <c r="D3" s="266"/>
      <c r="G3" s="267"/>
      <c r="H3" s="267"/>
      <c r="I3" s="267"/>
    </row>
    <row r="4" spans="1:27" ht="15" x14ac:dyDescent="0.2">
      <c r="A4" s="268"/>
      <c r="B4" s="269" t="s">
        <v>852</v>
      </c>
      <c r="C4" s="270">
        <f>+'EXP ESPECIFICA PROPONENTE'!H4</f>
        <v>893.82408353582753</v>
      </c>
      <c r="D4" s="271"/>
      <c r="G4" s="267"/>
      <c r="H4" s="267"/>
      <c r="I4" s="267"/>
    </row>
    <row r="5" spans="1:27" ht="15" x14ac:dyDescent="0.2">
      <c r="A5" s="268"/>
      <c r="B5" s="269" t="s">
        <v>853</v>
      </c>
      <c r="C5" s="272">
        <v>3651.93</v>
      </c>
      <c r="D5" s="273" t="s">
        <v>854</v>
      </c>
      <c r="G5" s="267"/>
      <c r="H5" s="267"/>
      <c r="I5" s="267"/>
    </row>
    <row r="6" spans="1:27" ht="15" x14ac:dyDescent="0.2">
      <c r="A6" s="268"/>
      <c r="B6" s="269" t="s">
        <v>855</v>
      </c>
      <c r="C6" s="274">
        <f>C5-TRUNC(C5)</f>
        <v>0.92999999999983629</v>
      </c>
      <c r="D6" s="275"/>
      <c r="G6" s="267"/>
      <c r="H6" s="267"/>
      <c r="I6" s="267"/>
    </row>
    <row r="7" spans="1:27" ht="15" x14ac:dyDescent="0.2">
      <c r="A7" s="268"/>
      <c r="B7" s="276" t="s">
        <v>856</v>
      </c>
      <c r="C7" s="277">
        <f>IF(C5="","",IF((C5-TRUNC(C5))&lt;0.34,80%,IF((C5-TRUNC(C5))&gt;0.66,0.9,0.85)))</f>
        <v>0.9</v>
      </c>
      <c r="D7" s="278"/>
      <c r="G7" s="267"/>
      <c r="H7" s="267"/>
      <c r="I7" s="267"/>
    </row>
    <row r="8" spans="1:27" ht="15" x14ac:dyDescent="0.2">
      <c r="A8" s="268"/>
      <c r="B8" s="276" t="s">
        <v>857</v>
      </c>
      <c r="C8" s="279">
        <f>IF('EXP ESPECIFICA PROPONENTE'!H7="","",ROUND('EXP ESPECIFICA PROPONENTE'!H7,3))</f>
        <v>148.971</v>
      </c>
      <c r="D8" s="280"/>
    </row>
    <row r="9" spans="1:27" ht="15" x14ac:dyDescent="0.2">
      <c r="A9" s="268"/>
      <c r="B9" s="276" t="s">
        <v>858</v>
      </c>
      <c r="C9" s="281">
        <f>IF(OR(C7="",C8="",MAX(E15:E69)=0,ISERROR(MAX(E15:E69))),"",ROUND(C8*C7,3))</f>
        <v>134.07400000000001</v>
      </c>
      <c r="D9" s="271"/>
      <c r="G9" s="267"/>
      <c r="H9" s="267"/>
      <c r="I9" s="267"/>
    </row>
    <row r="10" spans="1:27" ht="39.75" customHeight="1" x14ac:dyDescent="0.2">
      <c r="A10" s="268"/>
      <c r="B10" s="282" t="s">
        <v>859</v>
      </c>
      <c r="C10" s="283" t="s">
        <v>860</v>
      </c>
      <c r="D10" s="284"/>
      <c r="G10" s="267"/>
      <c r="H10" s="267"/>
      <c r="I10" s="267"/>
    </row>
    <row r="11" spans="1:27" ht="15" x14ac:dyDescent="0.2">
      <c r="A11" s="285">
        <v>58.698999999999998</v>
      </c>
      <c r="B11" s="286">
        <f>IF(OR(C11=""),"",INDEX($E$14:$E$69,MATCH(C11,$F$14:$F$69,0)))</f>
        <v>134.005</v>
      </c>
      <c r="C11" s="287">
        <f>IF(C9="","",MIN(F15:F69))</f>
        <v>6.9000000000016826E-2</v>
      </c>
      <c r="D11" s="271"/>
      <c r="G11" s="267"/>
      <c r="H11" s="267"/>
      <c r="I11" s="267"/>
    </row>
    <row r="12" spans="1:27" ht="15.75" thickBot="1" x14ac:dyDescent="0.25">
      <c r="A12" s="288"/>
      <c r="B12" s="289" t="s">
        <v>861</v>
      </c>
      <c r="C12" s="290">
        <f>IF(C9="","",MAX(F15:F69))</f>
        <v>70.762000000000015</v>
      </c>
      <c r="D12" s="271"/>
      <c r="F12" s="291"/>
      <c r="G12" s="292"/>
      <c r="H12" s="292"/>
      <c r="I12" s="292"/>
      <c r="J12" s="291"/>
      <c r="K12" s="291"/>
    </row>
    <row r="13" spans="1:27" ht="15.75" thickBot="1" x14ac:dyDescent="0.25">
      <c r="B13" s="293"/>
      <c r="C13" s="293"/>
      <c r="D13" s="293"/>
      <c r="E13" s="271"/>
      <c r="F13" s="291"/>
      <c r="G13" s="292"/>
      <c r="H13" s="292"/>
      <c r="I13" s="292"/>
      <c r="J13" s="291"/>
      <c r="K13" s="291"/>
    </row>
    <row r="14" spans="1:27" ht="110.25" customHeight="1" thickBot="1" x14ac:dyDescent="0.25">
      <c r="A14" s="294" t="s">
        <v>862</v>
      </c>
      <c r="B14" s="295" t="s">
        <v>863</v>
      </c>
      <c r="C14" s="296" t="s">
        <v>864</v>
      </c>
      <c r="D14" s="296" t="s">
        <v>865</v>
      </c>
      <c r="E14" s="297" t="s">
        <v>866</v>
      </c>
      <c r="F14" s="296" t="s">
        <v>867</v>
      </c>
      <c r="G14" s="298" t="s">
        <v>868</v>
      </c>
      <c r="H14" s="298" t="s">
        <v>869</v>
      </c>
      <c r="I14" s="298" t="s">
        <v>870</v>
      </c>
      <c r="J14" s="298" t="s">
        <v>871</v>
      </c>
      <c r="K14" s="299" t="s">
        <v>872</v>
      </c>
      <c r="L14" s="300" t="s">
        <v>873</v>
      </c>
      <c r="M14" s="301" t="s">
        <v>874</v>
      </c>
      <c r="N14" s="301"/>
      <c r="O14" s="301" t="s">
        <v>875</v>
      </c>
      <c r="P14" s="301" t="s">
        <v>876</v>
      </c>
      <c r="Q14" s="301" t="s">
        <v>862</v>
      </c>
      <c r="S14" s="301" t="s">
        <v>877</v>
      </c>
      <c r="T14" s="302" t="s">
        <v>878</v>
      </c>
      <c r="U14" s="302" t="s">
        <v>879</v>
      </c>
      <c r="V14" s="302" t="s">
        <v>880</v>
      </c>
      <c r="W14" s="302" t="s">
        <v>881</v>
      </c>
      <c r="X14" s="302"/>
    </row>
    <row r="15" spans="1:27" ht="25.5" customHeight="1" x14ac:dyDescent="0.2">
      <c r="A15" s="303">
        <v>1</v>
      </c>
      <c r="B15" s="304" t="s">
        <v>884</v>
      </c>
      <c r="C15" s="305" t="str">
        <f>IF($B15="","",IFERROR(VLOOKUP($A15,'EXP HABILITANTE'!$A:$I,9,0),""))</f>
        <v>HÁBIL</v>
      </c>
      <c r="D15" s="305" t="s">
        <v>963</v>
      </c>
      <c r="E15" s="305">
        <v>63.311999999999998</v>
      </c>
      <c r="F15" s="306">
        <f>IFERROR(IF(E15="","",ABS($C$9-E15)),"")</f>
        <v>70.762000000000015</v>
      </c>
      <c r="G15" s="307">
        <v>325.99700000000001</v>
      </c>
      <c r="H15" s="307" t="str">
        <f>IF(D15&lt;&gt;"HÁBIL","",IF(IFERROR(IF(AND($T15="SI",$V15="SI"),W15+X15,0),"Verificar")=0,"",IFERROR(IF(AND($T15="SI",$V15="SI"),W15,0),"Verificar")))</f>
        <v/>
      </c>
      <c r="I15" s="308">
        <f>IF(SUM(G15:H15)=0,"",SUM(G15:H15))</f>
        <v>325.99700000000001</v>
      </c>
      <c r="J15" s="308">
        <v>100</v>
      </c>
      <c r="K15" s="308">
        <v>10</v>
      </c>
      <c r="L15" s="309">
        <f t="shared" ref="L15:L69" si="0">IF(OR($C$5="",SUM(I15:K15)=0),"",SUM(I15:K15))</f>
        <v>435.99700000000001</v>
      </c>
      <c r="M15" s="310" t="str">
        <f t="shared" ref="M15:M20" si="1">IF(OR(SUM(G15:H15)&lt;700,D15&lt;&gt;"HÁBIL"),"NO ELEGIBLE",L15)</f>
        <v>NO ELEGIBLE</v>
      </c>
      <c r="N15" s="310">
        <f t="shared" ref="N15:N69" si="2">+A15/100000</f>
        <v>1.0000000000000001E-5</v>
      </c>
      <c r="O15" s="311">
        <f>+IF(OR(ISTEXT(M15),M15=""),0-N15,M15-N15)</f>
        <v>-1.0000000000000001E-5</v>
      </c>
      <c r="P15" s="312">
        <f>+RANK(O15,$O$15:$O$69,0)</f>
        <v>21</v>
      </c>
      <c r="Q15" s="313">
        <f t="shared" ref="Q15:Q69" si="3">+A15</f>
        <v>1</v>
      </c>
      <c r="S15" s="259">
        <f>IF(VLOOKUP(A15,'EXP DIRECTOR'!$A$6:$L$1269,12,0)="","",ROUND(VLOOKUP(A15,'EXP DIRECTOR'!$A$6:$L$1269,12,0),2))</f>
        <v>36</v>
      </c>
      <c r="T15" s="312" t="str">
        <f>IFERROR(VLOOKUP("E"&amp;A15,'EXP DIRECTOR'!$A$6:$L$1269,8,0),"")</f>
        <v>NO</v>
      </c>
      <c r="U15" s="314" t="s">
        <v>890</v>
      </c>
      <c r="V15" s="314" t="str">
        <f>IF(OR(C15="EXCLUÍDO",C15="RECHAZADO"),"NO",IF(OR(U15="SI",U15="NA"),"SI",""))</f>
        <v>SI</v>
      </c>
      <c r="W15" s="312">
        <f>IFERROR(IF(VLOOKUP("D"&amp;A15,'EXP DIRECTOR'!$A$6:$L$1269,8,0)="SI",200,0),0)</f>
        <v>200</v>
      </c>
      <c r="X15" s="312"/>
      <c r="Y15" s="314" t="str">
        <f>IF(VLOOKUP("F"&amp;A15,'EXP DIRECTOR'!$A$6:$L$1269,8,0)="SI","SI","NA")</f>
        <v>NA</v>
      </c>
      <c r="AA15" s="315" t="str">
        <f t="shared" ref="AA15:AA69" si="4">IF(L15="","",CONCATENATE(P15,".",Q15))</f>
        <v>21.1</v>
      </c>
    </row>
    <row r="16" spans="1:27" ht="25.5" customHeight="1" x14ac:dyDescent="0.2">
      <c r="A16" s="316">
        <v>2</v>
      </c>
      <c r="B16" s="304" t="s">
        <v>886</v>
      </c>
      <c r="C16" s="305" t="str">
        <f>IF($B16="","",IFERROR(VLOOKUP($A16,'EXP HABILITANTE'!$A:$I,9,0),""))</f>
        <v>HÁBIL</v>
      </c>
      <c r="D16" s="305" t="s">
        <v>964</v>
      </c>
      <c r="E16" s="305" t="s">
        <v>932</v>
      </c>
      <c r="F16" s="306" t="str">
        <f>IFERROR(IF(E16="","",ABS($C$9-E16)),"")</f>
        <v/>
      </c>
      <c r="G16" s="307" t="s">
        <v>932</v>
      </c>
      <c r="H16" s="307" t="str">
        <f t="shared" ref="H16:H69" si="5">IF(D16&lt;&gt;"HÁBIL","",IF(IFERROR(IF(AND($T16="SI",$V16="SI"),W16+X16,0),"Verificar")=0,"",IFERROR(IF(AND($T16="SI",$V16="SI"),W16,0),"Verificar")))</f>
        <v/>
      </c>
      <c r="I16" s="308" t="str">
        <f>IF(SUM(G16:H16)=0,"",SUM(G16:H16))</f>
        <v/>
      </c>
      <c r="J16" s="308"/>
      <c r="K16" s="308" t="s">
        <v>932</v>
      </c>
      <c r="L16" s="309" t="str">
        <f t="shared" si="0"/>
        <v/>
      </c>
      <c r="M16" s="310" t="str">
        <f t="shared" si="1"/>
        <v>NO ELEGIBLE</v>
      </c>
      <c r="N16" s="310">
        <f t="shared" si="2"/>
        <v>2.0000000000000002E-5</v>
      </c>
      <c r="O16" s="311">
        <f t="shared" ref="O16:O69" si="6">+IF(OR(ISTEXT(M16),M16=""),0-N16,M16-N16)</f>
        <v>-2.0000000000000002E-5</v>
      </c>
      <c r="P16" s="312">
        <f t="shared" ref="P16:P69" si="7">+RANK(O16,$O$15:$O$69,0)</f>
        <v>22</v>
      </c>
      <c r="Q16" s="313">
        <f t="shared" si="3"/>
        <v>2</v>
      </c>
      <c r="S16" s="259">
        <f>IF(VLOOKUP(A16,'EXP DIRECTOR'!$A$6:$L$1269,12,0)="","",ROUND(VLOOKUP(A16,'EXP DIRECTOR'!$A$6:$L$1269,12,0),2))</f>
        <v>33</v>
      </c>
      <c r="T16" s="312" t="str">
        <f>IFERROR(VLOOKUP("E"&amp;A16,'EXP DIRECTOR'!$A$6:$L$1269,8,0),"")</f>
        <v>SI</v>
      </c>
      <c r="U16" s="314" t="s">
        <v>890</v>
      </c>
      <c r="V16" s="314" t="str">
        <f t="shared" ref="V16:V69" si="8">IF(OR(C16="EXCLUÍDO",C16="RECHAZADO"),"NO",IF(OR(U16="SI",U16="NA"),"SI",""))</f>
        <v>SI</v>
      </c>
      <c r="W16" s="312">
        <f>IFERROR(IF(VLOOKUP("D"&amp;A16,'EXP DIRECTOR'!$A$6:$L$1269,8,0)="SI",200,0),0)</f>
        <v>200</v>
      </c>
      <c r="X16" s="312"/>
      <c r="Y16" s="314" t="str">
        <f>IF(VLOOKUP("F"&amp;A16,'EXP DIRECTOR'!$A$6:$L$1269,8,0)="SI","SI","NA")</f>
        <v>NA</v>
      </c>
      <c r="AA16" s="315" t="str">
        <f t="shared" si="4"/>
        <v/>
      </c>
    </row>
    <row r="17" spans="1:27" ht="25.5" customHeight="1" x14ac:dyDescent="0.2">
      <c r="A17" s="316">
        <f t="shared" ref="A17:A69" si="9">1+A16</f>
        <v>3</v>
      </c>
      <c r="B17" s="304" t="s">
        <v>888</v>
      </c>
      <c r="C17" s="305" t="str">
        <f>IF($B17="","",IFERROR(VLOOKUP($A17,'EXP HABILITANTE'!$A:$I,9,0),""))</f>
        <v>HÁBIL</v>
      </c>
      <c r="D17" s="305" t="s">
        <v>963</v>
      </c>
      <c r="E17" s="305">
        <v>119.366</v>
      </c>
      <c r="F17" s="306">
        <f t="shared" ref="F17:F69" si="10">IFERROR(IF(E17="","",ABS($C$9-E17)),"")</f>
        <v>14.708000000000013</v>
      </c>
      <c r="G17" s="307">
        <v>614.62300000000005</v>
      </c>
      <c r="H17" s="307">
        <f t="shared" si="5"/>
        <v>200</v>
      </c>
      <c r="I17" s="308">
        <f t="shared" ref="I17:I69" si="11">IF(SUM(G17:H17)=0,"",SUM(G17:H17))</f>
        <v>814.62300000000005</v>
      </c>
      <c r="J17" s="308">
        <v>100</v>
      </c>
      <c r="K17" s="308">
        <v>10</v>
      </c>
      <c r="L17" s="309">
        <f t="shared" si="0"/>
        <v>924.62300000000005</v>
      </c>
      <c r="M17" s="310">
        <f t="shared" si="1"/>
        <v>924.62300000000005</v>
      </c>
      <c r="N17" s="310">
        <f t="shared" si="2"/>
        <v>3.0000000000000001E-5</v>
      </c>
      <c r="O17" s="311">
        <f t="shared" si="6"/>
        <v>924.62297000000001</v>
      </c>
      <c r="P17" s="312">
        <f t="shared" si="7"/>
        <v>12</v>
      </c>
      <c r="Q17" s="313">
        <f t="shared" si="3"/>
        <v>3</v>
      </c>
      <c r="S17" s="259">
        <f>IF(VLOOKUP(A17,'EXP DIRECTOR'!$A$6:$L$1269,12,0)="","",ROUND(VLOOKUP(A17,'EXP DIRECTOR'!$A$6:$L$1269,12,0),2))</f>
        <v>31</v>
      </c>
      <c r="T17" s="312" t="str">
        <f>IFERROR(VLOOKUP("E"&amp;A17,'EXP DIRECTOR'!$A$6:$L$1269,8,0),"")</f>
        <v>SI</v>
      </c>
      <c r="U17" s="314" t="s">
        <v>890</v>
      </c>
      <c r="V17" s="314" t="str">
        <f t="shared" si="8"/>
        <v>SI</v>
      </c>
      <c r="W17" s="312">
        <f>IFERROR(IF(VLOOKUP("D"&amp;A17,'EXP DIRECTOR'!$A$6:$L$1269,8,0)="SI",200,0),0)</f>
        <v>200</v>
      </c>
      <c r="X17" s="312"/>
      <c r="Y17" s="314" t="str">
        <f>IF(VLOOKUP("F"&amp;A17,'EXP DIRECTOR'!$A$6:$L$1269,8,0)="SI","SI","NA")</f>
        <v>NA</v>
      </c>
      <c r="AA17" s="315" t="str">
        <f t="shared" si="4"/>
        <v>12.3</v>
      </c>
    </row>
    <row r="18" spans="1:27" ht="25.5" customHeight="1" x14ac:dyDescent="0.2">
      <c r="A18" s="316">
        <f t="shared" si="9"/>
        <v>4</v>
      </c>
      <c r="B18" s="304" t="s">
        <v>29</v>
      </c>
      <c r="C18" s="305" t="str">
        <f>IF($B18="","",IFERROR(VLOOKUP($A18,'EXP HABILITANTE'!$A:$I,9,0),""))</f>
        <v>HÁBIL</v>
      </c>
      <c r="D18" s="305" t="s">
        <v>963</v>
      </c>
      <c r="E18" s="305">
        <v>104.703</v>
      </c>
      <c r="F18" s="306">
        <f t="shared" si="10"/>
        <v>29.371000000000009</v>
      </c>
      <c r="G18" s="307">
        <v>539.12199999999996</v>
      </c>
      <c r="H18" s="307">
        <f t="shared" si="5"/>
        <v>200</v>
      </c>
      <c r="I18" s="308">
        <f t="shared" si="11"/>
        <v>739.12199999999996</v>
      </c>
      <c r="J18" s="308">
        <v>100</v>
      </c>
      <c r="K18" s="308">
        <v>10</v>
      </c>
      <c r="L18" s="309">
        <f t="shared" si="0"/>
        <v>849.12199999999996</v>
      </c>
      <c r="M18" s="310">
        <f t="shared" si="1"/>
        <v>849.12199999999996</v>
      </c>
      <c r="N18" s="310">
        <f t="shared" si="2"/>
        <v>4.0000000000000003E-5</v>
      </c>
      <c r="O18" s="311">
        <f t="shared" si="6"/>
        <v>849.12195999999994</v>
      </c>
      <c r="P18" s="312">
        <f t="shared" si="7"/>
        <v>19</v>
      </c>
      <c r="Q18" s="313">
        <f t="shared" si="3"/>
        <v>4</v>
      </c>
      <c r="S18" s="259">
        <f>IF(VLOOKUP(A18,'EXP DIRECTOR'!$A$6:$L$1269,12,0)="","",ROUND(VLOOKUP(A18,'EXP DIRECTOR'!$A$6:$L$1269,12,0),2))</f>
        <v>20</v>
      </c>
      <c r="T18" s="312" t="str">
        <f>IFERROR(VLOOKUP("E"&amp;A18,'EXP DIRECTOR'!$A$6:$L$1269,8,0),"")</f>
        <v>SI</v>
      </c>
      <c r="U18" s="314" t="s">
        <v>890</v>
      </c>
      <c r="V18" s="314" t="str">
        <f t="shared" si="8"/>
        <v>SI</v>
      </c>
      <c r="W18" s="312">
        <f>IFERROR(IF(VLOOKUP("D"&amp;A18,'EXP DIRECTOR'!$A$6:$L$1269,8,0)="SI",200,0),0)</f>
        <v>200</v>
      </c>
      <c r="X18" s="312"/>
      <c r="Y18" s="314" t="str">
        <f>IF(VLOOKUP("F"&amp;A18,'EXP DIRECTOR'!$A$6:$L$1269,8,0)="SI","SI","NA")</f>
        <v>NA</v>
      </c>
      <c r="AA18" s="315" t="str">
        <f t="shared" si="4"/>
        <v>19.4</v>
      </c>
    </row>
    <row r="19" spans="1:27" ht="25.5" customHeight="1" x14ac:dyDescent="0.2">
      <c r="A19" s="316">
        <f t="shared" si="9"/>
        <v>5</v>
      </c>
      <c r="B19" s="304" t="s">
        <v>891</v>
      </c>
      <c r="C19" s="305" t="str">
        <f>IF($B19="","",IFERROR(VLOOKUP($A19,'EXP HABILITANTE'!$A:$I,9,0),""))</f>
        <v>HÁBIL</v>
      </c>
      <c r="D19" s="305" t="s">
        <v>963</v>
      </c>
      <c r="E19" s="305">
        <v>127.56699999999999</v>
      </c>
      <c r="F19" s="306">
        <f t="shared" si="10"/>
        <v>6.5070000000000192</v>
      </c>
      <c r="G19" s="307">
        <v>656.85</v>
      </c>
      <c r="H19" s="307">
        <f t="shared" si="5"/>
        <v>200</v>
      </c>
      <c r="I19" s="308">
        <f t="shared" si="11"/>
        <v>856.85</v>
      </c>
      <c r="J19" s="308">
        <v>100</v>
      </c>
      <c r="K19" s="308">
        <v>10</v>
      </c>
      <c r="L19" s="309">
        <f t="shared" si="0"/>
        <v>966.85</v>
      </c>
      <c r="M19" s="310">
        <f t="shared" si="1"/>
        <v>966.85</v>
      </c>
      <c r="N19" s="310">
        <f t="shared" si="2"/>
        <v>5.0000000000000002E-5</v>
      </c>
      <c r="O19" s="311">
        <f t="shared" si="6"/>
        <v>966.84995000000004</v>
      </c>
      <c r="P19" s="312">
        <f t="shared" si="7"/>
        <v>6</v>
      </c>
      <c r="Q19" s="313">
        <f t="shared" si="3"/>
        <v>5</v>
      </c>
      <c r="S19" s="259">
        <f>IF(VLOOKUP(A19,'EXP DIRECTOR'!$A$6:$L$1269,12,0)="","",ROUND(VLOOKUP(A19,'EXP DIRECTOR'!$A$6:$L$1269,12,0),2))</f>
        <v>28</v>
      </c>
      <c r="T19" s="312" t="str">
        <f>IFERROR(VLOOKUP("E"&amp;A19,'EXP DIRECTOR'!$A$6:$L$1269,8,0),"")</f>
        <v>SI</v>
      </c>
      <c r="U19" s="314" t="s">
        <v>890</v>
      </c>
      <c r="V19" s="314" t="str">
        <f t="shared" si="8"/>
        <v>SI</v>
      </c>
      <c r="W19" s="312">
        <f>IFERROR(IF(VLOOKUP("D"&amp;A19,'EXP DIRECTOR'!$A$6:$L$1269,8,0)="SI",200,0),0)</f>
        <v>200</v>
      </c>
      <c r="X19" s="312"/>
      <c r="Y19" s="314" t="str">
        <f>IF(VLOOKUP("F"&amp;A19,'EXP DIRECTOR'!$A$6:$L$1269,8,0)="SI","SI","NA")</f>
        <v>NA</v>
      </c>
      <c r="AA19" s="315" t="str">
        <f t="shared" si="4"/>
        <v>6.5</v>
      </c>
    </row>
    <row r="20" spans="1:27" ht="25.5" customHeight="1" x14ac:dyDescent="0.2">
      <c r="A20" s="316">
        <f t="shared" si="9"/>
        <v>6</v>
      </c>
      <c r="B20" s="304" t="s">
        <v>38</v>
      </c>
      <c r="C20" s="305" t="str">
        <f>IF($B20="","",IFERROR(VLOOKUP($A20,'EXP HABILITANTE'!$A:$I,9,0),""))</f>
        <v>HÁBIL</v>
      </c>
      <c r="D20" s="305" t="s">
        <v>963</v>
      </c>
      <c r="E20" s="305">
        <v>134.005</v>
      </c>
      <c r="F20" s="306">
        <f t="shared" si="10"/>
        <v>6.9000000000016826E-2</v>
      </c>
      <c r="G20" s="307">
        <v>690</v>
      </c>
      <c r="H20" s="307">
        <f t="shared" si="5"/>
        <v>200</v>
      </c>
      <c r="I20" s="308">
        <f t="shared" si="11"/>
        <v>890</v>
      </c>
      <c r="J20" s="308">
        <v>100</v>
      </c>
      <c r="K20" s="308">
        <v>10</v>
      </c>
      <c r="L20" s="309">
        <f t="shared" si="0"/>
        <v>1000</v>
      </c>
      <c r="M20" s="310">
        <f t="shared" si="1"/>
        <v>1000</v>
      </c>
      <c r="N20" s="310">
        <f t="shared" si="2"/>
        <v>6.0000000000000002E-5</v>
      </c>
      <c r="O20" s="311">
        <f t="shared" si="6"/>
        <v>999.99994000000004</v>
      </c>
      <c r="P20" s="312">
        <f t="shared" si="7"/>
        <v>1</v>
      </c>
      <c r="Q20" s="313">
        <f t="shared" si="3"/>
        <v>6</v>
      </c>
      <c r="S20" s="259">
        <f>IF(VLOOKUP(A20,'EXP DIRECTOR'!$A$6:$L$1269,12,0)="","",ROUND(VLOOKUP(A20,'EXP DIRECTOR'!$A$6:$L$1269,12,0),2))</f>
        <v>10</v>
      </c>
      <c r="T20" s="312" t="str">
        <f>IFERROR(VLOOKUP("E"&amp;A20,'EXP DIRECTOR'!$A$6:$L$1269,8,0),"")</f>
        <v>SI</v>
      </c>
      <c r="U20" s="314" t="s">
        <v>890</v>
      </c>
      <c r="V20" s="314" t="str">
        <f t="shared" si="8"/>
        <v>SI</v>
      </c>
      <c r="W20" s="312">
        <f>IFERROR(IF(VLOOKUP("D"&amp;A20,'EXP DIRECTOR'!$A$6:$L$1269,8,0)="SI",200,0),0)</f>
        <v>200</v>
      </c>
      <c r="X20" s="312"/>
      <c r="Y20" s="314" t="str">
        <f>IF(VLOOKUP("F"&amp;A20,'EXP DIRECTOR'!$A$6:$L$1269,8,0)="SI","SI","NA")</f>
        <v>NA</v>
      </c>
      <c r="AA20" s="315" t="str">
        <f t="shared" si="4"/>
        <v>1.6</v>
      </c>
    </row>
    <row r="21" spans="1:27" ht="25.5" customHeight="1" x14ac:dyDescent="0.2">
      <c r="A21" s="316">
        <f t="shared" si="9"/>
        <v>7</v>
      </c>
      <c r="B21" s="304" t="s">
        <v>42</v>
      </c>
      <c r="C21" s="305" t="str">
        <f>IF($B21="","",IFERROR(VLOOKUP($A21,'EXP HABILITANTE'!$A:$I,9,0),""))</f>
        <v>HÁBIL</v>
      </c>
      <c r="D21" s="305" t="s">
        <v>963</v>
      </c>
      <c r="E21" s="305">
        <v>120.21299999999999</v>
      </c>
      <c r="F21" s="306">
        <f t="shared" si="10"/>
        <v>13.861000000000018</v>
      </c>
      <c r="G21" s="307">
        <v>618.98400000000004</v>
      </c>
      <c r="H21" s="307" t="str">
        <f t="shared" si="5"/>
        <v/>
      </c>
      <c r="I21" s="308">
        <f t="shared" si="11"/>
        <v>618.98400000000004</v>
      </c>
      <c r="J21" s="308">
        <v>100</v>
      </c>
      <c r="K21" s="308">
        <v>10</v>
      </c>
      <c r="L21" s="309">
        <f t="shared" si="0"/>
        <v>728.98400000000004</v>
      </c>
      <c r="M21" s="310" t="str">
        <f t="shared" ref="M21:M69" si="12">IF(OR(SUM(G21:H21)&lt;700,D21&lt;&gt;"HÁBIL"),"NO ELEGIBLE",L21)</f>
        <v>NO ELEGIBLE</v>
      </c>
      <c r="N21" s="310">
        <f t="shared" si="2"/>
        <v>6.9999999999999994E-5</v>
      </c>
      <c r="O21" s="311">
        <f t="shared" si="6"/>
        <v>-6.9999999999999994E-5</v>
      </c>
      <c r="P21" s="312">
        <f t="shared" si="7"/>
        <v>23</v>
      </c>
      <c r="Q21" s="313">
        <f t="shared" si="3"/>
        <v>7</v>
      </c>
      <c r="S21" s="259">
        <f>IF(VLOOKUP(A21,'EXP DIRECTOR'!$A$6:$L$1269,12,0)="","",ROUND(VLOOKUP(A21,'EXP DIRECTOR'!$A$6:$L$1269,12,0),2))</f>
        <v>19</v>
      </c>
      <c r="T21" s="312" t="str">
        <f>IFERROR(VLOOKUP("E"&amp;A21,'EXP DIRECTOR'!$A$6:$L$1269,8,0),"")</f>
        <v>NO</v>
      </c>
      <c r="U21" s="314" t="s">
        <v>890</v>
      </c>
      <c r="V21" s="314" t="str">
        <f t="shared" si="8"/>
        <v>SI</v>
      </c>
      <c r="W21" s="312">
        <f>IFERROR(IF(VLOOKUP("D"&amp;A21,'EXP DIRECTOR'!$A$6:$L$1269,8,0)="SI",200,0),0)</f>
        <v>200</v>
      </c>
      <c r="X21" s="312"/>
      <c r="Y21" s="314" t="str">
        <f>IF(VLOOKUP("F"&amp;A21,'EXP DIRECTOR'!$A$6:$L$1269,8,0)="SI","SI","NA")</f>
        <v>NA</v>
      </c>
      <c r="AA21" s="315" t="str">
        <f t="shared" si="4"/>
        <v>23.7</v>
      </c>
    </row>
    <row r="22" spans="1:27" ht="25.5" customHeight="1" x14ac:dyDescent="0.2">
      <c r="A22" s="316">
        <v>8</v>
      </c>
      <c r="B22" s="304" t="s">
        <v>893</v>
      </c>
      <c r="C22" s="305" t="str">
        <f>IF($B22="","",IFERROR(VLOOKUP($A22,'EXP HABILITANTE'!$A:$I,9,0),""))</f>
        <v>HÁBIL</v>
      </c>
      <c r="D22" s="305" t="s">
        <v>963</v>
      </c>
      <c r="E22" s="305">
        <v>126.623</v>
      </c>
      <c r="F22" s="306">
        <f t="shared" si="10"/>
        <v>7.4510000000000076</v>
      </c>
      <c r="G22" s="307">
        <v>651.99</v>
      </c>
      <c r="H22" s="307">
        <f t="shared" si="5"/>
        <v>200</v>
      </c>
      <c r="I22" s="308">
        <f t="shared" si="11"/>
        <v>851.99</v>
      </c>
      <c r="J22" s="308">
        <v>100</v>
      </c>
      <c r="K22" s="308">
        <v>10</v>
      </c>
      <c r="L22" s="309">
        <f t="shared" si="0"/>
        <v>961.99</v>
      </c>
      <c r="M22" s="310">
        <f t="shared" si="12"/>
        <v>961.99</v>
      </c>
      <c r="N22" s="310">
        <f t="shared" si="2"/>
        <v>8.0000000000000007E-5</v>
      </c>
      <c r="O22" s="311">
        <f t="shared" si="6"/>
        <v>961.98991999999998</v>
      </c>
      <c r="P22" s="312">
        <f t="shared" si="7"/>
        <v>8</v>
      </c>
      <c r="Q22" s="313">
        <f t="shared" si="3"/>
        <v>8</v>
      </c>
      <c r="S22" s="259">
        <f>IF(VLOOKUP(A22,'EXP DIRECTOR'!$A$6:$L$1269,12,0)="","",ROUND(VLOOKUP(A22,'EXP DIRECTOR'!$A$6:$L$1269,12,0),2))</f>
        <v>52</v>
      </c>
      <c r="T22" s="312" t="str">
        <f>IFERROR(VLOOKUP("E"&amp;A22,'EXP DIRECTOR'!$A$6:$L$1269,8,0),"")</f>
        <v>SI</v>
      </c>
      <c r="U22" s="314" t="s">
        <v>890</v>
      </c>
      <c r="V22" s="314" t="str">
        <f t="shared" si="8"/>
        <v>SI</v>
      </c>
      <c r="W22" s="312">
        <f>IFERROR(IF(VLOOKUP("D"&amp;A22,'EXP DIRECTOR'!$A$6:$L$1269,8,0)="SI",200,0),0)</f>
        <v>200</v>
      </c>
      <c r="X22" s="312"/>
      <c r="Y22" s="314" t="str">
        <f>IF(VLOOKUP("F"&amp;A22,'EXP DIRECTOR'!$A$6:$L$1269,8,0)="SI","SI","NA")</f>
        <v>NA</v>
      </c>
      <c r="AA22" s="315" t="str">
        <f t="shared" si="4"/>
        <v>8.8</v>
      </c>
    </row>
    <row r="23" spans="1:27" ht="25.5" customHeight="1" x14ac:dyDescent="0.2">
      <c r="A23" s="316">
        <f t="shared" si="9"/>
        <v>9</v>
      </c>
      <c r="B23" s="304" t="s">
        <v>895</v>
      </c>
      <c r="C23" s="305" t="str">
        <f>IF($B23="","",IFERROR(VLOOKUP($A23,'EXP HABILITANTE'!$A:$I,9,0),""))</f>
        <v>HÁBIL</v>
      </c>
      <c r="D23" s="305" t="s">
        <v>963</v>
      </c>
      <c r="E23" s="305">
        <v>99.162999999999997</v>
      </c>
      <c r="F23" s="306">
        <f t="shared" si="10"/>
        <v>34.911000000000016</v>
      </c>
      <c r="G23" s="307">
        <v>510.596</v>
      </c>
      <c r="H23" s="307">
        <f t="shared" si="5"/>
        <v>200</v>
      </c>
      <c r="I23" s="308">
        <f t="shared" si="11"/>
        <v>710.596</v>
      </c>
      <c r="J23" s="308">
        <v>100</v>
      </c>
      <c r="K23" s="308">
        <v>10</v>
      </c>
      <c r="L23" s="309">
        <f t="shared" si="0"/>
        <v>820.596</v>
      </c>
      <c r="M23" s="310">
        <f t="shared" si="12"/>
        <v>820.596</v>
      </c>
      <c r="N23" s="310">
        <f t="shared" si="2"/>
        <v>9.0000000000000006E-5</v>
      </c>
      <c r="O23" s="311">
        <f t="shared" si="6"/>
        <v>820.59591</v>
      </c>
      <c r="P23" s="312">
        <f t="shared" si="7"/>
        <v>20</v>
      </c>
      <c r="Q23" s="313">
        <f t="shared" si="3"/>
        <v>9</v>
      </c>
      <c r="S23" s="259">
        <f>IF(VLOOKUP(A23,'EXP DIRECTOR'!$A$6:$L$1269,12,0)="","",ROUND(VLOOKUP(A23,'EXP DIRECTOR'!$A$6:$L$1269,12,0),2))</f>
        <v>24</v>
      </c>
      <c r="T23" s="312" t="str">
        <f>IFERROR(VLOOKUP("E"&amp;A23,'EXP DIRECTOR'!$A$6:$L$1269,8,0),"")</f>
        <v>SI</v>
      </c>
      <c r="U23" s="314" t="s">
        <v>890</v>
      </c>
      <c r="V23" s="314" t="str">
        <f t="shared" si="8"/>
        <v>SI</v>
      </c>
      <c r="W23" s="312">
        <f>IFERROR(IF(VLOOKUP("D"&amp;A23,'EXP DIRECTOR'!$A$6:$L$1269,8,0)="SI",200,0),0)</f>
        <v>200</v>
      </c>
      <c r="X23" s="312"/>
      <c r="Y23" s="314" t="str">
        <f>IF(VLOOKUP("F"&amp;A23,'EXP DIRECTOR'!$A$6:$L$1269,8,0)="SI","SI","NA")</f>
        <v>NA</v>
      </c>
      <c r="Z23" s="317"/>
      <c r="AA23" s="315" t="str">
        <f t="shared" si="4"/>
        <v>20.9</v>
      </c>
    </row>
    <row r="24" spans="1:27" ht="25.5" customHeight="1" x14ac:dyDescent="0.2">
      <c r="A24" s="316">
        <f t="shared" si="9"/>
        <v>10</v>
      </c>
      <c r="B24" s="304" t="s">
        <v>897</v>
      </c>
      <c r="C24" s="305" t="str">
        <f>IF($B24="","",IFERROR(VLOOKUP($A24,'EXP HABILITANTE'!$A:$I,9,0),""))</f>
        <v>HÁBIL</v>
      </c>
      <c r="D24" s="305" t="s">
        <v>963</v>
      </c>
      <c r="E24" s="305">
        <v>119.14100000000001</v>
      </c>
      <c r="F24" s="306">
        <f t="shared" si="10"/>
        <v>14.933000000000007</v>
      </c>
      <c r="G24" s="307">
        <v>613.46400000000006</v>
      </c>
      <c r="H24" s="307">
        <f t="shared" si="5"/>
        <v>200</v>
      </c>
      <c r="I24" s="308">
        <f t="shared" si="11"/>
        <v>813.46400000000006</v>
      </c>
      <c r="J24" s="308">
        <v>100</v>
      </c>
      <c r="K24" s="308">
        <v>10</v>
      </c>
      <c r="L24" s="309">
        <f t="shared" si="0"/>
        <v>923.46400000000006</v>
      </c>
      <c r="M24" s="310">
        <f t="shared" si="12"/>
        <v>923.46400000000006</v>
      </c>
      <c r="N24" s="310">
        <f t="shared" si="2"/>
        <v>1E-4</v>
      </c>
      <c r="O24" s="311">
        <f t="shared" si="6"/>
        <v>923.46390000000008</v>
      </c>
      <c r="P24" s="312">
        <f t="shared" si="7"/>
        <v>16</v>
      </c>
      <c r="Q24" s="313">
        <f t="shared" si="3"/>
        <v>10</v>
      </c>
      <c r="S24" s="259">
        <f>IF(VLOOKUP(A24,'EXP DIRECTOR'!$A$6:$L$1269,12,0)="","",ROUND(VLOOKUP(A24,'EXP DIRECTOR'!$A$6:$L$1269,12,0),2))</f>
        <v>21</v>
      </c>
      <c r="T24" s="312" t="str">
        <f>IFERROR(VLOOKUP("E"&amp;A24,'EXP DIRECTOR'!$A$6:$L$1269,8,0),"")</f>
        <v>SI</v>
      </c>
      <c r="U24" s="314" t="s">
        <v>890</v>
      </c>
      <c r="V24" s="314" t="str">
        <f t="shared" si="8"/>
        <v>SI</v>
      </c>
      <c r="W24" s="312">
        <f>IFERROR(IF(VLOOKUP("D"&amp;A24,'EXP DIRECTOR'!$A$6:$L$1269,8,0)="SI",200,0),0)</f>
        <v>200</v>
      </c>
      <c r="X24" s="312"/>
      <c r="Y24" s="314" t="str">
        <f>IF(VLOOKUP("F"&amp;A24,'EXP DIRECTOR'!$A$6:$L$1269,8,0)="SI","SI","NA")</f>
        <v>NA</v>
      </c>
      <c r="AA24" s="315" t="str">
        <f t="shared" si="4"/>
        <v>16.10</v>
      </c>
    </row>
    <row r="25" spans="1:27" ht="25.5" customHeight="1" x14ac:dyDescent="0.2">
      <c r="A25" s="316">
        <f t="shared" si="9"/>
        <v>11</v>
      </c>
      <c r="B25" s="304" t="s">
        <v>61</v>
      </c>
      <c r="C25" s="305" t="str">
        <f>IF($B25="","",IFERROR(VLOOKUP($A25,'EXP HABILITANTE'!$A:$I,9,0),""))</f>
        <v>HÁBIL</v>
      </c>
      <c r="D25" s="305" t="s">
        <v>963</v>
      </c>
      <c r="E25" s="305">
        <v>133.839</v>
      </c>
      <c r="F25" s="306">
        <f t="shared" si="10"/>
        <v>0.23500000000001364</v>
      </c>
      <c r="G25" s="307">
        <v>689.14499999999998</v>
      </c>
      <c r="H25" s="307">
        <f t="shared" si="5"/>
        <v>200</v>
      </c>
      <c r="I25" s="308">
        <f t="shared" si="11"/>
        <v>889.14499999999998</v>
      </c>
      <c r="J25" s="308">
        <v>100</v>
      </c>
      <c r="K25" s="308">
        <v>10</v>
      </c>
      <c r="L25" s="309">
        <f t="shared" si="0"/>
        <v>999.14499999999998</v>
      </c>
      <c r="M25" s="310">
        <f t="shared" si="12"/>
        <v>999.14499999999998</v>
      </c>
      <c r="N25" s="310">
        <f t="shared" si="2"/>
        <v>1.1E-4</v>
      </c>
      <c r="O25" s="311">
        <f t="shared" si="6"/>
        <v>999.14489000000003</v>
      </c>
      <c r="P25" s="312">
        <f t="shared" si="7"/>
        <v>2</v>
      </c>
      <c r="Q25" s="313">
        <f t="shared" si="3"/>
        <v>11</v>
      </c>
      <c r="S25" s="259">
        <f>IF(VLOOKUP(A25,'EXP DIRECTOR'!$A$6:$L$1269,12,0)="","",ROUND(VLOOKUP(A25,'EXP DIRECTOR'!$A$6:$L$1269,12,0),2))</f>
        <v>29</v>
      </c>
      <c r="T25" s="312" t="str">
        <f>IFERROR(VLOOKUP("E"&amp;A25,'EXP DIRECTOR'!$A$6:$L$1269,8,0),"")</f>
        <v>SI</v>
      </c>
      <c r="U25" s="314" t="s">
        <v>890</v>
      </c>
      <c r="V25" s="314" t="str">
        <f t="shared" si="8"/>
        <v>SI</v>
      </c>
      <c r="W25" s="312">
        <f>IFERROR(IF(VLOOKUP("D"&amp;A25,'EXP DIRECTOR'!$A$6:$L$1269,8,0)="SI",200,0),0)</f>
        <v>200</v>
      </c>
      <c r="X25" s="312"/>
      <c r="Y25" s="314" t="str">
        <f>IF(VLOOKUP("F"&amp;A25,'EXP DIRECTOR'!$A$6:$L$1269,8,0)="SI","SI","NA")</f>
        <v>NA</v>
      </c>
      <c r="AA25" s="315" t="str">
        <f t="shared" si="4"/>
        <v>2.11</v>
      </c>
    </row>
    <row r="26" spans="1:27" ht="25.5" customHeight="1" x14ac:dyDescent="0.2">
      <c r="A26" s="316">
        <f t="shared" si="9"/>
        <v>12</v>
      </c>
      <c r="B26" s="304" t="s">
        <v>65</v>
      </c>
      <c r="C26" s="305" t="str">
        <f>IF($B26="","",IFERROR(VLOOKUP($A26,'EXP HABILITANTE'!$A:$I,9,0),""))</f>
        <v>HÁBIL</v>
      </c>
      <c r="D26" s="305" t="s">
        <v>963</v>
      </c>
      <c r="E26" s="305">
        <v>126.595</v>
      </c>
      <c r="F26" s="306">
        <f t="shared" si="10"/>
        <v>7.4790000000000134</v>
      </c>
      <c r="G26" s="307">
        <v>651.84500000000003</v>
      </c>
      <c r="H26" s="307">
        <f t="shared" si="5"/>
        <v>200</v>
      </c>
      <c r="I26" s="308">
        <f t="shared" si="11"/>
        <v>851.84500000000003</v>
      </c>
      <c r="J26" s="308">
        <v>100</v>
      </c>
      <c r="K26" s="308">
        <v>10</v>
      </c>
      <c r="L26" s="309">
        <f t="shared" si="0"/>
        <v>961.84500000000003</v>
      </c>
      <c r="M26" s="310">
        <f t="shared" si="12"/>
        <v>961.84500000000003</v>
      </c>
      <c r="N26" s="310">
        <f t="shared" si="2"/>
        <v>1.2E-4</v>
      </c>
      <c r="O26" s="311">
        <f t="shared" si="6"/>
        <v>961.84487999999999</v>
      </c>
      <c r="P26" s="312">
        <f t="shared" si="7"/>
        <v>10</v>
      </c>
      <c r="Q26" s="313">
        <f t="shared" si="3"/>
        <v>12</v>
      </c>
      <c r="S26" s="259">
        <f>IF(VLOOKUP(A26,'EXP DIRECTOR'!$A$6:$L$1269,12,0)="","",ROUND(VLOOKUP(A26,'EXP DIRECTOR'!$A$6:$L$1269,12,0),2))</f>
        <v>26</v>
      </c>
      <c r="T26" s="312" t="str">
        <f>IFERROR(VLOOKUP("E"&amp;A26,'EXP DIRECTOR'!$A$6:$L$1269,8,0),"")</f>
        <v>SI</v>
      </c>
      <c r="U26" s="314" t="s">
        <v>890</v>
      </c>
      <c r="V26" s="314" t="str">
        <f t="shared" si="8"/>
        <v>SI</v>
      </c>
      <c r="W26" s="312">
        <f>IFERROR(IF(VLOOKUP("D"&amp;A26,'EXP DIRECTOR'!$A$6:$L$1269,8,0)="SI",200,0),0)</f>
        <v>200</v>
      </c>
      <c r="X26" s="312"/>
      <c r="Y26" s="314" t="str">
        <f>IF(VLOOKUP("F"&amp;A26,'EXP DIRECTOR'!$A$6:$L$1269,8,0)="SI","SI","NA")</f>
        <v>NA</v>
      </c>
      <c r="AA26" s="315" t="str">
        <f t="shared" si="4"/>
        <v>10.12</v>
      </c>
    </row>
    <row r="27" spans="1:27" ht="25.5" customHeight="1" x14ac:dyDescent="0.2">
      <c r="A27" s="316">
        <f t="shared" si="9"/>
        <v>13</v>
      </c>
      <c r="B27" s="304" t="s">
        <v>899</v>
      </c>
      <c r="C27" s="305" t="str">
        <f>IF($B27="","",IFERROR(VLOOKUP($A27,'EXP HABILITANTE'!$A:$I,9,0),""))</f>
        <v>HÁBIL</v>
      </c>
      <c r="D27" s="305" t="s">
        <v>963</v>
      </c>
      <c r="E27" s="305">
        <v>126.624</v>
      </c>
      <c r="F27" s="306">
        <f t="shared" si="10"/>
        <v>7.4500000000000171</v>
      </c>
      <c r="G27" s="307">
        <v>651.995</v>
      </c>
      <c r="H27" s="307" t="str">
        <f t="shared" si="5"/>
        <v/>
      </c>
      <c r="I27" s="308">
        <f t="shared" si="11"/>
        <v>651.995</v>
      </c>
      <c r="J27" s="308">
        <v>100</v>
      </c>
      <c r="K27" s="308">
        <v>0</v>
      </c>
      <c r="L27" s="309">
        <f t="shared" si="0"/>
        <v>751.995</v>
      </c>
      <c r="M27" s="310" t="str">
        <f t="shared" si="12"/>
        <v>NO ELEGIBLE</v>
      </c>
      <c r="N27" s="310">
        <f t="shared" si="2"/>
        <v>1.2999999999999999E-4</v>
      </c>
      <c r="O27" s="311">
        <f t="shared" si="6"/>
        <v>-1.2999999999999999E-4</v>
      </c>
      <c r="P27" s="312">
        <f t="shared" si="7"/>
        <v>24</v>
      </c>
      <c r="Q27" s="313">
        <f t="shared" si="3"/>
        <v>13</v>
      </c>
      <c r="S27" s="259">
        <f>IF(VLOOKUP(A27,'EXP DIRECTOR'!$A$6:$L$1269,12,0)="","",ROUND(VLOOKUP(A27,'EXP DIRECTOR'!$A$6:$L$1269,12,0),2))</f>
        <v>17</v>
      </c>
      <c r="T27" s="312" t="str">
        <f>IFERROR(VLOOKUP("E"&amp;A27,'EXP DIRECTOR'!$A$6:$L$1269,8,0),"")</f>
        <v>NO</v>
      </c>
      <c r="U27" s="314" t="s">
        <v>890</v>
      </c>
      <c r="V27" s="314" t="str">
        <f t="shared" si="8"/>
        <v>SI</v>
      </c>
      <c r="W27" s="312">
        <f>IFERROR(IF(VLOOKUP("D"&amp;A27,'EXP DIRECTOR'!$A$6:$L$1269,8,0)="SI",200,0),0)</f>
        <v>200</v>
      </c>
      <c r="X27" s="312"/>
      <c r="Y27" s="314" t="str">
        <f>IF(VLOOKUP("F"&amp;A27,'EXP DIRECTOR'!$A$6:$L$1269,8,0)="SI","SI","NA")</f>
        <v>NA</v>
      </c>
      <c r="AA27" s="315" t="str">
        <f t="shared" si="4"/>
        <v>24.13</v>
      </c>
    </row>
    <row r="28" spans="1:27" ht="25.5" customHeight="1" x14ac:dyDescent="0.2">
      <c r="A28" s="316">
        <f t="shared" si="9"/>
        <v>14</v>
      </c>
      <c r="B28" s="304" t="s">
        <v>901</v>
      </c>
      <c r="C28" s="305" t="str">
        <f>IF($B28="","",IFERROR(VLOOKUP($A28,'EXP HABILITANTE'!$A:$I,9,0),""))</f>
        <v>HÁBIL</v>
      </c>
      <c r="D28" s="305" t="s">
        <v>963</v>
      </c>
      <c r="E28" s="305">
        <v>119.176</v>
      </c>
      <c r="F28" s="306">
        <f t="shared" si="10"/>
        <v>14.89800000000001</v>
      </c>
      <c r="G28" s="307">
        <v>613.64499999999998</v>
      </c>
      <c r="H28" s="307">
        <f t="shared" si="5"/>
        <v>200</v>
      </c>
      <c r="I28" s="308">
        <f t="shared" si="11"/>
        <v>813.64499999999998</v>
      </c>
      <c r="J28" s="308">
        <v>100</v>
      </c>
      <c r="K28" s="308">
        <v>10</v>
      </c>
      <c r="L28" s="309">
        <f t="shared" si="0"/>
        <v>923.64499999999998</v>
      </c>
      <c r="M28" s="310">
        <f t="shared" si="12"/>
        <v>923.64499999999998</v>
      </c>
      <c r="N28" s="310">
        <f t="shared" si="2"/>
        <v>1.3999999999999999E-4</v>
      </c>
      <c r="O28" s="311">
        <f t="shared" si="6"/>
        <v>923.64485999999999</v>
      </c>
      <c r="P28" s="312">
        <f t="shared" si="7"/>
        <v>15</v>
      </c>
      <c r="Q28" s="313">
        <f t="shared" si="3"/>
        <v>14</v>
      </c>
      <c r="S28" s="259">
        <f>IF(VLOOKUP(A28,'EXP DIRECTOR'!$A$6:$L$1269,12,0)="","",ROUND(VLOOKUP(A28,'EXP DIRECTOR'!$A$6:$L$1269,12,0),2))</f>
        <v>33</v>
      </c>
      <c r="T28" s="312" t="str">
        <f>IFERROR(VLOOKUP("E"&amp;A28,'EXP DIRECTOR'!$A$6:$L$1269,8,0),"")</f>
        <v>SI</v>
      </c>
      <c r="U28" s="314" t="s">
        <v>890</v>
      </c>
      <c r="V28" s="314" t="str">
        <f t="shared" si="8"/>
        <v>SI</v>
      </c>
      <c r="W28" s="312">
        <f>IFERROR(IF(VLOOKUP("D"&amp;A28,'EXP DIRECTOR'!$A$6:$L$1269,8,0)="SI",200,0),0)</f>
        <v>200</v>
      </c>
      <c r="X28" s="312"/>
      <c r="Y28" s="314" t="str">
        <f>IF(VLOOKUP("F"&amp;A28,'EXP DIRECTOR'!$A$6:$L$1269,8,0)="SI","SI","NA")</f>
        <v>NA</v>
      </c>
      <c r="AA28" s="315" t="str">
        <f t="shared" si="4"/>
        <v>15.14</v>
      </c>
    </row>
    <row r="29" spans="1:27" ht="25.5" customHeight="1" x14ac:dyDescent="0.2">
      <c r="A29" s="316">
        <f t="shared" si="9"/>
        <v>15</v>
      </c>
      <c r="B29" s="304" t="s">
        <v>903</v>
      </c>
      <c r="C29" s="305" t="str">
        <f>IF($B29="","",IFERROR(VLOOKUP($A29,'EXP HABILITANTE'!$A:$I,9,0),""))</f>
        <v>HÁBIL</v>
      </c>
      <c r="D29" s="305" t="s">
        <v>963</v>
      </c>
      <c r="E29" s="305">
        <v>133.982</v>
      </c>
      <c r="F29" s="306">
        <f t="shared" si="10"/>
        <v>9.200000000001296E-2</v>
      </c>
      <c r="G29" s="307">
        <v>689.88199999999995</v>
      </c>
      <c r="H29" s="307">
        <f t="shared" si="5"/>
        <v>200</v>
      </c>
      <c r="I29" s="308">
        <f t="shared" si="11"/>
        <v>889.88199999999995</v>
      </c>
      <c r="J29" s="308">
        <v>100</v>
      </c>
      <c r="K29" s="308">
        <v>0</v>
      </c>
      <c r="L29" s="309">
        <f t="shared" si="0"/>
        <v>989.88199999999995</v>
      </c>
      <c r="M29" s="310">
        <f>IF(OR(SUM(G29:H29)&lt;700,D29&lt;&gt;"HÁBIL"),"NO ELEGIBLE",L29)</f>
        <v>989.88199999999995</v>
      </c>
      <c r="N29" s="310">
        <f t="shared" si="2"/>
        <v>1.4999999999999999E-4</v>
      </c>
      <c r="O29" s="311">
        <f t="shared" si="6"/>
        <v>989.88184999999999</v>
      </c>
      <c r="P29" s="312">
        <f t="shared" si="7"/>
        <v>5</v>
      </c>
      <c r="Q29" s="313">
        <f t="shared" si="3"/>
        <v>15</v>
      </c>
      <c r="S29" s="259">
        <f>IF(VLOOKUP(A29,'EXP DIRECTOR'!$A$6:$L$1269,12,0)="","",ROUND(VLOOKUP(A29,'EXP DIRECTOR'!$A$6:$L$1269,12,0),2))</f>
        <v>32</v>
      </c>
      <c r="T29" s="312" t="str">
        <f>IFERROR(VLOOKUP("E"&amp;A29,'EXP DIRECTOR'!$A$6:$L$1269,8,0),"")</f>
        <v>SI</v>
      </c>
      <c r="U29" s="314" t="s">
        <v>890</v>
      </c>
      <c r="V29" s="314" t="str">
        <f t="shared" si="8"/>
        <v>SI</v>
      </c>
      <c r="W29" s="312">
        <f>IFERROR(IF(VLOOKUP("D"&amp;A29,'EXP DIRECTOR'!$A$6:$L$1269,8,0)="SI",200,0),0)</f>
        <v>200</v>
      </c>
      <c r="X29" s="312"/>
      <c r="Y29" s="314" t="str">
        <f>IF(VLOOKUP("F"&amp;A29,'EXP DIRECTOR'!$A$6:$L$1269,8,0)="SI","SI","NA")</f>
        <v>NA</v>
      </c>
      <c r="AA29" s="315" t="str">
        <f t="shared" si="4"/>
        <v>5.15</v>
      </c>
    </row>
    <row r="30" spans="1:27" ht="25.5" customHeight="1" x14ac:dyDescent="0.2">
      <c r="A30" s="316">
        <f t="shared" si="9"/>
        <v>16</v>
      </c>
      <c r="B30" s="304" t="s">
        <v>905</v>
      </c>
      <c r="C30" s="305" t="str">
        <f>IF($B30="","",IFERROR(VLOOKUP($A30,'EXP HABILITANTE'!$A:$I,9,0),""))</f>
        <v>HÁBIL</v>
      </c>
      <c r="D30" s="305" t="s">
        <v>963</v>
      </c>
      <c r="E30" s="305">
        <v>119.19499999999999</v>
      </c>
      <c r="F30" s="306">
        <f t="shared" si="10"/>
        <v>14.879000000000019</v>
      </c>
      <c r="G30" s="307">
        <v>613.74199999999996</v>
      </c>
      <c r="H30" s="307">
        <f t="shared" si="5"/>
        <v>200</v>
      </c>
      <c r="I30" s="308">
        <f t="shared" si="11"/>
        <v>813.74199999999996</v>
      </c>
      <c r="J30" s="308">
        <v>100</v>
      </c>
      <c r="K30" s="308">
        <v>10</v>
      </c>
      <c r="L30" s="309">
        <f t="shared" si="0"/>
        <v>923.74199999999996</v>
      </c>
      <c r="M30" s="310">
        <f t="shared" si="12"/>
        <v>923.74199999999996</v>
      </c>
      <c r="N30" s="310">
        <f t="shared" si="2"/>
        <v>1.6000000000000001E-4</v>
      </c>
      <c r="O30" s="311">
        <f t="shared" si="6"/>
        <v>923.74183999999991</v>
      </c>
      <c r="P30" s="312">
        <f t="shared" si="7"/>
        <v>14</v>
      </c>
      <c r="Q30" s="313">
        <f t="shared" si="3"/>
        <v>16</v>
      </c>
      <c r="S30" s="259">
        <f>IF(VLOOKUP(A30,'EXP DIRECTOR'!$A$6:$L$1269,12,0)="","",ROUND(VLOOKUP(A30,'EXP DIRECTOR'!$A$6:$L$1269,12,0),2))</f>
        <v>21</v>
      </c>
      <c r="T30" s="312" t="str">
        <f>IFERROR(VLOOKUP("E"&amp;A30,'EXP DIRECTOR'!$A$6:$L$1269,8,0),"")</f>
        <v>SI</v>
      </c>
      <c r="U30" s="314" t="s">
        <v>890</v>
      </c>
      <c r="V30" s="314" t="str">
        <f t="shared" si="8"/>
        <v>SI</v>
      </c>
      <c r="W30" s="312">
        <f>IFERROR(IF(VLOOKUP("D"&amp;A30,'EXP DIRECTOR'!$A$6:$L$1269,8,0)="SI",200,0),0)</f>
        <v>200</v>
      </c>
      <c r="X30" s="312"/>
      <c r="Y30" s="314" t="str">
        <f>IF(VLOOKUP("F"&amp;A30,'EXP DIRECTOR'!$A$6:$L$1269,8,0)="SI","SI","NA")</f>
        <v>NA</v>
      </c>
      <c r="AA30" s="315" t="str">
        <f t="shared" si="4"/>
        <v>14.16</v>
      </c>
    </row>
    <row r="31" spans="1:27" ht="25.5" customHeight="1" x14ac:dyDescent="0.2">
      <c r="A31" s="316">
        <f t="shared" si="9"/>
        <v>17</v>
      </c>
      <c r="B31" s="304" t="s">
        <v>907</v>
      </c>
      <c r="C31" s="305" t="str">
        <f>IF($B31="","",IFERROR(VLOOKUP($A31,'EXP HABILITANTE'!$A:$I,9,0),""))</f>
        <v>HÁBIL</v>
      </c>
      <c r="D31" s="305" t="s">
        <v>963</v>
      </c>
      <c r="E31" s="305">
        <v>134.17599999999999</v>
      </c>
      <c r="F31" s="306">
        <f t="shared" si="10"/>
        <v>0.10199999999997544</v>
      </c>
      <c r="G31" s="307">
        <v>689.12</v>
      </c>
      <c r="H31" s="307">
        <f t="shared" si="5"/>
        <v>200</v>
      </c>
      <c r="I31" s="308">
        <f t="shared" si="11"/>
        <v>889.12</v>
      </c>
      <c r="J31" s="308">
        <v>100</v>
      </c>
      <c r="K31" s="308">
        <v>10</v>
      </c>
      <c r="L31" s="309">
        <f t="shared" si="0"/>
        <v>999.12</v>
      </c>
      <c r="M31" s="310">
        <f t="shared" si="12"/>
        <v>999.12</v>
      </c>
      <c r="N31" s="310">
        <f t="shared" si="2"/>
        <v>1.7000000000000001E-4</v>
      </c>
      <c r="O31" s="311">
        <f t="shared" si="6"/>
        <v>999.11982999999998</v>
      </c>
      <c r="P31" s="312">
        <f t="shared" si="7"/>
        <v>3</v>
      </c>
      <c r="Q31" s="313">
        <f t="shared" si="3"/>
        <v>17</v>
      </c>
      <c r="S31" s="259">
        <f>IF(VLOOKUP(A31,'EXP DIRECTOR'!$A$6:$L$1269,12,0)="","",ROUND(VLOOKUP(A31,'EXP DIRECTOR'!$A$6:$L$1269,12,0),2))</f>
        <v>20</v>
      </c>
      <c r="T31" s="312" t="str">
        <f>IFERROR(VLOOKUP("E"&amp;A31,'EXP DIRECTOR'!$A$6:$L$1269,8,0),"")</f>
        <v>SI</v>
      </c>
      <c r="U31" s="314" t="s">
        <v>890</v>
      </c>
      <c r="V31" s="314" t="str">
        <f t="shared" si="8"/>
        <v>SI</v>
      </c>
      <c r="W31" s="312">
        <f>IFERROR(IF(VLOOKUP("D"&amp;A31,'EXP DIRECTOR'!$A$6:$L$1269,8,0)="SI",200,0),0)</f>
        <v>200</v>
      </c>
      <c r="X31" s="312"/>
      <c r="Y31" s="314" t="str">
        <f>IF(VLOOKUP("F"&amp;A31,'EXP DIRECTOR'!$A$6:$L$1269,8,0)="SI","SI","NA")</f>
        <v>NA</v>
      </c>
      <c r="AA31" s="315" t="str">
        <f t="shared" si="4"/>
        <v>3.17</v>
      </c>
    </row>
    <row r="32" spans="1:27" ht="25.5" customHeight="1" x14ac:dyDescent="0.2">
      <c r="A32" s="316">
        <f t="shared" si="9"/>
        <v>18</v>
      </c>
      <c r="B32" s="304" t="s">
        <v>909</v>
      </c>
      <c r="C32" s="305" t="str">
        <f>IF($B32="","",IFERROR(VLOOKUP($A32,'EXP HABILITANTE'!$A:$I,9,0),""))</f>
        <v>HÁBIL</v>
      </c>
      <c r="D32" s="305" t="s">
        <v>963</v>
      </c>
      <c r="E32" s="305">
        <v>119.405</v>
      </c>
      <c r="F32" s="306">
        <f t="shared" si="10"/>
        <v>14.669000000000011</v>
      </c>
      <c r="G32" s="307">
        <v>614.82399999999996</v>
      </c>
      <c r="H32" s="307">
        <f t="shared" si="5"/>
        <v>200</v>
      </c>
      <c r="I32" s="308">
        <f t="shared" si="11"/>
        <v>814.82399999999996</v>
      </c>
      <c r="J32" s="308">
        <v>100</v>
      </c>
      <c r="K32" s="308">
        <v>10</v>
      </c>
      <c r="L32" s="309">
        <f t="shared" si="0"/>
        <v>924.82399999999996</v>
      </c>
      <c r="M32" s="310">
        <f t="shared" si="12"/>
        <v>924.82399999999996</v>
      </c>
      <c r="N32" s="310">
        <f t="shared" si="2"/>
        <v>1.8000000000000001E-4</v>
      </c>
      <c r="O32" s="311">
        <f t="shared" si="6"/>
        <v>924.82381999999996</v>
      </c>
      <c r="P32" s="312">
        <f t="shared" si="7"/>
        <v>11</v>
      </c>
      <c r="Q32" s="313">
        <f t="shared" si="3"/>
        <v>18</v>
      </c>
      <c r="S32" s="259">
        <f>IF(VLOOKUP(A32,'EXP DIRECTOR'!$A$6:$L$1269,12,0)="","",ROUND(VLOOKUP(A32,'EXP DIRECTOR'!$A$6:$L$1269,12,0),2))</f>
        <v>39</v>
      </c>
      <c r="T32" s="312" t="str">
        <f>IFERROR(VLOOKUP("E"&amp;A32,'EXP DIRECTOR'!$A$6:$L$1269,8,0),"")</f>
        <v>SI</v>
      </c>
      <c r="U32" s="314" t="s">
        <v>890</v>
      </c>
      <c r="V32" s="314" t="str">
        <f t="shared" si="8"/>
        <v>SI</v>
      </c>
      <c r="W32" s="312">
        <f>IFERROR(IF(VLOOKUP("D"&amp;A32,'EXP DIRECTOR'!$A$6:$L$1269,8,0)="SI",200,0),0)</f>
        <v>200</v>
      </c>
      <c r="X32" s="312"/>
      <c r="Y32" s="314" t="str">
        <f>IF(VLOOKUP("F"&amp;A32,'EXP DIRECTOR'!$A$6:$L$1269,8,0)="SI","SI","NA")</f>
        <v>NA</v>
      </c>
      <c r="AA32" s="315" t="str">
        <f t="shared" si="4"/>
        <v>11.18</v>
      </c>
    </row>
    <row r="33" spans="1:27" ht="25.5" customHeight="1" x14ac:dyDescent="0.2">
      <c r="A33" s="316">
        <f t="shared" si="9"/>
        <v>19</v>
      </c>
      <c r="B33" s="304" t="s">
        <v>911</v>
      </c>
      <c r="C33" s="305" t="str">
        <f>IF($B33="","",IFERROR(VLOOKUP($A33,'EXP HABILITANTE'!$A:$I,9,0),""))</f>
        <v>HÁBIL</v>
      </c>
      <c r="D33" s="305" t="s">
        <v>964</v>
      </c>
      <c r="E33" s="305" t="s">
        <v>932</v>
      </c>
      <c r="F33" s="306" t="str">
        <f t="shared" si="10"/>
        <v/>
      </c>
      <c r="G33" s="307" t="s">
        <v>932</v>
      </c>
      <c r="H33" s="307" t="str">
        <f t="shared" si="5"/>
        <v/>
      </c>
      <c r="I33" s="308" t="str">
        <f t="shared" si="11"/>
        <v/>
      </c>
      <c r="J33" s="308"/>
      <c r="K33" s="308" t="s">
        <v>932</v>
      </c>
      <c r="L33" s="309" t="str">
        <f t="shared" si="0"/>
        <v/>
      </c>
      <c r="M33" s="310" t="str">
        <f t="shared" si="12"/>
        <v>NO ELEGIBLE</v>
      </c>
      <c r="N33" s="310">
        <f t="shared" si="2"/>
        <v>1.9000000000000001E-4</v>
      </c>
      <c r="O33" s="311">
        <f t="shared" si="6"/>
        <v>-1.9000000000000001E-4</v>
      </c>
      <c r="P33" s="312">
        <f t="shared" si="7"/>
        <v>25</v>
      </c>
      <c r="Q33" s="313">
        <f t="shared" si="3"/>
        <v>19</v>
      </c>
      <c r="S33" s="259">
        <f>IF(VLOOKUP(A33,'EXP DIRECTOR'!$A$6:$L$1269,12,0)="","",ROUND(VLOOKUP(A33,'EXP DIRECTOR'!$A$6:$L$1269,12,0),2))</f>
        <v>18</v>
      </c>
      <c r="T33" s="312" t="str">
        <f>IFERROR(VLOOKUP("E"&amp;A33,'EXP DIRECTOR'!$A$6:$L$1269,8,0),"")</f>
        <v>SI</v>
      </c>
      <c r="U33" s="314" t="s">
        <v>890</v>
      </c>
      <c r="V33" s="314" t="str">
        <f t="shared" si="8"/>
        <v>SI</v>
      </c>
      <c r="W33" s="312">
        <f>IFERROR(IF(VLOOKUP("D"&amp;A33,'EXP DIRECTOR'!$A$6:$L$1269,8,0)="SI",200,0),0)</f>
        <v>200</v>
      </c>
      <c r="X33" s="312"/>
      <c r="Y33" s="314" t="str">
        <f>IF(VLOOKUP("F"&amp;A33,'EXP DIRECTOR'!$A$6:$L$1269,8,0)="SI","SI","NA")</f>
        <v>NA</v>
      </c>
      <c r="AA33" s="315" t="str">
        <f t="shared" si="4"/>
        <v/>
      </c>
    </row>
    <row r="34" spans="1:27" ht="25.5" customHeight="1" x14ac:dyDescent="0.2">
      <c r="A34" s="316">
        <f t="shared" si="9"/>
        <v>20</v>
      </c>
      <c r="B34" s="304" t="s">
        <v>913</v>
      </c>
      <c r="C34" s="305" t="str">
        <f>IF($B34="","",IFERROR(VLOOKUP($A34,'EXP HABILITANTE'!$A:$I,9,0),""))</f>
        <v>HÁBIL</v>
      </c>
      <c r="D34" s="305" t="s">
        <v>963</v>
      </c>
      <c r="E34" s="305">
        <v>119.041</v>
      </c>
      <c r="F34" s="306">
        <f t="shared" si="10"/>
        <v>15.033000000000015</v>
      </c>
      <c r="G34" s="307">
        <v>612.94899999999996</v>
      </c>
      <c r="H34" s="307">
        <f t="shared" si="5"/>
        <v>200</v>
      </c>
      <c r="I34" s="308">
        <f t="shared" si="11"/>
        <v>812.94899999999996</v>
      </c>
      <c r="J34" s="308">
        <v>100</v>
      </c>
      <c r="K34" s="308">
        <v>10</v>
      </c>
      <c r="L34" s="309">
        <f t="shared" si="0"/>
        <v>922.94899999999996</v>
      </c>
      <c r="M34" s="310">
        <f t="shared" si="12"/>
        <v>922.94899999999996</v>
      </c>
      <c r="N34" s="310">
        <f t="shared" si="2"/>
        <v>2.0000000000000001E-4</v>
      </c>
      <c r="O34" s="311">
        <f t="shared" si="6"/>
        <v>922.94880000000001</v>
      </c>
      <c r="P34" s="312">
        <f t="shared" si="7"/>
        <v>17</v>
      </c>
      <c r="Q34" s="313">
        <f t="shared" si="3"/>
        <v>20</v>
      </c>
      <c r="S34" s="259">
        <f>IF(VLOOKUP(A34,'EXP DIRECTOR'!$A$6:$L$1269,12,0)="","",ROUND(VLOOKUP(A34,'EXP DIRECTOR'!$A$6:$L$1269,12,0),2))</f>
        <v>43</v>
      </c>
      <c r="T34" s="312" t="str">
        <f>IFERROR(VLOOKUP("E"&amp;A34,'EXP DIRECTOR'!$A$6:$L$1269,8,0),"")</f>
        <v>SI</v>
      </c>
      <c r="U34" s="314" t="s">
        <v>890</v>
      </c>
      <c r="V34" s="314" t="str">
        <f t="shared" si="8"/>
        <v>SI</v>
      </c>
      <c r="W34" s="312">
        <f>IFERROR(IF(VLOOKUP("D"&amp;A34,'EXP DIRECTOR'!$A$6:$L$1269,8,0)="SI",200,0),0)</f>
        <v>200</v>
      </c>
      <c r="X34" s="312"/>
      <c r="Y34" s="314" t="str">
        <f>IF(VLOOKUP("F"&amp;A34,'EXP DIRECTOR'!$A$6:$L$1269,8,0)="SI","SI","NA")</f>
        <v>NA</v>
      </c>
      <c r="AA34" s="315" t="str">
        <f t="shared" si="4"/>
        <v>17.20</v>
      </c>
    </row>
    <row r="35" spans="1:27" ht="25.5" customHeight="1" x14ac:dyDescent="0.2">
      <c r="A35" s="316">
        <f t="shared" si="9"/>
        <v>21</v>
      </c>
      <c r="B35" s="304" t="s">
        <v>915</v>
      </c>
      <c r="C35" s="305" t="str">
        <f>IF($B35="","",IFERROR(VLOOKUP($A35,'EXP HABILITANTE'!$A:$I,9,0),""))</f>
        <v>HÁBIL</v>
      </c>
      <c r="D35" s="305" t="s">
        <v>963</v>
      </c>
      <c r="E35" s="305">
        <v>131.54599999999999</v>
      </c>
      <c r="F35" s="306">
        <f t="shared" si="10"/>
        <v>2.52800000000002</v>
      </c>
      <c r="G35" s="307">
        <v>677.33799999999997</v>
      </c>
      <c r="H35" s="307" t="str">
        <f t="shared" si="5"/>
        <v/>
      </c>
      <c r="I35" s="308">
        <f t="shared" si="11"/>
        <v>677.33799999999997</v>
      </c>
      <c r="J35" s="308">
        <v>100</v>
      </c>
      <c r="K35" s="308">
        <v>10</v>
      </c>
      <c r="L35" s="309">
        <f t="shared" si="0"/>
        <v>787.33799999999997</v>
      </c>
      <c r="M35" s="310" t="str">
        <f t="shared" si="12"/>
        <v>NO ELEGIBLE</v>
      </c>
      <c r="N35" s="310">
        <f t="shared" si="2"/>
        <v>2.1000000000000001E-4</v>
      </c>
      <c r="O35" s="311">
        <f t="shared" si="6"/>
        <v>-2.1000000000000001E-4</v>
      </c>
      <c r="P35" s="312">
        <f t="shared" si="7"/>
        <v>26</v>
      </c>
      <c r="Q35" s="313">
        <f t="shared" si="3"/>
        <v>21</v>
      </c>
      <c r="S35" s="259">
        <f>IF(VLOOKUP(A35,'EXP DIRECTOR'!$A$6:$L$1269,12,0)="","",ROUND(VLOOKUP(A35,'EXP DIRECTOR'!$A$6:$L$1269,12,0),2))</f>
        <v>17</v>
      </c>
      <c r="T35" s="312" t="str">
        <f>IFERROR(VLOOKUP("E"&amp;A35,'EXP DIRECTOR'!$A$6:$L$1269,8,0),"")</f>
        <v>NO</v>
      </c>
      <c r="U35" s="314" t="s">
        <v>890</v>
      </c>
      <c r="V35" s="314" t="str">
        <f t="shared" si="8"/>
        <v>SI</v>
      </c>
      <c r="W35" s="312">
        <f>IFERROR(IF(VLOOKUP("D"&amp;A35,'EXP DIRECTOR'!$A$6:$L$1269,8,0)="SI",200,0),0)</f>
        <v>200</v>
      </c>
      <c r="X35" s="312"/>
      <c r="Y35" s="314" t="str">
        <f>IF(VLOOKUP("F"&amp;A35,'EXP DIRECTOR'!$A$6:$L$1269,8,0)="SI","SI","NA")</f>
        <v>NA</v>
      </c>
      <c r="AA35" s="315" t="str">
        <f t="shared" si="4"/>
        <v>26.21</v>
      </c>
    </row>
    <row r="36" spans="1:27" ht="25.5" customHeight="1" x14ac:dyDescent="0.2">
      <c r="A36" s="316">
        <f t="shared" si="9"/>
        <v>22</v>
      </c>
      <c r="B36" s="304" t="s">
        <v>917</v>
      </c>
      <c r="C36" s="305" t="str">
        <f>IF($B36="","",IFERROR(VLOOKUP($A36,'EXP HABILITANTE'!$A:$I,9,0),""))</f>
        <v>HÁBIL</v>
      </c>
      <c r="D36" s="305" t="s">
        <v>963</v>
      </c>
      <c r="E36" s="305">
        <v>119.215</v>
      </c>
      <c r="F36" s="306">
        <f t="shared" si="10"/>
        <v>14.859000000000009</v>
      </c>
      <c r="G36" s="307">
        <v>613.84500000000003</v>
      </c>
      <c r="H36" s="307">
        <f t="shared" si="5"/>
        <v>200</v>
      </c>
      <c r="I36" s="308">
        <f t="shared" si="11"/>
        <v>813.84500000000003</v>
      </c>
      <c r="J36" s="308">
        <v>100</v>
      </c>
      <c r="K36" s="308">
        <v>10</v>
      </c>
      <c r="L36" s="309">
        <f t="shared" si="0"/>
        <v>923.84500000000003</v>
      </c>
      <c r="M36" s="310">
        <f t="shared" si="12"/>
        <v>923.84500000000003</v>
      </c>
      <c r="N36" s="310">
        <f t="shared" si="2"/>
        <v>2.2000000000000001E-4</v>
      </c>
      <c r="O36" s="311">
        <f t="shared" si="6"/>
        <v>923.84478000000001</v>
      </c>
      <c r="P36" s="312">
        <f t="shared" si="7"/>
        <v>13</v>
      </c>
      <c r="Q36" s="313">
        <f t="shared" si="3"/>
        <v>22</v>
      </c>
      <c r="S36" s="259">
        <f>IF(VLOOKUP(A36,'EXP DIRECTOR'!$A$6:$L$1269,12,0)="","",ROUND(VLOOKUP(A36,'EXP DIRECTOR'!$A$6:$L$1269,12,0),2))</f>
        <v>29</v>
      </c>
      <c r="T36" s="312" t="str">
        <f>IFERROR(VLOOKUP("E"&amp;A36,'EXP DIRECTOR'!$A$6:$L$1269,8,0),"")</f>
        <v>SI</v>
      </c>
      <c r="U36" s="314" t="s">
        <v>890</v>
      </c>
      <c r="V36" s="314" t="str">
        <f t="shared" si="8"/>
        <v>SI</v>
      </c>
      <c r="W36" s="312">
        <f>IFERROR(IF(VLOOKUP("D"&amp;A36,'EXP DIRECTOR'!$A$6:$L$1269,8,0)="SI",200,0),0)</f>
        <v>200</v>
      </c>
      <c r="X36" s="312"/>
      <c r="Y36" s="314" t="str">
        <f>IF(VLOOKUP("F"&amp;A36,'EXP DIRECTOR'!$A$6:$L$1269,8,0)="SI","SI","NA")</f>
        <v>NA</v>
      </c>
      <c r="AA36" s="315" t="str">
        <f t="shared" si="4"/>
        <v>13.22</v>
      </c>
    </row>
    <row r="37" spans="1:27" ht="25.5" customHeight="1" x14ac:dyDescent="0.2">
      <c r="A37" s="316">
        <f t="shared" si="9"/>
        <v>23</v>
      </c>
      <c r="B37" s="304" t="s">
        <v>919</v>
      </c>
      <c r="C37" s="305" t="str">
        <f>IF($B37="","",IFERROR(VLOOKUP($A37,'EXP HABILITANTE'!$A:$I,9,0),""))</f>
        <v>HÁBIL</v>
      </c>
      <c r="D37" s="305" t="s">
        <v>963</v>
      </c>
      <c r="E37" s="305">
        <v>126.8</v>
      </c>
      <c r="F37" s="306">
        <f t="shared" si="10"/>
        <v>7.2740000000000151</v>
      </c>
      <c r="G37" s="307">
        <v>652.90099999999995</v>
      </c>
      <c r="H37" s="307">
        <f t="shared" si="5"/>
        <v>200</v>
      </c>
      <c r="I37" s="308">
        <f t="shared" si="11"/>
        <v>852.90099999999995</v>
      </c>
      <c r="J37" s="308">
        <v>100</v>
      </c>
      <c r="K37" s="308">
        <v>10</v>
      </c>
      <c r="L37" s="309">
        <f t="shared" si="0"/>
        <v>962.90099999999995</v>
      </c>
      <c r="M37" s="310">
        <f t="shared" si="12"/>
        <v>962.90099999999995</v>
      </c>
      <c r="N37" s="310">
        <f t="shared" si="2"/>
        <v>2.3000000000000001E-4</v>
      </c>
      <c r="O37" s="311">
        <f t="shared" si="6"/>
        <v>962.90076999999997</v>
      </c>
      <c r="P37" s="312">
        <f t="shared" si="7"/>
        <v>7</v>
      </c>
      <c r="Q37" s="313">
        <f t="shared" si="3"/>
        <v>23</v>
      </c>
      <c r="S37" s="259">
        <f>IF(VLOOKUP(A37,'EXP DIRECTOR'!$A$6:$L$1269,12,0)="","",ROUND(VLOOKUP(A37,'EXP DIRECTOR'!$A$6:$L$1269,12,0),2))</f>
        <v>13</v>
      </c>
      <c r="T37" s="312" t="str">
        <f>IFERROR(VLOOKUP("E"&amp;A37,'EXP DIRECTOR'!$A$6:$L$1269,8,0),"")</f>
        <v>SI</v>
      </c>
      <c r="U37" s="314" t="s">
        <v>890</v>
      </c>
      <c r="V37" s="314" t="str">
        <f t="shared" si="8"/>
        <v>SI</v>
      </c>
      <c r="W37" s="312">
        <f>IFERROR(IF(VLOOKUP("D"&amp;A37,'EXP DIRECTOR'!$A$6:$L$1269,8,0)="SI",200,0),0)</f>
        <v>200</v>
      </c>
      <c r="X37" s="312"/>
      <c r="Y37" s="314" t="str">
        <f>IF(VLOOKUP("F"&amp;A37,'EXP DIRECTOR'!$A$6:$L$1269,8,0)="SI","SI","NA")</f>
        <v>NA</v>
      </c>
      <c r="AA37" s="315" t="str">
        <f t="shared" si="4"/>
        <v>7.23</v>
      </c>
    </row>
    <row r="38" spans="1:27" ht="25.5" customHeight="1" x14ac:dyDescent="0.2">
      <c r="A38" s="316">
        <f t="shared" si="9"/>
        <v>24</v>
      </c>
      <c r="B38" s="304" t="s">
        <v>120</v>
      </c>
      <c r="C38" s="305" t="str">
        <f>IF($B38="","",IFERROR(VLOOKUP($A38,'EXP HABILITANTE'!$A:$I,9,0),""))</f>
        <v>HÁBIL</v>
      </c>
      <c r="D38" s="305" t="s">
        <v>964</v>
      </c>
      <c r="E38" s="305" t="s">
        <v>932</v>
      </c>
      <c r="F38" s="306" t="str">
        <f t="shared" si="10"/>
        <v/>
      </c>
      <c r="G38" s="307" t="s">
        <v>932</v>
      </c>
      <c r="H38" s="307" t="str">
        <f t="shared" si="5"/>
        <v/>
      </c>
      <c r="I38" s="308" t="str">
        <f t="shared" si="11"/>
        <v/>
      </c>
      <c r="J38" s="308"/>
      <c r="K38" s="308" t="s">
        <v>932</v>
      </c>
      <c r="L38" s="309" t="str">
        <f t="shared" si="0"/>
        <v/>
      </c>
      <c r="M38" s="310" t="str">
        <f t="shared" si="12"/>
        <v>NO ELEGIBLE</v>
      </c>
      <c r="N38" s="310">
        <f t="shared" si="2"/>
        <v>2.4000000000000001E-4</v>
      </c>
      <c r="O38" s="311">
        <f t="shared" si="6"/>
        <v>-2.4000000000000001E-4</v>
      </c>
      <c r="P38" s="312">
        <f t="shared" si="7"/>
        <v>27</v>
      </c>
      <c r="Q38" s="313">
        <f t="shared" si="3"/>
        <v>24</v>
      </c>
      <c r="S38" s="259">
        <f>IF(VLOOKUP(A38,'EXP DIRECTOR'!$A$6:$L$1269,12,0)="","",ROUND(VLOOKUP(A38,'EXP DIRECTOR'!$A$6:$L$1269,12,0),2))</f>
        <v>28</v>
      </c>
      <c r="T38" s="312" t="str">
        <f>IFERROR(VLOOKUP("E"&amp;A38,'EXP DIRECTOR'!$A$6:$L$1269,8,0),"")</f>
        <v>NO</v>
      </c>
      <c r="U38" s="314" t="s">
        <v>890</v>
      </c>
      <c r="V38" s="314" t="str">
        <f t="shared" si="8"/>
        <v>SI</v>
      </c>
      <c r="W38" s="312">
        <f>IFERROR(IF(VLOOKUP("D"&amp;A38,'EXP DIRECTOR'!$A$6:$L$1269,8,0)="SI",200,0),0)</f>
        <v>200</v>
      </c>
      <c r="X38" s="312"/>
      <c r="Y38" s="314" t="str">
        <f>IF(VLOOKUP("F"&amp;A38,'EXP DIRECTOR'!$A$6:$L$1269,8,0)="SI","SI","NA")</f>
        <v>NA</v>
      </c>
      <c r="AA38" s="315" t="str">
        <f t="shared" si="4"/>
        <v/>
      </c>
    </row>
    <row r="39" spans="1:27" ht="25.5" customHeight="1" x14ac:dyDescent="0.2">
      <c r="A39" s="316">
        <f t="shared" si="9"/>
        <v>25</v>
      </c>
      <c r="B39" s="304" t="s">
        <v>125</v>
      </c>
      <c r="C39" s="305" t="str">
        <f>IF($B39="","",IFERROR(VLOOKUP($A39,'EXP HABILITANTE'!$A:$I,9,0),""))</f>
        <v>HÁBIL</v>
      </c>
      <c r="D39" s="305" t="s">
        <v>963</v>
      </c>
      <c r="E39" s="305">
        <v>123.11799999999999</v>
      </c>
      <c r="F39" s="306">
        <f t="shared" si="10"/>
        <v>10.956000000000017</v>
      </c>
      <c r="G39" s="307">
        <v>633.94200000000001</v>
      </c>
      <c r="H39" s="307" t="str">
        <f t="shared" si="5"/>
        <v/>
      </c>
      <c r="I39" s="308">
        <f t="shared" si="11"/>
        <v>633.94200000000001</v>
      </c>
      <c r="J39" s="308">
        <v>100</v>
      </c>
      <c r="K39" s="308">
        <v>10</v>
      </c>
      <c r="L39" s="309">
        <f t="shared" si="0"/>
        <v>743.94200000000001</v>
      </c>
      <c r="M39" s="310" t="str">
        <f t="shared" si="12"/>
        <v>NO ELEGIBLE</v>
      </c>
      <c r="N39" s="310">
        <f t="shared" si="2"/>
        <v>2.5000000000000001E-4</v>
      </c>
      <c r="O39" s="311">
        <f t="shared" si="6"/>
        <v>-2.5000000000000001E-4</v>
      </c>
      <c r="P39" s="312">
        <f t="shared" si="7"/>
        <v>28</v>
      </c>
      <c r="Q39" s="313">
        <f t="shared" si="3"/>
        <v>25</v>
      </c>
      <c r="S39" s="259">
        <f>IF(VLOOKUP(A39,'EXP DIRECTOR'!$A$6:$L$1269,12,0)="","",ROUND(VLOOKUP(A39,'EXP DIRECTOR'!$A$6:$L$1269,12,0),2))</f>
        <v>16</v>
      </c>
      <c r="T39" s="312" t="str">
        <f>IFERROR(VLOOKUP("E"&amp;A39,'EXP DIRECTOR'!$A$6:$L$1269,8,0),"")</f>
        <v>NO</v>
      </c>
      <c r="U39" s="314" t="s">
        <v>890</v>
      </c>
      <c r="V39" s="314" t="str">
        <f t="shared" si="8"/>
        <v>SI</v>
      </c>
      <c r="W39" s="312">
        <f>IFERROR(IF(VLOOKUP("D"&amp;A39,'EXP DIRECTOR'!$A$6:$L$1269,8,0)="SI",200,0),0)</f>
        <v>200</v>
      </c>
      <c r="X39" s="312"/>
      <c r="Y39" s="314" t="str">
        <f>IF(VLOOKUP("F"&amp;A39,'EXP DIRECTOR'!$A$6:$L$1269,8,0)="SI","SI","NA")</f>
        <v>NA</v>
      </c>
      <c r="AA39" s="315" t="str">
        <f t="shared" si="4"/>
        <v>28.25</v>
      </c>
    </row>
    <row r="40" spans="1:27" ht="25.5" customHeight="1" x14ac:dyDescent="0.2">
      <c r="A40" s="316">
        <f t="shared" si="9"/>
        <v>26</v>
      </c>
      <c r="B40" s="304" t="s">
        <v>921</v>
      </c>
      <c r="C40" s="305" t="str">
        <f>IF($B40="","",IFERROR(VLOOKUP($A40,'EXP HABILITANTE'!$A:$I,9,0),""))</f>
        <v>HÁBIL</v>
      </c>
      <c r="D40" s="305" t="s">
        <v>963</v>
      </c>
      <c r="E40" s="305">
        <v>133.97</v>
      </c>
      <c r="F40" s="306">
        <f t="shared" si="10"/>
        <v>0.10400000000001342</v>
      </c>
      <c r="G40" s="307">
        <v>689.82</v>
      </c>
      <c r="H40" s="307" t="str">
        <f t="shared" si="5"/>
        <v/>
      </c>
      <c r="I40" s="308">
        <f t="shared" si="11"/>
        <v>689.82</v>
      </c>
      <c r="J40" s="308">
        <v>100</v>
      </c>
      <c r="K40" s="308">
        <v>10</v>
      </c>
      <c r="L40" s="309">
        <f t="shared" si="0"/>
        <v>799.82</v>
      </c>
      <c r="M40" s="310" t="str">
        <f t="shared" si="12"/>
        <v>NO ELEGIBLE</v>
      </c>
      <c r="N40" s="310">
        <f t="shared" si="2"/>
        <v>2.5999999999999998E-4</v>
      </c>
      <c r="O40" s="311">
        <f t="shared" si="6"/>
        <v>-2.5999999999999998E-4</v>
      </c>
      <c r="P40" s="312">
        <f t="shared" si="7"/>
        <v>29</v>
      </c>
      <c r="Q40" s="313">
        <f t="shared" si="3"/>
        <v>26</v>
      </c>
      <c r="S40" s="259">
        <f>IF(VLOOKUP(A40,'EXP DIRECTOR'!$A$6:$L$1269,12,0)="","",ROUND(VLOOKUP(A40,'EXP DIRECTOR'!$A$6:$L$1269,12,0),2))</f>
        <v>25</v>
      </c>
      <c r="T40" s="312" t="str">
        <f>IFERROR(VLOOKUP("E"&amp;A40,'EXP DIRECTOR'!$A$6:$L$1269,8,0),"")</f>
        <v>NO</v>
      </c>
      <c r="U40" s="314" t="s">
        <v>890</v>
      </c>
      <c r="V40" s="314" t="str">
        <f t="shared" si="8"/>
        <v>SI</v>
      </c>
      <c r="W40" s="312">
        <f>IFERROR(IF(VLOOKUP("D"&amp;A40,'EXP DIRECTOR'!$A$6:$L$1269,8,0)="SI",200,0),0)</f>
        <v>200</v>
      </c>
      <c r="X40" s="312"/>
      <c r="Y40" s="314" t="str">
        <f>IF(VLOOKUP("F"&amp;A40,'EXP DIRECTOR'!$A$6:$L$1269,8,0)="SI","SI","NA")</f>
        <v>NA</v>
      </c>
      <c r="AA40" s="315" t="str">
        <f t="shared" si="4"/>
        <v>29.26</v>
      </c>
    </row>
    <row r="41" spans="1:27" ht="25.5" customHeight="1" x14ac:dyDescent="0.2">
      <c r="A41" s="316">
        <f t="shared" si="9"/>
        <v>27</v>
      </c>
      <c r="B41" s="304" t="s">
        <v>134</v>
      </c>
      <c r="C41" s="305" t="str">
        <f>IF($B41="","",IFERROR(VLOOKUP($A41,'EXP HABILITANTE'!$A:$I,9,0),""))</f>
        <v>NO HÁBIL</v>
      </c>
      <c r="D41" s="305" t="s">
        <v>964</v>
      </c>
      <c r="E41" s="305" t="s">
        <v>932</v>
      </c>
      <c r="F41" s="306" t="str">
        <f t="shared" si="10"/>
        <v/>
      </c>
      <c r="G41" s="307" t="s">
        <v>932</v>
      </c>
      <c r="H41" s="307" t="str">
        <f t="shared" si="5"/>
        <v/>
      </c>
      <c r="I41" s="308" t="str">
        <f t="shared" si="11"/>
        <v/>
      </c>
      <c r="J41" s="308"/>
      <c r="K41" s="308" t="s">
        <v>932</v>
      </c>
      <c r="L41" s="309" t="str">
        <f t="shared" si="0"/>
        <v/>
      </c>
      <c r="M41" s="310" t="str">
        <f t="shared" si="12"/>
        <v>NO ELEGIBLE</v>
      </c>
      <c r="N41" s="310">
        <f t="shared" si="2"/>
        <v>2.7E-4</v>
      </c>
      <c r="O41" s="311">
        <f t="shared" si="6"/>
        <v>-2.7E-4</v>
      </c>
      <c r="P41" s="312">
        <f t="shared" si="7"/>
        <v>30</v>
      </c>
      <c r="Q41" s="313">
        <f t="shared" si="3"/>
        <v>27</v>
      </c>
      <c r="S41" s="259">
        <f>IF(VLOOKUP(A41,'EXP DIRECTOR'!$A$6:$L$1269,12,0)="","",ROUND(VLOOKUP(A41,'EXP DIRECTOR'!$A$6:$L$1269,12,0),2))</f>
        <v>20</v>
      </c>
      <c r="T41" s="312" t="str">
        <f>IFERROR(VLOOKUP("E"&amp;A41,'EXP DIRECTOR'!$A$6:$L$1269,8,0),"")</f>
        <v>NO</v>
      </c>
      <c r="U41" s="314" t="s">
        <v>890</v>
      </c>
      <c r="V41" s="314" t="str">
        <f t="shared" si="8"/>
        <v>SI</v>
      </c>
      <c r="W41" s="312">
        <f>IFERROR(IF(VLOOKUP("D"&amp;A41,'EXP DIRECTOR'!$A$6:$L$1269,8,0)="SI",200,0),0)</f>
        <v>200</v>
      </c>
      <c r="X41" s="312"/>
      <c r="Y41" s="314" t="str">
        <f>IF(VLOOKUP("F"&amp;A41,'EXP DIRECTOR'!$A$6:$L$1269,8,0)="SI","SI","NA")</f>
        <v>NA</v>
      </c>
      <c r="AA41" s="315" t="str">
        <f t="shared" si="4"/>
        <v/>
      </c>
    </row>
    <row r="42" spans="1:27" ht="25.5" customHeight="1" x14ac:dyDescent="0.2">
      <c r="A42" s="316">
        <f t="shared" si="9"/>
        <v>28</v>
      </c>
      <c r="B42" s="304" t="s">
        <v>924</v>
      </c>
      <c r="C42" s="305" t="str">
        <f>IF($B42="","",IFERROR(VLOOKUP($A42,'EXP HABILITANTE'!$A:$I,9,0),""))</f>
        <v>HÁBIL</v>
      </c>
      <c r="D42" s="305" t="s">
        <v>963</v>
      </c>
      <c r="E42" s="305">
        <v>126.59699999999999</v>
      </c>
      <c r="F42" s="306">
        <f t="shared" si="10"/>
        <v>7.4770000000000181</v>
      </c>
      <c r="G42" s="307">
        <v>651.85599999999999</v>
      </c>
      <c r="H42" s="307">
        <f t="shared" si="5"/>
        <v>200</v>
      </c>
      <c r="I42" s="308">
        <f t="shared" si="11"/>
        <v>851.85599999999999</v>
      </c>
      <c r="J42" s="308">
        <v>100</v>
      </c>
      <c r="K42" s="308">
        <v>10</v>
      </c>
      <c r="L42" s="309">
        <f t="shared" si="0"/>
        <v>961.85599999999999</v>
      </c>
      <c r="M42" s="310">
        <f t="shared" si="12"/>
        <v>961.85599999999999</v>
      </c>
      <c r="N42" s="310">
        <f t="shared" si="2"/>
        <v>2.7999999999999998E-4</v>
      </c>
      <c r="O42" s="311">
        <f t="shared" si="6"/>
        <v>961.85572000000002</v>
      </c>
      <c r="P42" s="312">
        <f t="shared" si="7"/>
        <v>9</v>
      </c>
      <c r="Q42" s="313">
        <f t="shared" si="3"/>
        <v>28</v>
      </c>
      <c r="S42" s="259">
        <f>IF(VLOOKUP(A42,'EXP DIRECTOR'!$A$6:$L$1269,12,0)="","",ROUND(VLOOKUP(A42,'EXP DIRECTOR'!$A$6:$L$1269,12,0),2))</f>
        <v>32</v>
      </c>
      <c r="T42" s="312" t="str">
        <f>IFERROR(VLOOKUP("E"&amp;A42,'EXP DIRECTOR'!$A$6:$L$1269,8,0),"")</f>
        <v>SI</v>
      </c>
      <c r="U42" s="314" t="s">
        <v>890</v>
      </c>
      <c r="V42" s="314" t="str">
        <f t="shared" si="8"/>
        <v>SI</v>
      </c>
      <c r="W42" s="312">
        <f>IFERROR(IF(VLOOKUP("D"&amp;A42,'EXP DIRECTOR'!$A$6:$L$1269,8,0)="SI",200,0),0)</f>
        <v>200</v>
      </c>
      <c r="X42" s="312"/>
      <c r="Y42" s="314" t="str">
        <f>IF(VLOOKUP("F"&amp;A42,'EXP DIRECTOR'!$A$6:$L$1269,8,0)="SI","SI","NA")</f>
        <v>NA</v>
      </c>
      <c r="AA42" s="315" t="str">
        <f t="shared" si="4"/>
        <v>9.28</v>
      </c>
    </row>
    <row r="43" spans="1:27" ht="25.5" customHeight="1" x14ac:dyDescent="0.2">
      <c r="A43" s="316">
        <f t="shared" si="9"/>
        <v>29</v>
      </c>
      <c r="B43" s="304" t="s">
        <v>926</v>
      </c>
      <c r="C43" s="305" t="str">
        <f>IF($B43="","",IFERROR(VLOOKUP($A43,'EXP HABILITANTE'!$A:$I,9,0),""))</f>
        <v>HÁBIL</v>
      </c>
      <c r="D43" s="305" t="s">
        <v>963</v>
      </c>
      <c r="E43" s="305">
        <v>134.48500000000001</v>
      </c>
      <c r="F43" s="306">
        <f t="shared" si="10"/>
        <v>0.41100000000000136</v>
      </c>
      <c r="G43" s="307">
        <v>687.52800000000002</v>
      </c>
      <c r="H43" s="307">
        <f t="shared" si="5"/>
        <v>200</v>
      </c>
      <c r="I43" s="308">
        <f t="shared" si="11"/>
        <v>887.52800000000002</v>
      </c>
      <c r="J43" s="308">
        <v>100</v>
      </c>
      <c r="K43" s="308">
        <v>10</v>
      </c>
      <c r="L43" s="309">
        <f t="shared" si="0"/>
        <v>997.52800000000002</v>
      </c>
      <c r="M43" s="310">
        <f t="shared" si="12"/>
        <v>997.52800000000002</v>
      </c>
      <c r="N43" s="310">
        <f t="shared" si="2"/>
        <v>2.9E-4</v>
      </c>
      <c r="O43" s="311">
        <f t="shared" si="6"/>
        <v>997.52771000000007</v>
      </c>
      <c r="P43" s="312">
        <f t="shared" si="7"/>
        <v>4</v>
      </c>
      <c r="Q43" s="313">
        <f t="shared" si="3"/>
        <v>29</v>
      </c>
      <c r="S43" s="259">
        <f>IF(VLOOKUP(A43,'EXP DIRECTOR'!$A$6:$L$1269,12,0)="","",ROUND(VLOOKUP(A43,'EXP DIRECTOR'!$A$6:$L$1269,12,0),2))</f>
        <v>15</v>
      </c>
      <c r="T43" s="312" t="str">
        <f>IFERROR(VLOOKUP("E"&amp;A43,'EXP DIRECTOR'!$A$6:$L$1269,8,0),"")</f>
        <v>SI</v>
      </c>
      <c r="U43" s="314" t="s">
        <v>890</v>
      </c>
      <c r="V43" s="314" t="str">
        <f t="shared" si="8"/>
        <v>SI</v>
      </c>
      <c r="W43" s="312">
        <f>IFERROR(IF(VLOOKUP("D"&amp;A43,'EXP DIRECTOR'!$A$6:$L$1269,8,0)="SI",200,0),0)</f>
        <v>200</v>
      </c>
      <c r="X43" s="312"/>
      <c r="Y43" s="314" t="str">
        <f>IF(VLOOKUP("F"&amp;A43,'EXP DIRECTOR'!$A$6:$L$1269,8,0)="SI","SI","NA")</f>
        <v>NA</v>
      </c>
      <c r="AA43" s="315" t="str">
        <f t="shared" si="4"/>
        <v>4.29</v>
      </c>
    </row>
    <row r="44" spans="1:27" ht="25.5" customHeight="1" x14ac:dyDescent="0.2">
      <c r="A44" s="316">
        <f t="shared" si="9"/>
        <v>30</v>
      </c>
      <c r="B44" s="304" t="s">
        <v>928</v>
      </c>
      <c r="C44" s="305" t="str">
        <f>IF($B44="","",IFERROR(VLOOKUP($A44,'EXP HABILITANTE'!$A:$I,9,0),""))</f>
        <v>HÁBIL</v>
      </c>
      <c r="D44" s="305" t="s">
        <v>964</v>
      </c>
      <c r="E44" s="305" t="s">
        <v>932</v>
      </c>
      <c r="F44" s="306" t="str">
        <f t="shared" si="10"/>
        <v/>
      </c>
      <c r="G44" s="307" t="s">
        <v>932</v>
      </c>
      <c r="H44" s="307" t="str">
        <f t="shared" si="5"/>
        <v/>
      </c>
      <c r="I44" s="308" t="str">
        <f t="shared" si="11"/>
        <v/>
      </c>
      <c r="J44" s="308"/>
      <c r="K44" s="308" t="s">
        <v>932</v>
      </c>
      <c r="L44" s="309" t="str">
        <f t="shared" si="0"/>
        <v/>
      </c>
      <c r="M44" s="310" t="str">
        <f t="shared" si="12"/>
        <v>NO ELEGIBLE</v>
      </c>
      <c r="N44" s="310">
        <f t="shared" si="2"/>
        <v>2.9999999999999997E-4</v>
      </c>
      <c r="O44" s="311">
        <f t="shared" si="6"/>
        <v>-2.9999999999999997E-4</v>
      </c>
      <c r="P44" s="312">
        <f t="shared" si="7"/>
        <v>31</v>
      </c>
      <c r="Q44" s="313">
        <f t="shared" si="3"/>
        <v>30</v>
      </c>
      <c r="S44" s="259">
        <f>IF(VLOOKUP(A44,'EXP DIRECTOR'!$A$6:$L$1269,12,0)="","",ROUND(VLOOKUP(A44,'EXP DIRECTOR'!$A$6:$L$1269,12,0),2))</f>
        <v>52</v>
      </c>
      <c r="T44" s="312" t="str">
        <f>IFERROR(VLOOKUP("E"&amp;A44,'EXP DIRECTOR'!$A$6:$L$1269,8,0),"")</f>
        <v>SI</v>
      </c>
      <c r="U44" s="314" t="s">
        <v>890</v>
      </c>
      <c r="V44" s="314" t="str">
        <f t="shared" si="8"/>
        <v>SI</v>
      </c>
      <c r="W44" s="312">
        <f>IFERROR(IF(VLOOKUP("D"&amp;A44,'EXP DIRECTOR'!$A$6:$L$1269,8,0)="SI",200,0),0)</f>
        <v>200</v>
      </c>
      <c r="X44" s="312"/>
      <c r="Y44" s="314" t="str">
        <f>IF(VLOOKUP("F"&amp;A44,'EXP DIRECTOR'!$A$6:$L$1269,8,0)="SI","SI","NA")</f>
        <v>NA</v>
      </c>
      <c r="AA44" s="315" t="str">
        <f t="shared" si="4"/>
        <v/>
      </c>
    </row>
    <row r="45" spans="1:27" ht="25.5" customHeight="1" x14ac:dyDescent="0.2">
      <c r="A45" s="316">
        <f t="shared" si="9"/>
        <v>31</v>
      </c>
      <c r="B45" s="304" t="s">
        <v>150</v>
      </c>
      <c r="C45" s="305" t="str">
        <f>IF($B45="","",IFERROR(VLOOKUP($A45,'EXP HABILITANTE'!$A:$I,9,0),""))</f>
        <v>HÁBIL</v>
      </c>
      <c r="D45" s="305" t="s">
        <v>963</v>
      </c>
      <c r="E45" s="305">
        <v>188.78200000000001</v>
      </c>
      <c r="F45" s="306">
        <f t="shared" si="10"/>
        <v>54.707999999999998</v>
      </c>
      <c r="G45" s="307">
        <v>407.95</v>
      </c>
      <c r="H45" s="307">
        <f t="shared" si="5"/>
        <v>200</v>
      </c>
      <c r="I45" s="308">
        <f t="shared" si="11"/>
        <v>607.95000000000005</v>
      </c>
      <c r="J45" s="308">
        <v>100</v>
      </c>
      <c r="K45" s="308">
        <v>10</v>
      </c>
      <c r="L45" s="309">
        <f t="shared" si="0"/>
        <v>717.95</v>
      </c>
      <c r="M45" s="310" t="str">
        <f t="shared" si="12"/>
        <v>NO ELEGIBLE</v>
      </c>
      <c r="N45" s="310">
        <f t="shared" si="2"/>
        <v>3.1E-4</v>
      </c>
      <c r="O45" s="311">
        <f t="shared" si="6"/>
        <v>-3.1E-4</v>
      </c>
      <c r="P45" s="312">
        <f t="shared" si="7"/>
        <v>32</v>
      </c>
      <c r="Q45" s="313">
        <f t="shared" si="3"/>
        <v>31</v>
      </c>
      <c r="S45" s="259">
        <f>IF(VLOOKUP(A45,'EXP DIRECTOR'!$A$6:$L$1269,12,0)="","",ROUND(VLOOKUP(A45,'EXP DIRECTOR'!$A$6:$L$1269,12,0),2))</f>
        <v>24</v>
      </c>
      <c r="T45" s="312" t="str">
        <f>IFERROR(VLOOKUP("E"&amp;A45,'EXP DIRECTOR'!$A$6:$L$1269,8,0),"")</f>
        <v>SI</v>
      </c>
      <c r="U45" s="314" t="s">
        <v>890</v>
      </c>
      <c r="V45" s="314" t="str">
        <f t="shared" si="8"/>
        <v>SI</v>
      </c>
      <c r="W45" s="312">
        <f>IFERROR(IF(VLOOKUP("D"&amp;A45,'EXP DIRECTOR'!$A$6:$L$1269,8,0)="SI",200,0),0)</f>
        <v>200</v>
      </c>
      <c r="X45" s="312"/>
      <c r="Y45" s="314" t="str">
        <f>IF(VLOOKUP("F"&amp;A45,'EXP DIRECTOR'!$A$6:$L$1269,8,0)="SI","SI","NA")</f>
        <v>NA</v>
      </c>
      <c r="AA45" s="315" t="str">
        <f t="shared" si="4"/>
        <v>32.31</v>
      </c>
    </row>
    <row r="46" spans="1:27" ht="25.5" customHeight="1" x14ac:dyDescent="0.2">
      <c r="A46" s="316">
        <f t="shared" si="9"/>
        <v>32</v>
      </c>
      <c r="B46" s="304" t="s">
        <v>930</v>
      </c>
      <c r="C46" s="305" t="str">
        <f>IF($B46="","",IFERROR(VLOOKUP($A46,'EXP HABILITANTE'!$A:$I,9,0),""))</f>
        <v>HÁBIL</v>
      </c>
      <c r="D46" s="305" t="s">
        <v>963</v>
      </c>
      <c r="E46" s="305">
        <v>118.48099999999999</v>
      </c>
      <c r="F46" s="306">
        <f t="shared" si="10"/>
        <v>15.593000000000018</v>
      </c>
      <c r="G46" s="307">
        <v>610.06600000000003</v>
      </c>
      <c r="H46" s="307">
        <f t="shared" si="5"/>
        <v>200</v>
      </c>
      <c r="I46" s="308">
        <f t="shared" si="11"/>
        <v>810.06600000000003</v>
      </c>
      <c r="J46" s="308">
        <v>100</v>
      </c>
      <c r="K46" s="308">
        <v>10</v>
      </c>
      <c r="L46" s="309">
        <f t="shared" si="0"/>
        <v>920.06600000000003</v>
      </c>
      <c r="M46" s="310">
        <f t="shared" si="12"/>
        <v>920.06600000000003</v>
      </c>
      <c r="N46" s="310">
        <f t="shared" si="2"/>
        <v>3.2000000000000003E-4</v>
      </c>
      <c r="O46" s="311">
        <f t="shared" si="6"/>
        <v>920.06568000000004</v>
      </c>
      <c r="P46" s="312">
        <f t="shared" si="7"/>
        <v>18</v>
      </c>
      <c r="Q46" s="313">
        <f t="shared" si="3"/>
        <v>32</v>
      </c>
      <c r="S46" s="259">
        <f>IF(VLOOKUP(A46,'EXP DIRECTOR'!$A$6:$L$1269,12,0)="","",ROUND(VLOOKUP(A46,'EXP DIRECTOR'!$A$6:$L$1269,12,0),2))</f>
        <v>30</v>
      </c>
      <c r="T46" s="312" t="str">
        <f>IFERROR(VLOOKUP("E"&amp;A46,'EXP DIRECTOR'!$A$6:$L$1269,8,0),"")</f>
        <v>SI</v>
      </c>
      <c r="U46" s="314" t="s">
        <v>890</v>
      </c>
      <c r="V46" s="314" t="str">
        <f t="shared" si="8"/>
        <v>SI</v>
      </c>
      <c r="W46" s="312">
        <f>IFERROR(IF(VLOOKUP("D"&amp;A46,'EXP DIRECTOR'!$A$6:$L$1269,8,0)="SI",200,0),0)</f>
        <v>200</v>
      </c>
      <c r="X46" s="312"/>
      <c r="Y46" s="314" t="str">
        <f>IF(VLOOKUP("F"&amp;A46,'EXP DIRECTOR'!$A$6:$L$1269,8,0)="SI","SI","NA")</f>
        <v>NA</v>
      </c>
      <c r="AA46" s="315" t="str">
        <f t="shared" si="4"/>
        <v>18.32</v>
      </c>
    </row>
    <row r="47" spans="1:27" ht="25.5" customHeight="1" x14ac:dyDescent="0.2">
      <c r="A47" s="316">
        <f t="shared" si="9"/>
        <v>33</v>
      </c>
      <c r="B47" s="304" t="s">
        <v>158</v>
      </c>
      <c r="C47" s="305" t="str">
        <f>IF($B47="","",IFERROR(VLOOKUP($A47,'EXP HABILITANTE'!$A:$I,9,0),""))</f>
        <v>HÁBIL</v>
      </c>
      <c r="D47" s="305" t="s">
        <v>963</v>
      </c>
      <c r="E47" s="305">
        <v>171.44900000000001</v>
      </c>
      <c r="F47" s="306">
        <f t="shared" si="10"/>
        <v>37.375</v>
      </c>
      <c r="G47" s="307">
        <v>497.19900000000001</v>
      </c>
      <c r="H47" s="307" t="str">
        <f t="shared" si="5"/>
        <v/>
      </c>
      <c r="I47" s="308">
        <f t="shared" si="11"/>
        <v>497.19900000000001</v>
      </c>
      <c r="J47" s="308">
        <v>100</v>
      </c>
      <c r="K47" s="308">
        <v>0</v>
      </c>
      <c r="L47" s="309">
        <f t="shared" si="0"/>
        <v>597.19900000000007</v>
      </c>
      <c r="M47" s="310" t="str">
        <f t="shared" si="12"/>
        <v>NO ELEGIBLE</v>
      </c>
      <c r="N47" s="310">
        <f t="shared" si="2"/>
        <v>3.3E-4</v>
      </c>
      <c r="O47" s="311">
        <f t="shared" si="6"/>
        <v>-3.3E-4</v>
      </c>
      <c r="P47" s="312">
        <f t="shared" si="7"/>
        <v>33</v>
      </c>
      <c r="Q47" s="313">
        <f t="shared" si="3"/>
        <v>33</v>
      </c>
      <c r="S47" s="259">
        <f>IF(VLOOKUP(A47,'EXP DIRECTOR'!$A$6:$L$1269,12,0)="","",ROUND(VLOOKUP(A47,'EXP DIRECTOR'!$A$6:$L$1269,12,0),2))</f>
        <v>19</v>
      </c>
      <c r="T47" s="312" t="str">
        <f>IFERROR(VLOOKUP("E"&amp;A47,'EXP DIRECTOR'!$A$6:$L$1269,8,0),"")</f>
        <v>NO</v>
      </c>
      <c r="U47" s="314" t="s">
        <v>890</v>
      </c>
      <c r="V47" s="314" t="str">
        <f t="shared" si="8"/>
        <v>SI</v>
      </c>
      <c r="W47" s="312">
        <f>IFERROR(IF(VLOOKUP("D"&amp;A47,'EXP DIRECTOR'!$A$6:$L$1269,8,0)="SI",200,0),0)</f>
        <v>200</v>
      </c>
      <c r="X47" s="312"/>
      <c r="Y47" s="314" t="str">
        <f>IF(VLOOKUP("F"&amp;A47,'EXP DIRECTOR'!$A$6:$L$1269,8,0)="SI","SI","NA")</f>
        <v>NA</v>
      </c>
      <c r="AA47" s="315" t="str">
        <f t="shared" si="4"/>
        <v>33.33</v>
      </c>
    </row>
    <row r="48" spans="1:27" ht="25.5" customHeight="1" x14ac:dyDescent="0.2">
      <c r="A48" s="316">
        <f t="shared" si="9"/>
        <v>34</v>
      </c>
      <c r="B48" s="304" t="s">
        <v>932</v>
      </c>
      <c r="C48" s="305" t="str">
        <f>IF($B48="","",IFERROR(VLOOKUP($A48,'EXP HABILITANTE'!$A:$I,9,0),""))</f>
        <v/>
      </c>
      <c r="D48" s="305" t="s">
        <v>932</v>
      </c>
      <c r="E48" s="305" t="s">
        <v>932</v>
      </c>
      <c r="F48" s="306" t="str">
        <f t="shared" si="10"/>
        <v/>
      </c>
      <c r="G48" s="307" t="s">
        <v>932</v>
      </c>
      <c r="H48" s="307" t="str">
        <f t="shared" si="5"/>
        <v/>
      </c>
      <c r="I48" s="308" t="str">
        <f t="shared" si="11"/>
        <v/>
      </c>
      <c r="J48" s="308"/>
      <c r="K48" s="308" t="s">
        <v>932</v>
      </c>
      <c r="L48" s="309" t="str">
        <f t="shared" si="0"/>
        <v/>
      </c>
      <c r="M48" s="310" t="str">
        <f t="shared" si="12"/>
        <v>NO ELEGIBLE</v>
      </c>
      <c r="N48" s="310">
        <f t="shared" si="2"/>
        <v>3.4000000000000002E-4</v>
      </c>
      <c r="O48" s="311">
        <f t="shared" si="6"/>
        <v>-3.4000000000000002E-4</v>
      </c>
      <c r="P48" s="312">
        <f t="shared" si="7"/>
        <v>34</v>
      </c>
      <c r="Q48" s="313">
        <f t="shared" si="3"/>
        <v>34</v>
      </c>
      <c r="S48" s="259" t="str">
        <f>IF(VLOOKUP(A48,'EXP DIRECTOR'!$A$6:$L$1269,12,0)="","",ROUND(VLOOKUP(A48,'EXP DIRECTOR'!$A$6:$L$1269,12,0),2))</f>
        <v/>
      </c>
      <c r="T48" s="312" t="str">
        <f>IFERROR(VLOOKUP("E"&amp;A48,'EXP DIRECTOR'!$A$6:$L$1269,8,0),"")</f>
        <v/>
      </c>
      <c r="U48" s="314" t="s">
        <v>890</v>
      </c>
      <c r="V48" s="314" t="str">
        <f t="shared" si="8"/>
        <v>SI</v>
      </c>
      <c r="W48" s="312">
        <f>IFERROR(IF(VLOOKUP("D"&amp;A48,'EXP DIRECTOR'!$A$6:$L$1269,8,0)="SI",200,0),0)</f>
        <v>0</v>
      </c>
      <c r="X48" s="312"/>
      <c r="Y48" s="314" t="str">
        <f>IF(VLOOKUP("F"&amp;A48,'EXP DIRECTOR'!$A$6:$L$1269,8,0)="SI","SI","NA")</f>
        <v>NA</v>
      </c>
      <c r="AA48" s="315" t="str">
        <f t="shared" si="4"/>
        <v/>
      </c>
    </row>
    <row r="49" spans="1:27" ht="25.5" customHeight="1" x14ac:dyDescent="0.2">
      <c r="A49" s="316">
        <f t="shared" si="9"/>
        <v>35</v>
      </c>
      <c r="B49" s="304" t="s">
        <v>932</v>
      </c>
      <c r="C49" s="305" t="str">
        <f>IF($B49="","",IFERROR(VLOOKUP($A49,'EXP HABILITANTE'!$A:$I,9,0),""))</f>
        <v/>
      </c>
      <c r="D49" s="305" t="s">
        <v>932</v>
      </c>
      <c r="E49" s="305" t="s">
        <v>932</v>
      </c>
      <c r="F49" s="306" t="str">
        <f t="shared" si="10"/>
        <v/>
      </c>
      <c r="G49" s="307" t="s">
        <v>932</v>
      </c>
      <c r="H49" s="307" t="str">
        <f t="shared" si="5"/>
        <v/>
      </c>
      <c r="I49" s="308" t="str">
        <f t="shared" si="11"/>
        <v/>
      </c>
      <c r="J49" s="308"/>
      <c r="K49" s="308" t="s">
        <v>932</v>
      </c>
      <c r="L49" s="309" t="str">
        <f t="shared" si="0"/>
        <v/>
      </c>
      <c r="M49" s="310" t="str">
        <f t="shared" si="12"/>
        <v>NO ELEGIBLE</v>
      </c>
      <c r="N49" s="310">
        <f t="shared" si="2"/>
        <v>3.5E-4</v>
      </c>
      <c r="O49" s="311">
        <f t="shared" si="6"/>
        <v>-3.5E-4</v>
      </c>
      <c r="P49" s="312">
        <f t="shared" si="7"/>
        <v>35</v>
      </c>
      <c r="Q49" s="313">
        <f t="shared" si="3"/>
        <v>35</v>
      </c>
      <c r="S49" s="259" t="str">
        <f>IF(VLOOKUP(A49,'EXP DIRECTOR'!$A$6:$L$1269,12,0)="","",ROUND(VLOOKUP(A49,'EXP DIRECTOR'!$A$6:$L$1269,12,0),2))</f>
        <v/>
      </c>
      <c r="T49" s="312" t="str">
        <f>IFERROR(VLOOKUP("E"&amp;A49,'EXP DIRECTOR'!$A$6:$L$1269,8,0),"")</f>
        <v/>
      </c>
      <c r="U49" s="314" t="s">
        <v>890</v>
      </c>
      <c r="V49" s="314" t="str">
        <f t="shared" si="8"/>
        <v>SI</v>
      </c>
      <c r="W49" s="312">
        <f>IFERROR(IF(VLOOKUP("D"&amp;A49,'EXP DIRECTOR'!$A$6:$L$1269,8,0)="SI",200,0),0)</f>
        <v>0</v>
      </c>
      <c r="X49" s="312"/>
      <c r="Y49" s="314" t="str">
        <f>IF(VLOOKUP("F"&amp;A49,'EXP DIRECTOR'!$A$6:$L$1269,8,0)="SI","SI","NA")</f>
        <v>NA</v>
      </c>
      <c r="AA49" s="315" t="str">
        <f t="shared" si="4"/>
        <v/>
      </c>
    </row>
    <row r="50" spans="1:27" ht="25.5" customHeight="1" x14ac:dyDescent="0.2">
      <c r="A50" s="316">
        <f t="shared" si="9"/>
        <v>36</v>
      </c>
      <c r="B50" s="304" t="s">
        <v>932</v>
      </c>
      <c r="C50" s="305" t="str">
        <f>IF($B50="","",IFERROR(VLOOKUP($A50,'EXP HABILITANTE'!$A:$I,9,0),""))</f>
        <v/>
      </c>
      <c r="D50" s="305" t="s">
        <v>932</v>
      </c>
      <c r="E50" s="305" t="s">
        <v>932</v>
      </c>
      <c r="F50" s="306" t="str">
        <f t="shared" si="10"/>
        <v/>
      </c>
      <c r="G50" s="307" t="s">
        <v>932</v>
      </c>
      <c r="H50" s="307" t="str">
        <f t="shared" si="5"/>
        <v/>
      </c>
      <c r="I50" s="308" t="str">
        <f t="shared" si="11"/>
        <v/>
      </c>
      <c r="J50" s="308"/>
      <c r="K50" s="308" t="s">
        <v>932</v>
      </c>
      <c r="L50" s="309" t="str">
        <f t="shared" si="0"/>
        <v/>
      </c>
      <c r="M50" s="310" t="str">
        <f t="shared" si="12"/>
        <v>NO ELEGIBLE</v>
      </c>
      <c r="N50" s="310">
        <f t="shared" si="2"/>
        <v>3.6000000000000002E-4</v>
      </c>
      <c r="O50" s="311">
        <f t="shared" si="6"/>
        <v>-3.6000000000000002E-4</v>
      </c>
      <c r="P50" s="312">
        <f t="shared" si="7"/>
        <v>36</v>
      </c>
      <c r="Q50" s="313">
        <f t="shared" si="3"/>
        <v>36</v>
      </c>
      <c r="S50" s="259" t="str">
        <f>IF(VLOOKUP(A50,'EXP DIRECTOR'!$A$6:$L$1269,12,0)="","",ROUND(VLOOKUP(A50,'EXP DIRECTOR'!$A$6:$L$1269,12,0),2))</f>
        <v/>
      </c>
      <c r="T50" s="312" t="str">
        <f>IFERROR(VLOOKUP("E"&amp;A50,'EXP DIRECTOR'!$A$6:$L$1269,8,0),"")</f>
        <v/>
      </c>
      <c r="U50" s="314" t="s">
        <v>890</v>
      </c>
      <c r="V50" s="314" t="str">
        <f t="shared" si="8"/>
        <v>SI</v>
      </c>
      <c r="W50" s="312">
        <f>IFERROR(IF(VLOOKUP("D"&amp;A50,'EXP DIRECTOR'!$A$6:$L$1269,8,0)="SI",200,0),0)</f>
        <v>0</v>
      </c>
      <c r="X50" s="312"/>
      <c r="Y50" s="314" t="str">
        <f>IF(VLOOKUP("F"&amp;A50,'EXP DIRECTOR'!$A$6:$L$1269,8,0)="SI","SI","NA")</f>
        <v>NA</v>
      </c>
      <c r="AA50" s="315" t="str">
        <f t="shared" si="4"/>
        <v/>
      </c>
    </row>
    <row r="51" spans="1:27" ht="25.5" customHeight="1" x14ac:dyDescent="0.2">
      <c r="A51" s="316">
        <f t="shared" si="9"/>
        <v>37</v>
      </c>
      <c r="B51" s="304" t="s">
        <v>932</v>
      </c>
      <c r="C51" s="305" t="str">
        <f>IF($B51="","",IFERROR(VLOOKUP($A51,'EXP HABILITANTE'!$A:$I,9,0),""))</f>
        <v/>
      </c>
      <c r="D51" s="305" t="s">
        <v>932</v>
      </c>
      <c r="E51" s="305" t="s">
        <v>932</v>
      </c>
      <c r="F51" s="306" t="str">
        <f t="shared" si="10"/>
        <v/>
      </c>
      <c r="G51" s="307" t="s">
        <v>932</v>
      </c>
      <c r="H51" s="307" t="str">
        <f t="shared" si="5"/>
        <v/>
      </c>
      <c r="I51" s="308" t="str">
        <f t="shared" si="11"/>
        <v/>
      </c>
      <c r="J51" s="308"/>
      <c r="K51" s="308" t="s">
        <v>932</v>
      </c>
      <c r="L51" s="309" t="str">
        <f t="shared" si="0"/>
        <v/>
      </c>
      <c r="M51" s="310" t="str">
        <f t="shared" si="12"/>
        <v>NO ELEGIBLE</v>
      </c>
      <c r="N51" s="310">
        <f t="shared" si="2"/>
        <v>3.6999999999999999E-4</v>
      </c>
      <c r="O51" s="311">
        <f t="shared" si="6"/>
        <v>-3.6999999999999999E-4</v>
      </c>
      <c r="P51" s="312">
        <f t="shared" si="7"/>
        <v>37</v>
      </c>
      <c r="Q51" s="313">
        <f t="shared" si="3"/>
        <v>37</v>
      </c>
      <c r="S51" s="259" t="str">
        <f>IF(VLOOKUP(A51,'EXP DIRECTOR'!$A$6:$L$1269,12,0)="","",ROUND(VLOOKUP(A51,'EXP DIRECTOR'!$A$6:$L$1269,12,0),2))</f>
        <v/>
      </c>
      <c r="T51" s="312" t="str">
        <f>IFERROR(VLOOKUP("E"&amp;A51,'EXP DIRECTOR'!$A$6:$L$1269,8,0),"")</f>
        <v/>
      </c>
      <c r="U51" s="314" t="s">
        <v>890</v>
      </c>
      <c r="V51" s="314" t="str">
        <f t="shared" si="8"/>
        <v>SI</v>
      </c>
      <c r="W51" s="312">
        <f>IFERROR(IF(VLOOKUP("D"&amp;A51,'EXP DIRECTOR'!$A$6:$L$1269,8,0)="SI",200,0),0)</f>
        <v>0</v>
      </c>
      <c r="X51" s="312"/>
      <c r="Y51" s="314" t="str">
        <f>IF(VLOOKUP("F"&amp;A51,'EXP DIRECTOR'!$A$6:$L$1269,8,0)="SI","SI","NA")</f>
        <v>NA</v>
      </c>
      <c r="AA51" s="315" t="str">
        <f t="shared" si="4"/>
        <v/>
      </c>
    </row>
    <row r="52" spans="1:27" ht="25.5" customHeight="1" x14ac:dyDescent="0.2">
      <c r="A52" s="316">
        <f t="shared" si="9"/>
        <v>38</v>
      </c>
      <c r="B52" s="304" t="s">
        <v>932</v>
      </c>
      <c r="C52" s="305" t="str">
        <f>IF($B52="","",IFERROR(VLOOKUP($A52,'EXP HABILITANTE'!$A:$I,9,0),""))</f>
        <v/>
      </c>
      <c r="D52" s="305" t="s">
        <v>932</v>
      </c>
      <c r="E52" s="305" t="s">
        <v>932</v>
      </c>
      <c r="F52" s="306" t="str">
        <f t="shared" si="10"/>
        <v/>
      </c>
      <c r="G52" s="307" t="s">
        <v>932</v>
      </c>
      <c r="H52" s="307" t="str">
        <f t="shared" si="5"/>
        <v/>
      </c>
      <c r="I52" s="308" t="str">
        <f t="shared" si="11"/>
        <v/>
      </c>
      <c r="J52" s="308"/>
      <c r="K52" s="308" t="s">
        <v>932</v>
      </c>
      <c r="L52" s="309" t="str">
        <f t="shared" si="0"/>
        <v/>
      </c>
      <c r="M52" s="310" t="str">
        <f t="shared" si="12"/>
        <v>NO ELEGIBLE</v>
      </c>
      <c r="N52" s="310">
        <f t="shared" si="2"/>
        <v>3.8000000000000002E-4</v>
      </c>
      <c r="O52" s="311">
        <f t="shared" si="6"/>
        <v>-3.8000000000000002E-4</v>
      </c>
      <c r="P52" s="312">
        <f t="shared" si="7"/>
        <v>38</v>
      </c>
      <c r="Q52" s="313">
        <f t="shared" si="3"/>
        <v>38</v>
      </c>
      <c r="S52" s="259" t="str">
        <f>IF(VLOOKUP(A52,'EXP DIRECTOR'!$A$6:$L$1269,12,0)="","",ROUND(VLOOKUP(A52,'EXP DIRECTOR'!$A$6:$L$1269,12,0),2))</f>
        <v/>
      </c>
      <c r="T52" s="312" t="str">
        <f>IFERROR(VLOOKUP("E"&amp;A52,'EXP DIRECTOR'!$A$6:$L$1269,8,0),"")</f>
        <v/>
      </c>
      <c r="U52" s="314" t="s">
        <v>890</v>
      </c>
      <c r="V52" s="314" t="str">
        <f t="shared" si="8"/>
        <v>SI</v>
      </c>
      <c r="W52" s="312">
        <f>IFERROR(IF(VLOOKUP("D"&amp;A52,'EXP DIRECTOR'!$A$6:$L$1269,8,0)="SI",200,0),0)</f>
        <v>0</v>
      </c>
      <c r="X52" s="312"/>
      <c r="Y52" s="314" t="str">
        <f>IF(VLOOKUP("F"&amp;A52,'EXP DIRECTOR'!$A$6:$L$1269,8,0)="SI","SI","NA")</f>
        <v>NA</v>
      </c>
      <c r="AA52" s="315" t="str">
        <f t="shared" si="4"/>
        <v/>
      </c>
    </row>
    <row r="53" spans="1:27" ht="25.5" customHeight="1" x14ac:dyDescent="0.2">
      <c r="A53" s="316">
        <f t="shared" si="9"/>
        <v>39</v>
      </c>
      <c r="B53" s="304" t="s">
        <v>932</v>
      </c>
      <c r="C53" s="305" t="str">
        <f>IF($B53="","",IFERROR(VLOOKUP($A53,'EXP HABILITANTE'!$A:$I,9,0),""))</f>
        <v/>
      </c>
      <c r="D53" s="305" t="s">
        <v>932</v>
      </c>
      <c r="E53" s="305" t="s">
        <v>932</v>
      </c>
      <c r="F53" s="306" t="str">
        <f t="shared" si="10"/>
        <v/>
      </c>
      <c r="G53" s="307" t="s">
        <v>932</v>
      </c>
      <c r="H53" s="307" t="str">
        <f t="shared" si="5"/>
        <v/>
      </c>
      <c r="I53" s="308" t="str">
        <f t="shared" si="11"/>
        <v/>
      </c>
      <c r="J53" s="308"/>
      <c r="K53" s="308" t="s">
        <v>932</v>
      </c>
      <c r="L53" s="309" t="str">
        <f t="shared" si="0"/>
        <v/>
      </c>
      <c r="M53" s="310" t="str">
        <f t="shared" si="12"/>
        <v>NO ELEGIBLE</v>
      </c>
      <c r="N53" s="310">
        <f t="shared" si="2"/>
        <v>3.8999999999999999E-4</v>
      </c>
      <c r="O53" s="311">
        <f t="shared" si="6"/>
        <v>-3.8999999999999999E-4</v>
      </c>
      <c r="P53" s="312">
        <f t="shared" si="7"/>
        <v>39</v>
      </c>
      <c r="Q53" s="313">
        <f t="shared" si="3"/>
        <v>39</v>
      </c>
      <c r="S53" s="259" t="str">
        <f>IF(VLOOKUP(A53,'EXP DIRECTOR'!$A$6:$L$1269,12,0)="","",ROUND(VLOOKUP(A53,'EXP DIRECTOR'!$A$6:$L$1269,12,0),2))</f>
        <v/>
      </c>
      <c r="T53" s="312" t="str">
        <f>IFERROR(VLOOKUP("E"&amp;A53,'EXP DIRECTOR'!$A$6:$L$1269,8,0),"")</f>
        <v/>
      </c>
      <c r="U53" s="314" t="s">
        <v>890</v>
      </c>
      <c r="V53" s="314" t="str">
        <f t="shared" si="8"/>
        <v>SI</v>
      </c>
      <c r="W53" s="312">
        <f>IFERROR(IF(VLOOKUP("D"&amp;A53,'EXP DIRECTOR'!$A$6:$L$1269,8,0)="SI",200,0),0)</f>
        <v>0</v>
      </c>
      <c r="X53" s="312"/>
      <c r="Y53" s="314" t="str">
        <f>IF(VLOOKUP("F"&amp;A53,'EXP DIRECTOR'!$A$6:$L$1269,8,0)="SI","SI","NA")</f>
        <v>NA</v>
      </c>
      <c r="AA53" s="315" t="str">
        <f t="shared" si="4"/>
        <v/>
      </c>
    </row>
    <row r="54" spans="1:27" ht="25.5" customHeight="1" x14ac:dyDescent="0.2">
      <c r="A54" s="316">
        <f t="shared" si="9"/>
        <v>40</v>
      </c>
      <c r="B54" s="304" t="s">
        <v>932</v>
      </c>
      <c r="C54" s="305" t="str">
        <f>IF($B54="","",IFERROR(VLOOKUP($A54,'EXP HABILITANTE'!$A:$I,9,0),""))</f>
        <v/>
      </c>
      <c r="D54" s="305" t="s">
        <v>932</v>
      </c>
      <c r="E54" s="305" t="s">
        <v>932</v>
      </c>
      <c r="F54" s="306" t="str">
        <f t="shared" si="10"/>
        <v/>
      </c>
      <c r="G54" s="307" t="s">
        <v>932</v>
      </c>
      <c r="H54" s="307" t="str">
        <f t="shared" si="5"/>
        <v/>
      </c>
      <c r="I54" s="308" t="str">
        <f t="shared" si="11"/>
        <v/>
      </c>
      <c r="J54" s="308"/>
      <c r="K54" s="308" t="s">
        <v>932</v>
      </c>
      <c r="L54" s="309" t="str">
        <f t="shared" si="0"/>
        <v/>
      </c>
      <c r="M54" s="310" t="str">
        <f t="shared" si="12"/>
        <v>NO ELEGIBLE</v>
      </c>
      <c r="N54" s="310">
        <f t="shared" si="2"/>
        <v>4.0000000000000002E-4</v>
      </c>
      <c r="O54" s="311">
        <f t="shared" si="6"/>
        <v>-4.0000000000000002E-4</v>
      </c>
      <c r="P54" s="312">
        <f t="shared" si="7"/>
        <v>40</v>
      </c>
      <c r="Q54" s="313">
        <f t="shared" si="3"/>
        <v>40</v>
      </c>
      <c r="S54" s="259" t="str">
        <f>IF(VLOOKUP(A54,'EXP DIRECTOR'!$A$6:$L$1269,12,0)="","",ROUND(VLOOKUP(A54,'EXP DIRECTOR'!$A$6:$L$1269,12,0),2))</f>
        <v/>
      </c>
      <c r="T54" s="312" t="str">
        <f>IFERROR(VLOOKUP("E"&amp;A54,'EXP DIRECTOR'!$A$6:$L$1269,8,0),"")</f>
        <v/>
      </c>
      <c r="U54" s="314" t="s">
        <v>890</v>
      </c>
      <c r="V54" s="314" t="str">
        <f t="shared" si="8"/>
        <v>SI</v>
      </c>
      <c r="W54" s="312">
        <f>IFERROR(IF(VLOOKUP("D"&amp;A54,'EXP DIRECTOR'!$A$6:$L$1269,8,0)="SI",200,0),0)</f>
        <v>0</v>
      </c>
      <c r="X54" s="312"/>
      <c r="Y54" s="314" t="str">
        <f>IF(VLOOKUP("F"&amp;A54,'EXP DIRECTOR'!$A$6:$L$1269,8,0)="SI","SI","NA")</f>
        <v>NA</v>
      </c>
      <c r="AA54" s="315" t="str">
        <f t="shared" si="4"/>
        <v/>
      </c>
    </row>
    <row r="55" spans="1:27" ht="25.5" customHeight="1" x14ac:dyDescent="0.2">
      <c r="A55" s="316">
        <f t="shared" si="9"/>
        <v>41</v>
      </c>
      <c r="B55" s="304" t="s">
        <v>932</v>
      </c>
      <c r="C55" s="305" t="str">
        <f>IF($B55="","",IFERROR(VLOOKUP($A55,'EXP HABILITANTE'!$A:$I,9,0),""))</f>
        <v/>
      </c>
      <c r="D55" s="305" t="s">
        <v>932</v>
      </c>
      <c r="E55" s="305" t="s">
        <v>932</v>
      </c>
      <c r="F55" s="306" t="str">
        <f t="shared" si="10"/>
        <v/>
      </c>
      <c r="G55" s="307" t="s">
        <v>932</v>
      </c>
      <c r="H55" s="307" t="str">
        <f t="shared" si="5"/>
        <v/>
      </c>
      <c r="I55" s="308" t="str">
        <f t="shared" si="11"/>
        <v/>
      </c>
      <c r="J55" s="308"/>
      <c r="K55" s="308" t="s">
        <v>932</v>
      </c>
      <c r="L55" s="309" t="str">
        <f t="shared" si="0"/>
        <v/>
      </c>
      <c r="M55" s="310" t="str">
        <f t="shared" si="12"/>
        <v>NO ELEGIBLE</v>
      </c>
      <c r="N55" s="310">
        <f t="shared" si="2"/>
        <v>4.0999999999999999E-4</v>
      </c>
      <c r="O55" s="311">
        <f t="shared" si="6"/>
        <v>-4.0999999999999999E-4</v>
      </c>
      <c r="P55" s="312">
        <f t="shared" si="7"/>
        <v>41</v>
      </c>
      <c r="Q55" s="313">
        <f t="shared" si="3"/>
        <v>41</v>
      </c>
      <c r="S55" s="259" t="str">
        <f>IF(VLOOKUP(A55,'EXP DIRECTOR'!$A$6:$L$1269,12,0)="","",ROUND(VLOOKUP(A55,'EXP DIRECTOR'!$A$6:$L$1269,12,0),2))</f>
        <v/>
      </c>
      <c r="T55" s="312" t="str">
        <f>IFERROR(VLOOKUP("E"&amp;A55,'EXP DIRECTOR'!$A$6:$L$1269,8,0),"")</f>
        <v/>
      </c>
      <c r="U55" s="314" t="s">
        <v>890</v>
      </c>
      <c r="V55" s="314" t="str">
        <f t="shared" si="8"/>
        <v>SI</v>
      </c>
      <c r="W55" s="312">
        <f>IFERROR(IF(VLOOKUP("D"&amp;A55,'EXP DIRECTOR'!$A$6:$L$1269,8,0)="SI",200,0),0)</f>
        <v>0</v>
      </c>
      <c r="X55" s="312"/>
      <c r="Y55" s="314" t="str">
        <f>IF(VLOOKUP("F"&amp;A55,'EXP DIRECTOR'!$A$6:$L$1269,8,0)="SI","SI","NA")</f>
        <v>NA</v>
      </c>
      <c r="AA55" s="315" t="str">
        <f t="shared" si="4"/>
        <v/>
      </c>
    </row>
    <row r="56" spans="1:27" ht="25.5" customHeight="1" x14ac:dyDescent="0.2">
      <c r="A56" s="316">
        <f t="shared" si="9"/>
        <v>42</v>
      </c>
      <c r="B56" s="304" t="s">
        <v>932</v>
      </c>
      <c r="C56" s="305" t="str">
        <f>IF($B56="","",IFERROR(VLOOKUP($A56,'EXP HABILITANTE'!$A:$I,9,0),""))</f>
        <v/>
      </c>
      <c r="D56" s="305" t="s">
        <v>932</v>
      </c>
      <c r="E56" s="305" t="s">
        <v>932</v>
      </c>
      <c r="F56" s="306" t="str">
        <f t="shared" si="10"/>
        <v/>
      </c>
      <c r="G56" s="307" t="s">
        <v>932</v>
      </c>
      <c r="H56" s="307" t="str">
        <f t="shared" si="5"/>
        <v/>
      </c>
      <c r="I56" s="308" t="str">
        <f t="shared" si="11"/>
        <v/>
      </c>
      <c r="J56" s="308"/>
      <c r="K56" s="308" t="s">
        <v>932</v>
      </c>
      <c r="L56" s="309" t="str">
        <f t="shared" si="0"/>
        <v/>
      </c>
      <c r="M56" s="310" t="str">
        <f t="shared" si="12"/>
        <v>NO ELEGIBLE</v>
      </c>
      <c r="N56" s="310">
        <f t="shared" si="2"/>
        <v>4.2000000000000002E-4</v>
      </c>
      <c r="O56" s="311">
        <f t="shared" si="6"/>
        <v>-4.2000000000000002E-4</v>
      </c>
      <c r="P56" s="312">
        <f t="shared" si="7"/>
        <v>42</v>
      </c>
      <c r="Q56" s="313">
        <f t="shared" si="3"/>
        <v>42</v>
      </c>
      <c r="S56" s="259" t="str">
        <f>IF(VLOOKUP(A56,'EXP DIRECTOR'!$A$6:$L$1269,12,0)="","",ROUND(VLOOKUP(A56,'EXP DIRECTOR'!$A$6:$L$1269,12,0),2))</f>
        <v/>
      </c>
      <c r="T56" s="312" t="str">
        <f>IFERROR(VLOOKUP("E"&amp;A56,'EXP DIRECTOR'!$A$6:$L$1269,8,0),"")</f>
        <v/>
      </c>
      <c r="U56" s="314" t="s">
        <v>890</v>
      </c>
      <c r="V56" s="314" t="str">
        <f t="shared" si="8"/>
        <v>SI</v>
      </c>
      <c r="W56" s="312">
        <f>IFERROR(IF(VLOOKUP("D"&amp;A56,'EXP DIRECTOR'!$A$6:$L$1269,8,0)="SI",200,0),0)</f>
        <v>0</v>
      </c>
      <c r="X56" s="312"/>
      <c r="Y56" s="314" t="str">
        <f>IF(VLOOKUP("F"&amp;A56,'EXP DIRECTOR'!$A$6:$L$1269,8,0)="SI","SI","NA")</f>
        <v>NA</v>
      </c>
      <c r="AA56" s="315" t="str">
        <f t="shared" si="4"/>
        <v/>
      </c>
    </row>
    <row r="57" spans="1:27" ht="25.5" customHeight="1" x14ac:dyDescent="0.2">
      <c r="A57" s="316">
        <f t="shared" si="9"/>
        <v>43</v>
      </c>
      <c r="B57" s="304" t="s">
        <v>932</v>
      </c>
      <c r="C57" s="305" t="str">
        <f>IF($B57="","",IFERROR(VLOOKUP($A57,'EXP HABILITANTE'!$A:$I,9,0),""))</f>
        <v/>
      </c>
      <c r="D57" s="305" t="s">
        <v>932</v>
      </c>
      <c r="E57" s="305" t="s">
        <v>932</v>
      </c>
      <c r="F57" s="306" t="str">
        <f t="shared" si="10"/>
        <v/>
      </c>
      <c r="G57" s="307" t="s">
        <v>932</v>
      </c>
      <c r="H57" s="307" t="str">
        <f t="shared" si="5"/>
        <v/>
      </c>
      <c r="I57" s="308" t="str">
        <f t="shared" si="11"/>
        <v/>
      </c>
      <c r="J57" s="308"/>
      <c r="K57" s="308" t="s">
        <v>932</v>
      </c>
      <c r="L57" s="309" t="str">
        <f t="shared" si="0"/>
        <v/>
      </c>
      <c r="M57" s="310" t="str">
        <f t="shared" si="12"/>
        <v>NO ELEGIBLE</v>
      </c>
      <c r="N57" s="310">
        <f t="shared" si="2"/>
        <v>4.2999999999999999E-4</v>
      </c>
      <c r="O57" s="311">
        <f t="shared" si="6"/>
        <v>-4.2999999999999999E-4</v>
      </c>
      <c r="P57" s="312">
        <f t="shared" si="7"/>
        <v>43</v>
      </c>
      <c r="Q57" s="313">
        <f t="shared" si="3"/>
        <v>43</v>
      </c>
      <c r="S57" s="259" t="str">
        <f>IF(VLOOKUP(A57,'EXP DIRECTOR'!$A$6:$L$1269,12,0)="","",ROUND(VLOOKUP(A57,'EXP DIRECTOR'!$A$6:$L$1269,12,0),2))</f>
        <v/>
      </c>
      <c r="T57" s="312" t="str">
        <f>IFERROR(VLOOKUP("E"&amp;A57,'EXP DIRECTOR'!$A$6:$L$1269,8,0),"")</f>
        <v/>
      </c>
      <c r="U57" s="314" t="s">
        <v>890</v>
      </c>
      <c r="V57" s="314" t="str">
        <f t="shared" si="8"/>
        <v>SI</v>
      </c>
      <c r="W57" s="312">
        <f>IFERROR(IF(VLOOKUP("D"&amp;A57,'EXP DIRECTOR'!$A$6:$L$1269,8,0)="SI",200,0),0)</f>
        <v>0</v>
      </c>
      <c r="X57" s="312"/>
      <c r="Y57" s="314" t="str">
        <f>IF(VLOOKUP("F"&amp;A57,'EXP DIRECTOR'!$A$6:$L$1269,8,0)="SI","SI","NA")</f>
        <v>NA</v>
      </c>
      <c r="AA57" s="315" t="str">
        <f t="shared" si="4"/>
        <v/>
      </c>
    </row>
    <row r="58" spans="1:27" ht="25.5" customHeight="1" x14ac:dyDescent="0.2">
      <c r="A58" s="316">
        <f t="shared" si="9"/>
        <v>44</v>
      </c>
      <c r="B58" s="304" t="s">
        <v>932</v>
      </c>
      <c r="C58" s="305" t="str">
        <f>IF($B58="","",IFERROR(VLOOKUP($A58,'EXP HABILITANTE'!$A:$I,9,0),""))</f>
        <v/>
      </c>
      <c r="D58" s="305" t="s">
        <v>932</v>
      </c>
      <c r="E58" s="305" t="s">
        <v>932</v>
      </c>
      <c r="F58" s="306" t="str">
        <f t="shared" si="10"/>
        <v/>
      </c>
      <c r="G58" s="307" t="s">
        <v>932</v>
      </c>
      <c r="H58" s="307" t="str">
        <f t="shared" si="5"/>
        <v/>
      </c>
      <c r="I58" s="308" t="str">
        <f t="shared" si="11"/>
        <v/>
      </c>
      <c r="J58" s="308"/>
      <c r="K58" s="308" t="s">
        <v>932</v>
      </c>
      <c r="L58" s="309" t="str">
        <f t="shared" si="0"/>
        <v/>
      </c>
      <c r="M58" s="310" t="str">
        <f t="shared" si="12"/>
        <v>NO ELEGIBLE</v>
      </c>
      <c r="N58" s="310">
        <f t="shared" si="2"/>
        <v>4.4000000000000002E-4</v>
      </c>
      <c r="O58" s="311">
        <f t="shared" si="6"/>
        <v>-4.4000000000000002E-4</v>
      </c>
      <c r="P58" s="312">
        <f t="shared" si="7"/>
        <v>44</v>
      </c>
      <c r="Q58" s="313">
        <f t="shared" si="3"/>
        <v>44</v>
      </c>
      <c r="S58" s="259" t="str">
        <f>IF(VLOOKUP(A58,'EXP DIRECTOR'!$A$6:$L$1269,12,0)="","",ROUND(VLOOKUP(A58,'EXP DIRECTOR'!$A$6:$L$1269,12,0),2))</f>
        <v/>
      </c>
      <c r="T58" s="312" t="str">
        <f>IFERROR(VLOOKUP("E"&amp;A58,'EXP DIRECTOR'!$A$6:$L$1269,8,0),"")</f>
        <v/>
      </c>
      <c r="U58" s="314" t="s">
        <v>890</v>
      </c>
      <c r="V58" s="314" t="str">
        <f t="shared" si="8"/>
        <v>SI</v>
      </c>
      <c r="W58" s="312">
        <f>IFERROR(IF(VLOOKUP("D"&amp;A58,'EXP DIRECTOR'!$A$6:$L$1269,8,0)="SI",200,0),0)</f>
        <v>0</v>
      </c>
      <c r="X58" s="312"/>
      <c r="Y58" s="314" t="str">
        <f>IF(VLOOKUP("F"&amp;A58,'EXP DIRECTOR'!$A$6:$L$1269,8,0)="SI","SI","NA")</f>
        <v>NA</v>
      </c>
      <c r="AA58" s="315" t="str">
        <f t="shared" si="4"/>
        <v/>
      </c>
    </row>
    <row r="59" spans="1:27" ht="25.5" customHeight="1" x14ac:dyDescent="0.2">
      <c r="A59" s="316">
        <f t="shared" si="9"/>
        <v>45</v>
      </c>
      <c r="B59" s="304" t="s">
        <v>932</v>
      </c>
      <c r="C59" s="305" t="str">
        <f>IF($B59="","",IFERROR(VLOOKUP($A59,'EXP HABILITANTE'!$A:$I,9,0),""))</f>
        <v/>
      </c>
      <c r="D59" s="305" t="s">
        <v>932</v>
      </c>
      <c r="E59" s="305" t="s">
        <v>932</v>
      </c>
      <c r="F59" s="306" t="str">
        <f t="shared" si="10"/>
        <v/>
      </c>
      <c r="G59" s="307" t="s">
        <v>932</v>
      </c>
      <c r="H59" s="307" t="str">
        <f t="shared" si="5"/>
        <v/>
      </c>
      <c r="I59" s="308" t="str">
        <f t="shared" si="11"/>
        <v/>
      </c>
      <c r="J59" s="308"/>
      <c r="K59" s="308" t="s">
        <v>932</v>
      </c>
      <c r="L59" s="309" t="str">
        <f t="shared" si="0"/>
        <v/>
      </c>
      <c r="M59" s="310" t="str">
        <f t="shared" si="12"/>
        <v>NO ELEGIBLE</v>
      </c>
      <c r="N59" s="310">
        <f t="shared" si="2"/>
        <v>4.4999999999999999E-4</v>
      </c>
      <c r="O59" s="311">
        <f t="shared" si="6"/>
        <v>-4.4999999999999999E-4</v>
      </c>
      <c r="P59" s="312">
        <f t="shared" si="7"/>
        <v>45</v>
      </c>
      <c r="Q59" s="313">
        <f t="shared" si="3"/>
        <v>45</v>
      </c>
      <c r="S59" s="259" t="str">
        <f>IF(VLOOKUP(A59,'EXP DIRECTOR'!$A$6:$L$1269,12,0)="","",ROUND(VLOOKUP(A59,'EXP DIRECTOR'!$A$6:$L$1269,12,0),2))</f>
        <v/>
      </c>
      <c r="T59" s="312" t="str">
        <f>IFERROR(VLOOKUP("E"&amp;A59,'EXP DIRECTOR'!$A$6:$L$1269,8,0),"")</f>
        <v/>
      </c>
      <c r="U59" s="314" t="s">
        <v>890</v>
      </c>
      <c r="V59" s="314" t="str">
        <f t="shared" si="8"/>
        <v>SI</v>
      </c>
      <c r="W59" s="312">
        <f>IFERROR(IF(VLOOKUP("D"&amp;A59,'EXP DIRECTOR'!$A$6:$L$1269,8,0)="SI",200,0),0)</f>
        <v>0</v>
      </c>
      <c r="X59" s="312"/>
      <c r="Y59" s="314" t="str">
        <f>IF(VLOOKUP("F"&amp;A59,'EXP DIRECTOR'!$A$6:$L$1269,8,0)="SI","SI","NA")</f>
        <v>NA</v>
      </c>
      <c r="AA59" s="315" t="str">
        <f t="shared" si="4"/>
        <v/>
      </c>
    </row>
    <row r="60" spans="1:27" ht="25.5" customHeight="1" x14ac:dyDescent="0.2">
      <c r="A60" s="316">
        <f t="shared" si="9"/>
        <v>46</v>
      </c>
      <c r="B60" s="304" t="s">
        <v>932</v>
      </c>
      <c r="C60" s="305" t="str">
        <f>IF($B60="","",IFERROR(VLOOKUP($A60,'EXP HABILITANTE'!$A:$I,9,0),""))</f>
        <v/>
      </c>
      <c r="D60" s="305" t="s">
        <v>932</v>
      </c>
      <c r="E60" s="305" t="s">
        <v>932</v>
      </c>
      <c r="F60" s="306" t="str">
        <f t="shared" si="10"/>
        <v/>
      </c>
      <c r="G60" s="307" t="s">
        <v>932</v>
      </c>
      <c r="H60" s="307" t="str">
        <f t="shared" si="5"/>
        <v/>
      </c>
      <c r="I60" s="308" t="str">
        <f t="shared" si="11"/>
        <v/>
      </c>
      <c r="J60" s="308"/>
      <c r="K60" s="308" t="s">
        <v>932</v>
      </c>
      <c r="L60" s="309" t="str">
        <f t="shared" si="0"/>
        <v/>
      </c>
      <c r="M60" s="310" t="str">
        <f t="shared" si="12"/>
        <v>NO ELEGIBLE</v>
      </c>
      <c r="N60" s="310">
        <f t="shared" si="2"/>
        <v>4.6000000000000001E-4</v>
      </c>
      <c r="O60" s="311">
        <f t="shared" si="6"/>
        <v>-4.6000000000000001E-4</v>
      </c>
      <c r="P60" s="312">
        <f t="shared" si="7"/>
        <v>46</v>
      </c>
      <c r="Q60" s="313">
        <f t="shared" si="3"/>
        <v>46</v>
      </c>
      <c r="S60" s="259" t="str">
        <f>IF(VLOOKUP(A60,'EXP DIRECTOR'!$A$6:$L$1269,12,0)="","",ROUND(VLOOKUP(A60,'EXP DIRECTOR'!$A$6:$L$1269,12,0),2))</f>
        <v/>
      </c>
      <c r="T60" s="312" t="str">
        <f>IFERROR(VLOOKUP("E"&amp;A60,'EXP DIRECTOR'!$A$6:$L$1269,8,0),"")</f>
        <v/>
      </c>
      <c r="U60" s="314" t="s">
        <v>890</v>
      </c>
      <c r="V60" s="314" t="str">
        <f t="shared" si="8"/>
        <v>SI</v>
      </c>
      <c r="W60" s="312">
        <f>IFERROR(IF(VLOOKUP("D"&amp;A60,'EXP DIRECTOR'!$A$6:$L$1269,8,0)="SI",200,0),0)</f>
        <v>0</v>
      </c>
      <c r="X60" s="312"/>
      <c r="Y60" s="314" t="str">
        <f>IF(VLOOKUP("F"&amp;A60,'EXP DIRECTOR'!$A$6:$L$1269,8,0)="SI","SI","NA")</f>
        <v>NA</v>
      </c>
      <c r="AA60" s="315" t="str">
        <f t="shared" si="4"/>
        <v/>
      </c>
    </row>
    <row r="61" spans="1:27" ht="25.5" customHeight="1" x14ac:dyDescent="0.2">
      <c r="A61" s="316">
        <f t="shared" si="9"/>
        <v>47</v>
      </c>
      <c r="B61" s="304" t="s">
        <v>932</v>
      </c>
      <c r="C61" s="305" t="str">
        <f>IF($B61="","",IFERROR(VLOOKUP($A61,'EXP HABILITANTE'!$A:$I,9,0),""))</f>
        <v/>
      </c>
      <c r="D61" s="305" t="s">
        <v>932</v>
      </c>
      <c r="E61" s="305" t="s">
        <v>932</v>
      </c>
      <c r="F61" s="306" t="str">
        <f t="shared" si="10"/>
        <v/>
      </c>
      <c r="G61" s="307" t="s">
        <v>932</v>
      </c>
      <c r="H61" s="307" t="str">
        <f t="shared" si="5"/>
        <v/>
      </c>
      <c r="I61" s="308" t="str">
        <f t="shared" si="11"/>
        <v/>
      </c>
      <c r="J61" s="308"/>
      <c r="K61" s="308" t="s">
        <v>932</v>
      </c>
      <c r="L61" s="309" t="str">
        <f t="shared" si="0"/>
        <v/>
      </c>
      <c r="M61" s="310" t="str">
        <f t="shared" si="12"/>
        <v>NO ELEGIBLE</v>
      </c>
      <c r="N61" s="310">
        <f t="shared" si="2"/>
        <v>4.6999999999999999E-4</v>
      </c>
      <c r="O61" s="311">
        <f t="shared" si="6"/>
        <v>-4.6999999999999999E-4</v>
      </c>
      <c r="P61" s="312">
        <f t="shared" si="7"/>
        <v>47</v>
      </c>
      <c r="Q61" s="313">
        <f t="shared" si="3"/>
        <v>47</v>
      </c>
      <c r="S61" s="259" t="str">
        <f>IF(VLOOKUP(A61,'EXP DIRECTOR'!$A$6:$L$1269,12,0)="","",ROUND(VLOOKUP(A61,'EXP DIRECTOR'!$A$6:$L$1269,12,0),2))</f>
        <v/>
      </c>
      <c r="T61" s="312" t="str">
        <f>IFERROR(VLOOKUP("E"&amp;A61,'EXP DIRECTOR'!$A$6:$L$1269,8,0),"")</f>
        <v/>
      </c>
      <c r="U61" s="314" t="s">
        <v>890</v>
      </c>
      <c r="V61" s="314" t="str">
        <f t="shared" si="8"/>
        <v>SI</v>
      </c>
      <c r="W61" s="312">
        <f>IFERROR(IF(VLOOKUP("D"&amp;A61,'EXP DIRECTOR'!$A$6:$L$1269,8,0)="SI",200,0),0)</f>
        <v>0</v>
      </c>
      <c r="X61" s="312"/>
      <c r="Y61" s="314" t="str">
        <f>IF(VLOOKUP("F"&amp;A61,'EXP DIRECTOR'!$A$6:$L$1269,8,0)="SI","SI","NA")</f>
        <v>NA</v>
      </c>
      <c r="AA61" s="315" t="str">
        <f t="shared" si="4"/>
        <v/>
      </c>
    </row>
    <row r="62" spans="1:27" ht="25.5" customHeight="1" x14ac:dyDescent="0.2">
      <c r="A62" s="316">
        <f t="shared" si="9"/>
        <v>48</v>
      </c>
      <c r="B62" s="304" t="s">
        <v>932</v>
      </c>
      <c r="C62" s="305" t="str">
        <f>IF($B62="","",IFERROR(VLOOKUP($A62,'EXP HABILITANTE'!$A:$I,9,0),""))</f>
        <v/>
      </c>
      <c r="D62" s="305" t="s">
        <v>932</v>
      </c>
      <c r="E62" s="305" t="s">
        <v>932</v>
      </c>
      <c r="F62" s="306" t="str">
        <f t="shared" si="10"/>
        <v/>
      </c>
      <c r="G62" s="307" t="s">
        <v>932</v>
      </c>
      <c r="H62" s="307" t="str">
        <f t="shared" si="5"/>
        <v/>
      </c>
      <c r="I62" s="308" t="str">
        <f t="shared" si="11"/>
        <v/>
      </c>
      <c r="J62" s="308"/>
      <c r="K62" s="308" t="s">
        <v>932</v>
      </c>
      <c r="L62" s="309" t="str">
        <f t="shared" si="0"/>
        <v/>
      </c>
      <c r="M62" s="310" t="str">
        <f t="shared" si="12"/>
        <v>NO ELEGIBLE</v>
      </c>
      <c r="N62" s="310">
        <f t="shared" si="2"/>
        <v>4.8000000000000001E-4</v>
      </c>
      <c r="O62" s="311">
        <f t="shared" si="6"/>
        <v>-4.8000000000000001E-4</v>
      </c>
      <c r="P62" s="312">
        <f t="shared" si="7"/>
        <v>48</v>
      </c>
      <c r="Q62" s="313">
        <f t="shared" si="3"/>
        <v>48</v>
      </c>
      <c r="S62" s="259" t="str">
        <f>IF(VLOOKUP(A62,'EXP DIRECTOR'!$A$6:$L$1269,12,0)="","",ROUND(VLOOKUP(A62,'EXP DIRECTOR'!$A$6:$L$1269,12,0),2))</f>
        <v/>
      </c>
      <c r="T62" s="312" t="str">
        <f>IFERROR(VLOOKUP("E"&amp;A62,'EXP DIRECTOR'!$A$6:$L$1269,8,0),"")</f>
        <v/>
      </c>
      <c r="U62" s="314" t="s">
        <v>890</v>
      </c>
      <c r="V62" s="314" t="str">
        <f t="shared" si="8"/>
        <v>SI</v>
      </c>
      <c r="W62" s="312">
        <f>IFERROR(IF(VLOOKUP("D"&amp;A62,'EXP DIRECTOR'!$A$6:$L$1269,8,0)="SI",200,0),0)</f>
        <v>0</v>
      </c>
      <c r="X62" s="312"/>
      <c r="Y62" s="314" t="str">
        <f>IF(VLOOKUP("F"&amp;A62,'EXP DIRECTOR'!$A$6:$L$1269,8,0)="SI","SI","NA")</f>
        <v>NA</v>
      </c>
      <c r="AA62" s="315" t="str">
        <f t="shared" si="4"/>
        <v/>
      </c>
    </row>
    <row r="63" spans="1:27" ht="25.5" customHeight="1" x14ac:dyDescent="0.2">
      <c r="A63" s="316">
        <f t="shared" si="9"/>
        <v>49</v>
      </c>
      <c r="B63" s="304" t="s">
        <v>932</v>
      </c>
      <c r="C63" s="305" t="str">
        <f>IF($B63="","",IFERROR(VLOOKUP($A63,'EXP HABILITANTE'!$A:$I,9,0),""))</f>
        <v/>
      </c>
      <c r="D63" s="305" t="s">
        <v>932</v>
      </c>
      <c r="E63" s="305" t="s">
        <v>932</v>
      </c>
      <c r="F63" s="306" t="str">
        <f t="shared" si="10"/>
        <v/>
      </c>
      <c r="G63" s="307" t="s">
        <v>932</v>
      </c>
      <c r="H63" s="307" t="str">
        <f t="shared" si="5"/>
        <v/>
      </c>
      <c r="I63" s="308" t="str">
        <f t="shared" si="11"/>
        <v/>
      </c>
      <c r="J63" s="308"/>
      <c r="K63" s="308" t="s">
        <v>932</v>
      </c>
      <c r="L63" s="309" t="str">
        <f t="shared" si="0"/>
        <v/>
      </c>
      <c r="M63" s="310" t="str">
        <f t="shared" si="12"/>
        <v>NO ELEGIBLE</v>
      </c>
      <c r="N63" s="310">
        <f t="shared" si="2"/>
        <v>4.8999999999999998E-4</v>
      </c>
      <c r="O63" s="311">
        <f t="shared" si="6"/>
        <v>-4.8999999999999998E-4</v>
      </c>
      <c r="P63" s="312">
        <f t="shared" si="7"/>
        <v>49</v>
      </c>
      <c r="Q63" s="313">
        <f t="shared" si="3"/>
        <v>49</v>
      </c>
      <c r="S63" s="259" t="str">
        <f>IF(VLOOKUP(A63,'EXP DIRECTOR'!$A$6:$L$1269,12,0)="","",ROUND(VLOOKUP(A63,'EXP DIRECTOR'!$A$6:$L$1269,12,0),2))</f>
        <v/>
      </c>
      <c r="T63" s="312" t="str">
        <f>IFERROR(VLOOKUP("E"&amp;A63,'EXP DIRECTOR'!$A$6:$L$1269,8,0),"")</f>
        <v/>
      </c>
      <c r="U63" s="314" t="s">
        <v>890</v>
      </c>
      <c r="V63" s="314" t="str">
        <f t="shared" si="8"/>
        <v>SI</v>
      </c>
      <c r="W63" s="312">
        <f>IFERROR(IF(VLOOKUP("D"&amp;A63,'EXP DIRECTOR'!$A$6:$L$1269,8,0)="SI",200,0),0)</f>
        <v>0</v>
      </c>
      <c r="X63" s="312"/>
      <c r="Y63" s="314" t="str">
        <f>IF(VLOOKUP("F"&amp;A63,'EXP DIRECTOR'!$A$6:$L$1269,8,0)="SI","SI","NA")</f>
        <v>NA</v>
      </c>
      <c r="AA63" s="315" t="str">
        <f t="shared" si="4"/>
        <v/>
      </c>
    </row>
    <row r="64" spans="1:27" ht="25.5" customHeight="1" x14ac:dyDescent="0.2">
      <c r="A64" s="316">
        <f t="shared" si="9"/>
        <v>50</v>
      </c>
      <c r="B64" s="304" t="s">
        <v>932</v>
      </c>
      <c r="C64" s="305" t="str">
        <f>IF($B64="","",IFERROR(VLOOKUP($A64,'EXP HABILITANTE'!$A:$I,9,0),""))</f>
        <v/>
      </c>
      <c r="D64" s="305" t="s">
        <v>932</v>
      </c>
      <c r="E64" s="305" t="s">
        <v>932</v>
      </c>
      <c r="F64" s="306" t="str">
        <f t="shared" si="10"/>
        <v/>
      </c>
      <c r="G64" s="307" t="s">
        <v>932</v>
      </c>
      <c r="H64" s="307" t="str">
        <f t="shared" si="5"/>
        <v/>
      </c>
      <c r="I64" s="308" t="str">
        <f t="shared" si="11"/>
        <v/>
      </c>
      <c r="J64" s="308"/>
      <c r="K64" s="308" t="s">
        <v>932</v>
      </c>
      <c r="L64" s="309" t="str">
        <f t="shared" si="0"/>
        <v/>
      </c>
      <c r="M64" s="310" t="str">
        <f t="shared" si="12"/>
        <v>NO ELEGIBLE</v>
      </c>
      <c r="N64" s="310">
        <f t="shared" si="2"/>
        <v>5.0000000000000001E-4</v>
      </c>
      <c r="O64" s="311">
        <f t="shared" si="6"/>
        <v>-5.0000000000000001E-4</v>
      </c>
      <c r="P64" s="312">
        <f t="shared" si="7"/>
        <v>50</v>
      </c>
      <c r="Q64" s="313">
        <f t="shared" si="3"/>
        <v>50</v>
      </c>
      <c r="S64" s="259" t="str">
        <f>IF(VLOOKUP(A64,'EXP DIRECTOR'!$A$6:$L$1269,12,0)="","",ROUND(VLOOKUP(A64,'EXP DIRECTOR'!$A$6:$L$1269,12,0),2))</f>
        <v/>
      </c>
      <c r="T64" s="312" t="str">
        <f>IFERROR(VLOOKUP("E"&amp;A64,'EXP DIRECTOR'!$A$6:$L$1269,8,0),"")</f>
        <v/>
      </c>
      <c r="U64" s="314" t="s">
        <v>890</v>
      </c>
      <c r="V64" s="314" t="str">
        <f t="shared" si="8"/>
        <v>SI</v>
      </c>
      <c r="W64" s="312">
        <f>IFERROR(IF(VLOOKUP("D"&amp;A64,'EXP DIRECTOR'!$A$6:$L$1269,8,0)="SI",200,0),0)</f>
        <v>0</v>
      </c>
      <c r="X64" s="312"/>
      <c r="Y64" s="314" t="str">
        <f>IF(VLOOKUP("F"&amp;A64,'EXP DIRECTOR'!$A$6:$L$1269,8,0)="SI","SI","NA")</f>
        <v>NA</v>
      </c>
      <c r="AA64" s="315" t="str">
        <f t="shared" si="4"/>
        <v/>
      </c>
    </row>
    <row r="65" spans="1:27" ht="25.5" customHeight="1" x14ac:dyDescent="0.2">
      <c r="A65" s="316">
        <f t="shared" si="9"/>
        <v>51</v>
      </c>
      <c r="B65" s="304" t="s">
        <v>932</v>
      </c>
      <c r="C65" s="305" t="str">
        <f>IF($B65="","",IFERROR(VLOOKUP($A65,'EXP HABILITANTE'!$A:$I,9,0),""))</f>
        <v/>
      </c>
      <c r="D65" s="305" t="s">
        <v>932</v>
      </c>
      <c r="E65" s="305" t="s">
        <v>932</v>
      </c>
      <c r="F65" s="306" t="str">
        <f t="shared" si="10"/>
        <v/>
      </c>
      <c r="G65" s="307" t="s">
        <v>932</v>
      </c>
      <c r="H65" s="307" t="str">
        <f t="shared" si="5"/>
        <v/>
      </c>
      <c r="I65" s="308" t="str">
        <f t="shared" si="11"/>
        <v/>
      </c>
      <c r="J65" s="308"/>
      <c r="K65" s="308" t="s">
        <v>932</v>
      </c>
      <c r="L65" s="309" t="str">
        <f t="shared" si="0"/>
        <v/>
      </c>
      <c r="M65" s="310" t="str">
        <f t="shared" si="12"/>
        <v>NO ELEGIBLE</v>
      </c>
      <c r="N65" s="310">
        <f t="shared" si="2"/>
        <v>5.1000000000000004E-4</v>
      </c>
      <c r="O65" s="311">
        <f t="shared" si="6"/>
        <v>-5.1000000000000004E-4</v>
      </c>
      <c r="P65" s="312">
        <f t="shared" si="7"/>
        <v>51</v>
      </c>
      <c r="Q65" s="313">
        <f t="shared" si="3"/>
        <v>51</v>
      </c>
      <c r="S65" s="259" t="str">
        <f>IF(VLOOKUP(A65,'EXP DIRECTOR'!$A$6:$L$1269,12,0)="","",ROUND(VLOOKUP(A65,'EXP DIRECTOR'!$A$6:$L$1269,12,0),2))</f>
        <v/>
      </c>
      <c r="T65" s="312" t="str">
        <f>IFERROR(VLOOKUP("E"&amp;A65,'EXP DIRECTOR'!$A$6:$L$1269,8,0),"")</f>
        <v/>
      </c>
      <c r="U65" s="314" t="s">
        <v>890</v>
      </c>
      <c r="V65" s="314" t="str">
        <f t="shared" si="8"/>
        <v>SI</v>
      </c>
      <c r="W65" s="312">
        <f>IFERROR(IF(VLOOKUP("D"&amp;A65,'EXP DIRECTOR'!$A$6:$L$1269,8,0)="SI",200,0),0)</f>
        <v>0</v>
      </c>
      <c r="X65" s="312"/>
      <c r="Y65" s="314" t="str">
        <f>IF(VLOOKUP("F"&amp;A65,'EXP DIRECTOR'!$A$6:$L$1269,8,0)="SI","SI","NA")</f>
        <v>NA</v>
      </c>
      <c r="AA65" s="315" t="str">
        <f t="shared" si="4"/>
        <v/>
      </c>
    </row>
    <row r="66" spans="1:27" ht="25.5" customHeight="1" x14ac:dyDescent="0.2">
      <c r="A66" s="316">
        <f t="shared" si="9"/>
        <v>52</v>
      </c>
      <c r="B66" s="304" t="s">
        <v>932</v>
      </c>
      <c r="C66" s="305" t="str">
        <f>IF($B66="","",IFERROR(VLOOKUP($A66,'EXP HABILITANTE'!$A:$I,9,0),""))</f>
        <v/>
      </c>
      <c r="D66" s="305" t="s">
        <v>932</v>
      </c>
      <c r="E66" s="305" t="s">
        <v>932</v>
      </c>
      <c r="F66" s="306" t="str">
        <f t="shared" si="10"/>
        <v/>
      </c>
      <c r="G66" s="307" t="s">
        <v>932</v>
      </c>
      <c r="H66" s="307" t="str">
        <f t="shared" si="5"/>
        <v/>
      </c>
      <c r="I66" s="308" t="str">
        <f t="shared" si="11"/>
        <v/>
      </c>
      <c r="J66" s="308"/>
      <c r="K66" s="308" t="s">
        <v>932</v>
      </c>
      <c r="L66" s="309" t="str">
        <f t="shared" si="0"/>
        <v/>
      </c>
      <c r="M66" s="310" t="str">
        <f t="shared" si="12"/>
        <v>NO ELEGIBLE</v>
      </c>
      <c r="N66" s="310">
        <f t="shared" si="2"/>
        <v>5.1999999999999995E-4</v>
      </c>
      <c r="O66" s="311">
        <f t="shared" si="6"/>
        <v>-5.1999999999999995E-4</v>
      </c>
      <c r="P66" s="312">
        <f t="shared" si="7"/>
        <v>52</v>
      </c>
      <c r="Q66" s="313">
        <f t="shared" si="3"/>
        <v>52</v>
      </c>
      <c r="S66" s="259" t="str">
        <f>IF(VLOOKUP(A66,'EXP DIRECTOR'!$A$6:$L$1269,12,0)="","",ROUND(VLOOKUP(A66,'EXP DIRECTOR'!$A$6:$L$1269,12,0),2))</f>
        <v/>
      </c>
      <c r="T66" s="312" t="str">
        <f>IFERROR(VLOOKUP("E"&amp;A66,'EXP DIRECTOR'!$A$6:$L$1269,8,0),"")</f>
        <v/>
      </c>
      <c r="U66" s="314" t="s">
        <v>890</v>
      </c>
      <c r="V66" s="314" t="str">
        <f t="shared" si="8"/>
        <v>SI</v>
      </c>
      <c r="W66" s="312">
        <f>IFERROR(IF(VLOOKUP("D"&amp;A66,'EXP DIRECTOR'!$A$6:$L$1269,8,0)="SI",200,0),0)</f>
        <v>0</v>
      </c>
      <c r="X66" s="312"/>
      <c r="Y66" s="314" t="str">
        <f>IF(VLOOKUP("F"&amp;A66,'EXP DIRECTOR'!$A$6:$L$1269,8,0)="SI","SI","NA")</f>
        <v>NA</v>
      </c>
      <c r="AA66" s="315" t="str">
        <f t="shared" si="4"/>
        <v/>
      </c>
    </row>
    <row r="67" spans="1:27" ht="25.5" customHeight="1" x14ac:dyDescent="0.2">
      <c r="A67" s="316">
        <f t="shared" si="9"/>
        <v>53</v>
      </c>
      <c r="B67" s="304" t="s">
        <v>932</v>
      </c>
      <c r="C67" s="305" t="str">
        <f>IF($B67="","",IFERROR(VLOOKUP($A67,'EXP HABILITANTE'!$A:$I,9,0),""))</f>
        <v/>
      </c>
      <c r="D67" s="305" t="s">
        <v>932</v>
      </c>
      <c r="E67" s="305" t="s">
        <v>932</v>
      </c>
      <c r="F67" s="306" t="str">
        <f t="shared" si="10"/>
        <v/>
      </c>
      <c r="G67" s="307" t="s">
        <v>932</v>
      </c>
      <c r="H67" s="307" t="str">
        <f t="shared" si="5"/>
        <v/>
      </c>
      <c r="I67" s="308" t="str">
        <f t="shared" si="11"/>
        <v/>
      </c>
      <c r="J67" s="308"/>
      <c r="K67" s="308" t="s">
        <v>932</v>
      </c>
      <c r="L67" s="309" t="str">
        <f t="shared" si="0"/>
        <v/>
      </c>
      <c r="M67" s="310" t="str">
        <f t="shared" si="12"/>
        <v>NO ELEGIBLE</v>
      </c>
      <c r="N67" s="310">
        <f t="shared" si="2"/>
        <v>5.2999999999999998E-4</v>
      </c>
      <c r="O67" s="311">
        <f t="shared" si="6"/>
        <v>-5.2999999999999998E-4</v>
      </c>
      <c r="P67" s="312">
        <f t="shared" si="7"/>
        <v>53</v>
      </c>
      <c r="Q67" s="313">
        <f t="shared" si="3"/>
        <v>53</v>
      </c>
      <c r="S67" s="259" t="str">
        <f>IF(VLOOKUP(A67,'EXP DIRECTOR'!$A$6:$L$1269,12,0)="","",ROUND(VLOOKUP(A67,'EXP DIRECTOR'!$A$6:$L$1269,12,0),2))</f>
        <v/>
      </c>
      <c r="T67" s="312" t="str">
        <f>IFERROR(VLOOKUP("E"&amp;A67,'EXP DIRECTOR'!$A$6:$L$1269,8,0),"")</f>
        <v/>
      </c>
      <c r="U67" s="314" t="s">
        <v>890</v>
      </c>
      <c r="V67" s="314" t="str">
        <f t="shared" si="8"/>
        <v>SI</v>
      </c>
      <c r="W67" s="312">
        <f>IFERROR(IF(VLOOKUP("D"&amp;A67,'EXP DIRECTOR'!$A$6:$L$1269,8,0)="SI",200,0),0)</f>
        <v>0</v>
      </c>
      <c r="X67" s="312"/>
      <c r="Y67" s="314" t="str">
        <f>IF(VLOOKUP("F"&amp;A67,'EXP DIRECTOR'!$A$6:$L$1269,8,0)="SI","SI","NA")</f>
        <v>NA</v>
      </c>
      <c r="AA67" s="315" t="str">
        <f t="shared" si="4"/>
        <v/>
      </c>
    </row>
    <row r="68" spans="1:27" ht="25.5" customHeight="1" x14ac:dyDescent="0.2">
      <c r="A68" s="316">
        <f t="shared" si="9"/>
        <v>54</v>
      </c>
      <c r="B68" s="304" t="s">
        <v>932</v>
      </c>
      <c r="C68" s="305" t="str">
        <f>IF($B68="","",IFERROR(VLOOKUP($A68,'EXP HABILITANTE'!$A:$I,9,0),""))</f>
        <v/>
      </c>
      <c r="D68" s="305" t="s">
        <v>932</v>
      </c>
      <c r="E68" s="305" t="s">
        <v>932</v>
      </c>
      <c r="F68" s="306" t="str">
        <f t="shared" si="10"/>
        <v/>
      </c>
      <c r="G68" s="307" t="s">
        <v>932</v>
      </c>
      <c r="H68" s="307" t="str">
        <f t="shared" si="5"/>
        <v/>
      </c>
      <c r="I68" s="308" t="str">
        <f t="shared" si="11"/>
        <v/>
      </c>
      <c r="J68" s="308"/>
      <c r="K68" s="308" t="s">
        <v>932</v>
      </c>
      <c r="L68" s="309" t="str">
        <f t="shared" si="0"/>
        <v/>
      </c>
      <c r="M68" s="310" t="str">
        <f t="shared" si="12"/>
        <v>NO ELEGIBLE</v>
      </c>
      <c r="N68" s="310">
        <f t="shared" si="2"/>
        <v>5.4000000000000001E-4</v>
      </c>
      <c r="O68" s="311">
        <f t="shared" si="6"/>
        <v>-5.4000000000000001E-4</v>
      </c>
      <c r="P68" s="312">
        <f t="shared" si="7"/>
        <v>54</v>
      </c>
      <c r="Q68" s="313">
        <f t="shared" si="3"/>
        <v>54</v>
      </c>
      <c r="S68" s="259" t="str">
        <f>IF(VLOOKUP(A68,'EXP DIRECTOR'!$A$6:$L$1269,12,0)="","",ROUND(VLOOKUP(A68,'EXP DIRECTOR'!$A$6:$L$1269,12,0),2))</f>
        <v/>
      </c>
      <c r="T68" s="312" t="str">
        <f>IFERROR(VLOOKUP("E"&amp;A68,'EXP DIRECTOR'!$A$6:$L$1269,8,0),"")</f>
        <v/>
      </c>
      <c r="U68" s="314" t="s">
        <v>890</v>
      </c>
      <c r="V68" s="314" t="str">
        <f t="shared" si="8"/>
        <v>SI</v>
      </c>
      <c r="W68" s="312">
        <f>IFERROR(IF(VLOOKUP("D"&amp;A68,'EXP DIRECTOR'!$A$6:$L$1269,8,0)="SI",200,0),0)</f>
        <v>0</v>
      </c>
      <c r="X68" s="312"/>
      <c r="Y68" s="314" t="str">
        <f>IF(VLOOKUP("F"&amp;A68,'EXP DIRECTOR'!$A$6:$L$1269,8,0)="SI","SI","NA")</f>
        <v>NA</v>
      </c>
      <c r="AA68" s="315" t="str">
        <f t="shared" si="4"/>
        <v/>
      </c>
    </row>
    <row r="69" spans="1:27" ht="25.5" customHeight="1" x14ac:dyDescent="0.2">
      <c r="A69" s="316">
        <f t="shared" si="9"/>
        <v>55</v>
      </c>
      <c r="B69" s="304" t="s">
        <v>932</v>
      </c>
      <c r="C69" s="305" t="str">
        <f>IF($B69="","",IFERROR(VLOOKUP($A69,'EXP HABILITANTE'!$A:$I,9,0),""))</f>
        <v/>
      </c>
      <c r="D69" s="305" t="s">
        <v>932</v>
      </c>
      <c r="E69" s="305" t="s">
        <v>932</v>
      </c>
      <c r="F69" s="306" t="str">
        <f t="shared" si="10"/>
        <v/>
      </c>
      <c r="G69" s="307" t="s">
        <v>932</v>
      </c>
      <c r="H69" s="307" t="str">
        <f t="shared" si="5"/>
        <v/>
      </c>
      <c r="I69" s="308" t="str">
        <f t="shared" si="11"/>
        <v/>
      </c>
      <c r="J69" s="308"/>
      <c r="K69" s="308" t="s">
        <v>932</v>
      </c>
      <c r="L69" s="309" t="str">
        <f t="shared" si="0"/>
        <v/>
      </c>
      <c r="M69" s="310" t="str">
        <f t="shared" si="12"/>
        <v>NO ELEGIBLE</v>
      </c>
      <c r="N69" s="310">
        <f t="shared" si="2"/>
        <v>5.5000000000000003E-4</v>
      </c>
      <c r="O69" s="311">
        <f t="shared" si="6"/>
        <v>-5.5000000000000003E-4</v>
      </c>
      <c r="P69" s="312">
        <f t="shared" si="7"/>
        <v>55</v>
      </c>
      <c r="Q69" s="313">
        <f t="shared" si="3"/>
        <v>55</v>
      </c>
      <c r="S69" s="259" t="str">
        <f>IF(VLOOKUP(A69,'EXP DIRECTOR'!$A$6:$L$1269,12,0)="","",ROUND(VLOOKUP(A69,'EXP DIRECTOR'!$A$6:$L$1269,12,0),2))</f>
        <v/>
      </c>
      <c r="T69" s="312" t="str">
        <f>IFERROR(VLOOKUP("E"&amp;A69,'EXP DIRECTOR'!$A$6:$L$1269,8,0),"")</f>
        <v/>
      </c>
      <c r="U69" s="314" t="s">
        <v>890</v>
      </c>
      <c r="V69" s="314" t="str">
        <f t="shared" si="8"/>
        <v>SI</v>
      </c>
      <c r="W69" s="312">
        <f>IFERROR(IF(VLOOKUP("D"&amp;A69,'EXP DIRECTOR'!$A$6:$L$1269,8,0)="SI",200,0),0)</f>
        <v>0</v>
      </c>
      <c r="X69" s="312"/>
      <c r="Y69" s="314" t="str">
        <f>IF(VLOOKUP("F"&amp;A69,'EXP DIRECTOR'!$A$6:$L$1269,8,0)="SI","SI","NA")</f>
        <v>NA</v>
      </c>
      <c r="AA69" s="315" t="str">
        <f t="shared" si="4"/>
        <v/>
      </c>
    </row>
  </sheetData>
  <sheetProtection selectLockedCells="1" selectUnlockedCells="1"/>
  <autoFilter ref="A14:Z69" xr:uid="{00000000-0009-0000-0000-00000A000000}"/>
  <mergeCells count="3">
    <mergeCell ref="A1:A2"/>
    <mergeCell ref="B1:L1"/>
    <mergeCell ref="B2:L2"/>
  </mergeCells>
  <conditionalFormatting sqref="L16:L69">
    <cfRule type="containsBlanks" dxfId="27" priority="19">
      <formula>LEN(TRIM(L16))=0</formula>
    </cfRule>
    <cfRule type="cellIs" dxfId="26" priority="20" operator="equal">
      <formula>0</formula>
    </cfRule>
    <cfRule type="top10" dxfId="25" priority="26" rank="1"/>
  </conditionalFormatting>
  <conditionalFormatting sqref="C5">
    <cfRule type="containsBlanks" dxfId="24" priority="25">
      <formula>LEN(TRIM(C5))=0</formula>
    </cfRule>
  </conditionalFormatting>
  <conditionalFormatting sqref="B16:B69">
    <cfRule type="containsBlanks" dxfId="23" priority="18">
      <formula>LEN(TRIM(B16))=0</formula>
    </cfRule>
  </conditionalFormatting>
  <conditionalFormatting sqref="E15:E69">
    <cfRule type="containsBlanks" dxfId="22" priority="17">
      <formula>LEN(TRIM(E15))=0</formula>
    </cfRule>
  </conditionalFormatting>
  <conditionalFormatting sqref="F15:F69">
    <cfRule type="containsBlanks" dxfId="21" priority="16">
      <formula>LEN(TRIM(F15))=0</formula>
    </cfRule>
  </conditionalFormatting>
  <conditionalFormatting sqref="G15:G69">
    <cfRule type="containsBlanks" dxfId="20" priority="13">
      <formula>LEN(TRIM(G15))=0</formula>
    </cfRule>
  </conditionalFormatting>
  <conditionalFormatting sqref="K16:K69">
    <cfRule type="containsBlanks" dxfId="19" priority="27">
      <formula>LEN(TRIM(K16))=0</formula>
    </cfRule>
    <cfRule type="cellIs" dxfId="18" priority="28" operator="equal">
      <formula>0</formula>
    </cfRule>
  </conditionalFormatting>
  <conditionalFormatting sqref="B15">
    <cfRule type="containsBlanks" dxfId="17" priority="7">
      <formula>LEN(TRIM(B15))=0</formula>
    </cfRule>
  </conditionalFormatting>
  <conditionalFormatting sqref="H15:H69">
    <cfRule type="containsBlanks" dxfId="16" priority="6">
      <formula>LEN(TRIM(H15))=0</formula>
    </cfRule>
  </conditionalFormatting>
  <conditionalFormatting sqref="K15">
    <cfRule type="containsBlanks" dxfId="15" priority="8">
      <formula>LEN(TRIM(K15))=0</formula>
    </cfRule>
    <cfRule type="cellIs" dxfId="14" priority="9" operator="equal">
      <formula>0</formula>
    </cfRule>
  </conditionalFormatting>
  <conditionalFormatting sqref="J15:J69">
    <cfRule type="containsBlanks" dxfId="13" priority="5">
      <formula>LEN(TRIM(J15))=0</formula>
    </cfRule>
    <cfRule type="containsBlanks" dxfId="12" priority="11">
      <formula>LEN(TRIM(J15))=0</formula>
    </cfRule>
    <cfRule type="cellIs" dxfId="11" priority="12" operator="equal">
      <formula>0</formula>
    </cfRule>
  </conditionalFormatting>
  <conditionalFormatting sqref="I15:I69">
    <cfRule type="cellIs" dxfId="10" priority="10" operator="equal">
      <formula>0</formula>
    </cfRule>
    <cfRule type="cellIs" dxfId="9" priority="14" operator="lessThan">
      <formula>700</formula>
    </cfRule>
    <cfRule type="containsBlanks" dxfId="8" priority="15">
      <formula>LEN(TRIM(I15))=0</formula>
    </cfRule>
  </conditionalFormatting>
  <conditionalFormatting sqref="D15:D69">
    <cfRule type="containsText" dxfId="7" priority="21" operator="containsText" text="EXCLUIDO">
      <formula>NOT(ISERROR(SEARCH("EXCLUIDO",D15)))</formula>
    </cfRule>
    <cfRule type="containsText" dxfId="6" priority="22" operator="containsText" text="RECHAZADO">
      <formula>NOT(ISERROR(SEARCH("RECHAZADO",D15)))</formula>
    </cfRule>
    <cfRule type="containsText" dxfId="5" priority="23" operator="containsText" text="NO HÁBIL">
      <formula>NOT(ISERROR(SEARCH("NO HÁBIL",D15)))</formula>
    </cfRule>
    <cfRule type="containsBlanks" dxfId="4" priority="24">
      <formula>LEN(TRIM(D15))=0</formula>
    </cfRule>
  </conditionalFormatting>
  <conditionalFormatting sqref="C15:C69">
    <cfRule type="containsText" dxfId="3" priority="1" operator="containsText" text="EXCLUIDO">
      <formula>NOT(ISERROR(SEARCH("EXCLUIDO",C15)))</formula>
    </cfRule>
    <cfRule type="containsText" dxfId="2" priority="2" operator="containsText" text="RECHAZADO">
      <formula>NOT(ISERROR(SEARCH("RECHAZADO",C15)))</formula>
    </cfRule>
    <cfRule type="containsText" dxfId="1" priority="3" operator="containsText" text="NO HÁBIL">
      <formula>NOT(ISERROR(SEARCH("NO HÁBIL",C15)))</formula>
    </cfRule>
    <cfRule type="containsBlanks" dxfId="0" priority="4">
      <formula>LEN(TRIM(C15))=0</formula>
    </cfRule>
  </conditionalFormatting>
  <hyperlinks>
    <hyperlink ref="A1:A2" location="Indice!A1" display="Volver al Indice" xr:uid="{89349E02-A6F3-422F-8EB0-8ED3A62C9969}"/>
  </hyperlinks>
  <pageMargins left="0.70866141732283472" right="0.70866141732283472" top="0.74803149606299213" bottom="0.74803149606299213" header="0.36" footer="0.31496062992125984"/>
  <pageSetup scale="46" fitToHeight="0" orientation="landscape" horizontalDpi="4294967295" verticalDpi="4294967295" r:id="rId1"/>
  <headerFooter>
    <oddHeader xml:space="preserve">&amp;C&amp;"Arial,Negrita"&amp;12DEPARTAMENTO DE ANTIOQUIA
SECRETARÍA DE INFRAESTRUCTURA FISICA </oddHeader>
    <oddFooter>&amp;CPágina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7</vt:i4>
      </vt:variant>
    </vt:vector>
  </HeadingPairs>
  <TitlesOfParts>
    <vt:vector size="11" baseType="lpstr">
      <vt:lpstr>EXP HABILITANTE</vt:lpstr>
      <vt:lpstr>EXP ESPECIFICA PROPONENTE</vt:lpstr>
      <vt:lpstr>EXP DIRECTOR</vt:lpstr>
      <vt:lpstr>ASIGNACION DE PUNTAJES</vt:lpstr>
      <vt:lpstr>'ASIGNACION DE PUNTAJES'!Área_de_impresión</vt:lpstr>
      <vt:lpstr>'EXP DIRECTOR'!Área_de_impresión</vt:lpstr>
      <vt:lpstr>'EXP ESPECIFICA PROPONENTE'!Área_de_impresión</vt:lpstr>
      <vt:lpstr>'EXP HABILITANTE'!Área_de_impresión</vt:lpstr>
      <vt:lpstr>'EXP DIRECTOR'!Títulos_a_imprimir</vt:lpstr>
      <vt:lpstr>'EXP ESPECIFICA PROPONENTE'!Títulos_a_imprimir</vt:lpstr>
      <vt:lpstr>'EXP HABILITANTE'!Títulos_a_imprimir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Tijera Castro</dc:creator>
  <cp:lastModifiedBy>Carolina Tijera Castro</cp:lastModifiedBy>
  <dcterms:created xsi:type="dcterms:W3CDTF">2020-07-30T00:01:32Z</dcterms:created>
  <dcterms:modified xsi:type="dcterms:W3CDTF">2020-07-30T02:06:50Z</dcterms:modified>
</cp:coreProperties>
</file>