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fperea_sena_edu_co/Documents/@SENA/08. CONTRACTUAL/2. EVALUACIONES FINANCIERAS Y ECONOMICAS/2025/01.Interventorias Concurso SCA/"/>
    </mc:Choice>
  </mc:AlternateContent>
  <xr:revisionPtr revIDLastSave="37" documentId="8_{CCE07419-FEBB-4CCF-B31A-210BA6E72384}" xr6:coauthVersionLast="47" xr6:coauthVersionMax="47" xr10:uidLastSave="{0034460A-E838-422E-852C-6E16179FD512}"/>
  <bookViews>
    <workbookView xWindow="-108" yWindow="-108" windowWidth="19416" windowHeight="10416" tabRatio="852" firstSheet="10" activeTab="14" xr2:uid="{C99B0038-264F-4C39-BD19-432CC6AEB420}"/>
  </bookViews>
  <sheets>
    <sheet name="RESULTADOS FINAL" sheetId="1" r:id="rId1"/>
    <sheet name="UNO" sheetId="8" state="hidden" r:id="rId2"/>
    <sheet name="DOS" sheetId="9" state="hidden" r:id="rId3"/>
    <sheet name="TRES" sheetId="10" state="hidden" r:id="rId4"/>
    <sheet name="CUATRO" sheetId="11" state="hidden" r:id="rId5"/>
    <sheet name="01.INGENIERIA MASTER S.A.S." sheetId="12" r:id="rId6"/>
    <sheet name="02.UT ALVARO FONNEGRA MAS DR" sheetId="13" r:id="rId7"/>
    <sheet name="03.IA INGENIERIA Y ARQUITECTURA" sheetId="14" r:id="rId8"/>
    <sheet name="04.AVE" sheetId="15" r:id="rId9"/>
    <sheet name="05.CONSORCIO CONSTRUGAVI SENA 0" sheetId="16" r:id="rId10"/>
    <sheet name="06.TOTALL INC SAS BIC" sheetId="18" r:id="rId11"/>
    <sheet name="07.JAM" sheetId="19" r:id="rId12"/>
    <sheet name="08.GB10 CONSULTORES S.A.S." sheetId="20" r:id="rId13"/>
    <sheet name="09.CONSORCIO ARQ SENA" sheetId="21" r:id="rId14"/>
    <sheet name="10.CONSORCIO ARAGON" sheetId="17" r:id="rId15"/>
  </sheets>
  <definedNames>
    <definedName name="_xlnm._FilterDatabase" localSheetId="0" hidden="1">'RESULTADOS FINAL'!$A$10:$H$12</definedName>
    <definedName name="_xlnm.Print_Area" localSheetId="0">'RESULTADOS FINAL'!$A$1:$H$28</definedName>
    <definedName name="_xlnm.Print_Titles" localSheetId="5">'01.INGENIERIA MASTER S.A.S.'!$1:$12</definedName>
    <definedName name="_xlnm.Print_Titles" localSheetId="6">'02.UT ALVARO FONNEGRA MAS DR'!$1:$12</definedName>
    <definedName name="_xlnm.Print_Titles" localSheetId="7">'03.IA INGENIERIA Y ARQUITECTURA'!$1:$12</definedName>
    <definedName name="_xlnm.Print_Titles" localSheetId="8">'04.AVE'!$1:$11</definedName>
    <definedName name="_xlnm.Print_Titles" localSheetId="9">'05.CONSORCIO CONSTRUGAVI SENA 0'!$1:$13</definedName>
    <definedName name="_xlnm.Print_Titles" localSheetId="10">'06.TOTALL INC SAS BIC'!$1:$11</definedName>
    <definedName name="_xlnm.Print_Titles" localSheetId="11">'07.JAM'!$1:$12</definedName>
    <definedName name="_xlnm.Print_Titles" localSheetId="12">'08.GB10 CONSULTORES S.A.S.'!$1:$11</definedName>
    <definedName name="_xlnm.Print_Titles" localSheetId="13">'09.CONSORCIO ARQ SENA'!$1:$15</definedName>
    <definedName name="_xlnm.Print_Titles" localSheetId="14">'10.CONSORCIO ARAGON'!$1:$14</definedName>
    <definedName name="_xlnm.Print_Titles" localSheetId="4">CUATRO!$1:$15</definedName>
    <definedName name="_xlnm.Print_Titles" localSheetId="2">DOS!$1:$15</definedName>
    <definedName name="_xlnm.Print_Titles" localSheetId="0">'RESULTADOS FINAL'!$1:$10</definedName>
    <definedName name="_xlnm.Print_Titles" localSheetId="3">TRES!$1:$15</definedName>
    <definedName name="_xlnm.Print_Titles" localSheetId="1">UNO!$1:$15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4" l="1"/>
  <c r="B45" i="14" s="1"/>
  <c r="B35" i="20"/>
  <c r="C18" i="17"/>
  <c r="B18" i="17"/>
  <c r="B14" i="17"/>
  <c r="D56" i="21"/>
  <c r="D55" i="21"/>
  <c r="C44" i="21"/>
  <c r="B44" i="21"/>
  <c r="C43" i="21"/>
  <c r="B43" i="21"/>
  <c r="C41" i="21"/>
  <c r="B41" i="21"/>
  <c r="C40" i="21"/>
  <c r="B40" i="21"/>
  <c r="C39" i="21"/>
  <c r="B39" i="21"/>
  <c r="C38" i="21"/>
  <c r="B38" i="21"/>
  <c r="C37" i="21"/>
  <c r="B37" i="21"/>
  <c r="D34" i="21"/>
  <c r="D33" i="21"/>
  <c r="D32" i="21"/>
  <c r="D31" i="21"/>
  <c r="D30" i="21"/>
  <c r="D29" i="21"/>
  <c r="D28" i="21"/>
  <c r="D37" i="21" s="1"/>
  <c r="C50" i="21" s="1"/>
  <c r="D50" i="21" s="1"/>
  <c r="D20" i="21"/>
  <c r="C19" i="21"/>
  <c r="B19" i="21"/>
  <c r="B15" i="21"/>
  <c r="B48" i="21" s="1"/>
  <c r="D13" i="21"/>
  <c r="A4" i="21"/>
  <c r="A3" i="21"/>
  <c r="C36" i="17"/>
  <c r="B47" i="17"/>
  <c r="B11" i="20"/>
  <c r="B15" i="20" s="1"/>
  <c r="B12" i="19"/>
  <c r="B45" i="19" s="1"/>
  <c r="B11" i="18"/>
  <c r="B44" i="18" s="1"/>
  <c r="C17" i="16"/>
  <c r="B17" i="16"/>
  <c r="B13" i="16"/>
  <c r="B46" i="16" s="1"/>
  <c r="B11" i="15"/>
  <c r="B44" i="15" s="1"/>
  <c r="B16" i="14"/>
  <c r="C16" i="13"/>
  <c r="B16" i="13"/>
  <c r="B12" i="13"/>
  <c r="B45" i="13" s="1"/>
  <c r="B12" i="12"/>
  <c r="B45" i="12" s="1"/>
  <c r="B44" i="20"/>
  <c r="B40" i="20"/>
  <c r="B39" i="20"/>
  <c r="B37" i="20"/>
  <c r="B36" i="20"/>
  <c r="B34" i="20"/>
  <c r="B33" i="20"/>
  <c r="C30" i="20"/>
  <c r="C29" i="20"/>
  <c r="C28" i="20"/>
  <c r="C27" i="20"/>
  <c r="C26" i="20"/>
  <c r="C25" i="20"/>
  <c r="C24" i="20"/>
  <c r="C16" i="20"/>
  <c r="D9" i="20"/>
  <c r="A4" i="20"/>
  <c r="A3" i="20"/>
  <c r="B41" i="19"/>
  <c r="B40" i="19"/>
  <c r="B38" i="19"/>
  <c r="B37" i="19"/>
  <c r="B36" i="19"/>
  <c r="B35" i="19"/>
  <c r="B34" i="19"/>
  <c r="C31" i="19"/>
  <c r="C30" i="19"/>
  <c r="C29" i="19"/>
  <c r="C28" i="19"/>
  <c r="C27" i="19"/>
  <c r="C26" i="19"/>
  <c r="C25" i="19"/>
  <c r="C17" i="19"/>
  <c r="D10" i="19"/>
  <c r="A4" i="19"/>
  <c r="A3" i="19"/>
  <c r="B40" i="18"/>
  <c r="B39" i="18"/>
  <c r="B37" i="18"/>
  <c r="B36" i="18"/>
  <c r="B35" i="18"/>
  <c r="B34" i="18"/>
  <c r="B33" i="18"/>
  <c r="C30" i="18"/>
  <c r="C29" i="18"/>
  <c r="C28" i="18"/>
  <c r="C27" i="18"/>
  <c r="C26" i="18"/>
  <c r="C25" i="18"/>
  <c r="C24" i="18"/>
  <c r="C16" i="18"/>
  <c r="D9" i="18"/>
  <c r="A4" i="18"/>
  <c r="A3" i="18"/>
  <c r="C43" i="17"/>
  <c r="B43" i="17"/>
  <c r="C42" i="17"/>
  <c r="B42" i="17"/>
  <c r="C40" i="17"/>
  <c r="B40" i="17"/>
  <c r="C39" i="17"/>
  <c r="B39" i="17"/>
  <c r="C38" i="17"/>
  <c r="B38" i="17"/>
  <c r="C37" i="17"/>
  <c r="B37" i="17"/>
  <c r="B36" i="17"/>
  <c r="D33" i="17"/>
  <c r="D32" i="17"/>
  <c r="D31" i="17"/>
  <c r="D30" i="17"/>
  <c r="D29" i="17"/>
  <c r="D28" i="17"/>
  <c r="D27" i="17"/>
  <c r="D19" i="17"/>
  <c r="D12" i="17"/>
  <c r="A4" i="17"/>
  <c r="A3" i="17"/>
  <c r="C42" i="16"/>
  <c r="B42" i="16"/>
  <c r="C41" i="16"/>
  <c r="B41" i="16"/>
  <c r="C39" i="16"/>
  <c r="B39" i="16"/>
  <c r="C38" i="16"/>
  <c r="B38" i="16"/>
  <c r="C37" i="16"/>
  <c r="B37" i="16"/>
  <c r="C36" i="16"/>
  <c r="B36" i="16"/>
  <c r="C35" i="16"/>
  <c r="B35" i="16"/>
  <c r="D32" i="16"/>
  <c r="D31" i="16"/>
  <c r="D30" i="16"/>
  <c r="D29" i="16"/>
  <c r="D28" i="16"/>
  <c r="D27" i="16"/>
  <c r="D26" i="16"/>
  <c r="D18" i="16"/>
  <c r="D11" i="16"/>
  <c r="A4" i="16"/>
  <c r="A3" i="16"/>
  <c r="B40" i="15"/>
  <c r="B39" i="15"/>
  <c r="B37" i="15"/>
  <c r="B36" i="15"/>
  <c r="B35" i="15"/>
  <c r="B34" i="15"/>
  <c r="B33" i="15"/>
  <c r="C30" i="15"/>
  <c r="C29" i="15"/>
  <c r="C28" i="15"/>
  <c r="C27" i="15"/>
  <c r="C26" i="15"/>
  <c r="C25" i="15"/>
  <c r="C24" i="15"/>
  <c r="C16" i="15"/>
  <c r="D9" i="15"/>
  <c r="A4" i="15"/>
  <c r="A3" i="15"/>
  <c r="B41" i="14"/>
  <c r="B40" i="14"/>
  <c r="B38" i="14"/>
  <c r="B37" i="14"/>
  <c r="B36" i="14"/>
  <c r="B35" i="14"/>
  <c r="B34" i="14"/>
  <c r="C31" i="14"/>
  <c r="C30" i="14"/>
  <c r="C29" i="14"/>
  <c r="C28" i="14"/>
  <c r="C27" i="14"/>
  <c r="C26" i="14"/>
  <c r="C25" i="14"/>
  <c r="C17" i="14"/>
  <c r="D10" i="14"/>
  <c r="A4" i="14"/>
  <c r="A3" i="14"/>
  <c r="C41" i="13"/>
  <c r="B41" i="13"/>
  <c r="C40" i="13"/>
  <c r="B40" i="13"/>
  <c r="C38" i="13"/>
  <c r="B38" i="13"/>
  <c r="C37" i="13"/>
  <c r="B37" i="13"/>
  <c r="C36" i="13"/>
  <c r="B36" i="13"/>
  <c r="C35" i="13"/>
  <c r="B35" i="13"/>
  <c r="C34" i="13"/>
  <c r="B34" i="13"/>
  <c r="D31" i="13"/>
  <c r="D30" i="13"/>
  <c r="D29" i="13"/>
  <c r="D28" i="13"/>
  <c r="D27" i="13"/>
  <c r="D26" i="13"/>
  <c r="D25" i="13"/>
  <c r="D17" i="13"/>
  <c r="D10" i="13"/>
  <c r="A4" i="13"/>
  <c r="A3" i="13"/>
  <c r="B41" i="12"/>
  <c r="B40" i="12"/>
  <c r="B38" i="12"/>
  <c r="B37" i="12"/>
  <c r="B36" i="12"/>
  <c r="B35" i="12"/>
  <c r="B34" i="12"/>
  <c r="C31" i="12"/>
  <c r="C30" i="12"/>
  <c r="C29" i="12"/>
  <c r="C28" i="12"/>
  <c r="C27" i="12"/>
  <c r="C26" i="12"/>
  <c r="C25" i="12"/>
  <c r="C17" i="12"/>
  <c r="D10" i="12"/>
  <c r="A4" i="12"/>
  <c r="A3" i="12"/>
  <c r="D20" i="1"/>
  <c r="D19" i="1"/>
  <c r="D18" i="1"/>
  <c r="D15" i="1"/>
  <c r="D14" i="1"/>
  <c r="D11" i="1"/>
  <c r="D41" i="16" l="1"/>
  <c r="C35" i="20"/>
  <c r="C48" i="20" s="1"/>
  <c r="D48" i="20" s="1"/>
  <c r="C36" i="20"/>
  <c r="C49" i="20" s="1"/>
  <c r="D49" i="20" s="1"/>
  <c r="D38" i="21"/>
  <c r="C51" i="21" s="1"/>
  <c r="D51" i="21" s="1"/>
  <c r="D44" i="21"/>
  <c r="D43" i="21"/>
  <c r="D39" i="21"/>
  <c r="C52" i="21" s="1"/>
  <c r="D52" i="21" s="1"/>
  <c r="D40" i="21"/>
  <c r="C53" i="21" s="1"/>
  <c r="D53" i="21" s="1"/>
  <c r="D41" i="21"/>
  <c r="C54" i="21" s="1"/>
  <c r="D54" i="21" s="1"/>
  <c r="B16" i="19"/>
  <c r="B15" i="18"/>
  <c r="B15" i="15"/>
  <c r="B16" i="12"/>
  <c r="C33" i="18"/>
  <c r="C46" i="18" s="1"/>
  <c r="D46" i="18" s="1"/>
  <c r="C34" i="19"/>
  <c r="C47" i="19" s="1"/>
  <c r="D47" i="19" s="1"/>
  <c r="C33" i="20"/>
  <c r="C46" i="20" s="1"/>
  <c r="D46" i="20" s="1"/>
  <c r="C34" i="20"/>
  <c r="C47" i="20" s="1"/>
  <c r="D47" i="20" s="1"/>
  <c r="C37" i="20"/>
  <c r="C50" i="20" s="1"/>
  <c r="D50" i="20" s="1"/>
  <c r="C40" i="20"/>
  <c r="C52" i="20" s="1"/>
  <c r="D52" i="20" s="1"/>
  <c r="C39" i="20"/>
  <c r="C51" i="20" s="1"/>
  <c r="D51" i="20" s="1"/>
  <c r="C35" i="19"/>
  <c r="C48" i="19" s="1"/>
  <c r="D48" i="19" s="1"/>
  <c r="C38" i="19"/>
  <c r="C51" i="19" s="1"/>
  <c r="D51" i="19" s="1"/>
  <c r="C41" i="19"/>
  <c r="C53" i="19" s="1"/>
  <c r="D53" i="19" s="1"/>
  <c r="C37" i="19"/>
  <c r="C50" i="19" s="1"/>
  <c r="D50" i="19" s="1"/>
  <c r="C40" i="19"/>
  <c r="C52" i="19" s="1"/>
  <c r="D52" i="19" s="1"/>
  <c r="C37" i="18"/>
  <c r="C50" i="18" s="1"/>
  <c r="D50" i="18" s="1"/>
  <c r="C36" i="19"/>
  <c r="C49" i="19" s="1"/>
  <c r="D49" i="19" s="1"/>
  <c r="C34" i="18"/>
  <c r="C47" i="18" s="1"/>
  <c r="D47" i="18" s="1"/>
  <c r="C40" i="18"/>
  <c r="C52" i="18" s="1"/>
  <c r="D52" i="18" s="1"/>
  <c r="C36" i="18"/>
  <c r="C49" i="18" s="1"/>
  <c r="D49" i="18" s="1"/>
  <c r="C39" i="18"/>
  <c r="C51" i="18" s="1"/>
  <c r="D51" i="18" s="1"/>
  <c r="D37" i="17"/>
  <c r="C50" i="17" s="1"/>
  <c r="D50" i="17" s="1"/>
  <c r="C35" i="18"/>
  <c r="C48" i="18" s="1"/>
  <c r="D48" i="18" s="1"/>
  <c r="D36" i="17"/>
  <c r="C49" i="17" s="1"/>
  <c r="D49" i="17" s="1"/>
  <c r="D42" i="17"/>
  <c r="D54" i="17" s="1"/>
  <c r="D40" i="17"/>
  <c r="C53" i="17" s="1"/>
  <c r="D53" i="17" s="1"/>
  <c r="D36" i="16"/>
  <c r="C49" i="16" s="1"/>
  <c r="D49" i="16" s="1"/>
  <c r="D43" i="17"/>
  <c r="D55" i="17" s="1"/>
  <c r="C53" i="16"/>
  <c r="D53" i="16" s="1"/>
  <c r="D39" i="17"/>
  <c r="C52" i="17" s="1"/>
  <c r="D52" i="17" s="1"/>
  <c r="C34" i="15"/>
  <c r="C47" i="15" s="1"/>
  <c r="D47" i="15" s="1"/>
  <c r="C37" i="15"/>
  <c r="C50" i="15" s="1"/>
  <c r="D50" i="15" s="1"/>
  <c r="D35" i="16"/>
  <c r="C48" i="16" s="1"/>
  <c r="D48" i="16" s="1"/>
  <c r="D38" i="17"/>
  <c r="C51" i="17" s="1"/>
  <c r="D51" i="17" s="1"/>
  <c r="D39" i="16"/>
  <c r="C52" i="16" s="1"/>
  <c r="D52" i="16" s="1"/>
  <c r="D35" i="13"/>
  <c r="C48" i="13" s="1"/>
  <c r="D48" i="13" s="1"/>
  <c r="D42" i="16"/>
  <c r="C54" i="16" s="1"/>
  <c r="D54" i="16" s="1"/>
  <c r="D38" i="16"/>
  <c r="C51" i="16" s="1"/>
  <c r="D51" i="16" s="1"/>
  <c r="D37" i="16"/>
  <c r="C50" i="16" s="1"/>
  <c r="D50" i="16" s="1"/>
  <c r="C33" i="15"/>
  <c r="C46" i="15" s="1"/>
  <c r="D46" i="15" s="1"/>
  <c r="C40" i="15"/>
  <c r="C52" i="15" s="1"/>
  <c r="D52" i="15" s="1"/>
  <c r="C36" i="15"/>
  <c r="C49" i="15" s="1"/>
  <c r="D49" i="15" s="1"/>
  <c r="C39" i="15"/>
  <c r="C51" i="15" s="1"/>
  <c r="D51" i="15" s="1"/>
  <c r="C35" i="14"/>
  <c r="C48" i="14" s="1"/>
  <c r="D48" i="14" s="1"/>
  <c r="C38" i="14"/>
  <c r="C51" i="14" s="1"/>
  <c r="D51" i="14" s="1"/>
  <c r="C35" i="15"/>
  <c r="C48" i="15" s="1"/>
  <c r="D48" i="15" s="1"/>
  <c r="C34" i="14"/>
  <c r="C47" i="14" s="1"/>
  <c r="D47" i="14" s="1"/>
  <c r="C41" i="14"/>
  <c r="C53" i="14" s="1"/>
  <c r="D53" i="14" s="1"/>
  <c r="C37" i="14"/>
  <c r="C50" i="14" s="1"/>
  <c r="D50" i="14" s="1"/>
  <c r="C40" i="14"/>
  <c r="C52" i="14" s="1"/>
  <c r="D52" i="14" s="1"/>
  <c r="C36" i="14"/>
  <c r="C49" i="14" s="1"/>
  <c r="D49" i="14" s="1"/>
  <c r="D34" i="13"/>
  <c r="C47" i="13" s="1"/>
  <c r="D47" i="13" s="1"/>
  <c r="C38" i="12"/>
  <c r="C51" i="12" s="1"/>
  <c r="D51" i="12" s="1"/>
  <c r="D40" i="13"/>
  <c r="C52" i="13" s="1"/>
  <c r="D52" i="13" s="1"/>
  <c r="D41" i="13"/>
  <c r="C53" i="13" s="1"/>
  <c r="D53" i="13" s="1"/>
  <c r="D38" i="13"/>
  <c r="C51" i="13" s="1"/>
  <c r="D51" i="13" s="1"/>
  <c r="D37" i="13"/>
  <c r="C50" i="13" s="1"/>
  <c r="D50" i="13" s="1"/>
  <c r="D36" i="13"/>
  <c r="C49" i="13" s="1"/>
  <c r="D49" i="13" s="1"/>
  <c r="C34" i="12"/>
  <c r="C47" i="12" s="1"/>
  <c r="D47" i="12" s="1"/>
  <c r="C35" i="12"/>
  <c r="C48" i="12" s="1"/>
  <c r="D48" i="12" s="1"/>
  <c r="C41" i="12"/>
  <c r="C53" i="12" s="1"/>
  <c r="D53" i="12" s="1"/>
  <c r="C37" i="12"/>
  <c r="C50" i="12" s="1"/>
  <c r="D50" i="12" s="1"/>
  <c r="C40" i="12"/>
  <c r="C52" i="12" s="1"/>
  <c r="D52" i="12" s="1"/>
  <c r="C36" i="12"/>
  <c r="C49" i="12" s="1"/>
  <c r="D49" i="12" s="1"/>
  <c r="E13" i="10"/>
  <c r="F13" i="11"/>
  <c r="D13" i="9"/>
  <c r="D13" i="8"/>
  <c r="A4" i="9"/>
  <c r="A4" i="10"/>
  <c r="A4" i="11"/>
  <c r="A4" i="8"/>
  <c r="A3" i="9"/>
  <c r="A3" i="10"/>
  <c r="A3" i="11"/>
  <c r="A3" i="8"/>
  <c r="B48" i="11"/>
  <c r="E44" i="11"/>
  <c r="D44" i="11"/>
  <c r="C44" i="11"/>
  <c r="B44" i="11"/>
  <c r="E43" i="11"/>
  <c r="D43" i="11"/>
  <c r="C43" i="11"/>
  <c r="B43" i="11"/>
  <c r="E41" i="11"/>
  <c r="D41" i="11"/>
  <c r="C41" i="11"/>
  <c r="B41" i="11"/>
  <c r="E40" i="11"/>
  <c r="D40" i="11"/>
  <c r="C40" i="11"/>
  <c r="B40" i="11"/>
  <c r="E39" i="11"/>
  <c r="D39" i="11"/>
  <c r="C39" i="11"/>
  <c r="B39" i="11"/>
  <c r="E38" i="11"/>
  <c r="D38" i="11"/>
  <c r="C38" i="11"/>
  <c r="B38" i="11"/>
  <c r="E37" i="11"/>
  <c r="D37" i="11"/>
  <c r="C37" i="11"/>
  <c r="B37" i="11"/>
  <c r="F34" i="11"/>
  <c r="F33" i="11"/>
  <c r="F32" i="11"/>
  <c r="F31" i="11"/>
  <c r="F30" i="11"/>
  <c r="F29" i="11"/>
  <c r="F28" i="11"/>
  <c r="F20" i="11"/>
  <c r="B48" i="10"/>
  <c r="D44" i="10"/>
  <c r="C44" i="10"/>
  <c r="B44" i="10"/>
  <c r="D43" i="10"/>
  <c r="C43" i="10"/>
  <c r="B43" i="10"/>
  <c r="D41" i="10"/>
  <c r="C41" i="10"/>
  <c r="B41" i="10"/>
  <c r="D40" i="10"/>
  <c r="C40" i="10"/>
  <c r="B40" i="10"/>
  <c r="D39" i="10"/>
  <c r="C39" i="10"/>
  <c r="B39" i="10"/>
  <c r="D38" i="10"/>
  <c r="C38" i="10"/>
  <c r="B38" i="10"/>
  <c r="D37" i="10"/>
  <c r="C37" i="10"/>
  <c r="B37" i="10"/>
  <c r="E34" i="10"/>
  <c r="E33" i="10"/>
  <c r="E32" i="10"/>
  <c r="E31" i="10"/>
  <c r="E30" i="10"/>
  <c r="E29" i="10"/>
  <c r="E28" i="10"/>
  <c r="E20" i="10"/>
  <c r="B48" i="9"/>
  <c r="C44" i="9"/>
  <c r="B44" i="9"/>
  <c r="C43" i="9"/>
  <c r="B43" i="9"/>
  <c r="C41" i="9"/>
  <c r="B41" i="9"/>
  <c r="C40" i="9"/>
  <c r="B40" i="9"/>
  <c r="C39" i="9"/>
  <c r="B39" i="9"/>
  <c r="C38" i="9"/>
  <c r="B38" i="9"/>
  <c r="C37" i="9"/>
  <c r="B37" i="9"/>
  <c r="D34" i="9"/>
  <c r="D33" i="9"/>
  <c r="D32" i="9"/>
  <c r="D31" i="9"/>
  <c r="D30" i="9"/>
  <c r="D29" i="9"/>
  <c r="D28" i="9"/>
  <c r="D20" i="9"/>
  <c r="B48" i="8"/>
  <c r="B44" i="8"/>
  <c r="B43" i="8"/>
  <c r="B41" i="8"/>
  <c r="B40" i="8"/>
  <c r="B39" i="8"/>
  <c r="B38" i="8"/>
  <c r="B37" i="8"/>
  <c r="C34" i="8"/>
  <c r="C33" i="8"/>
  <c r="C32" i="8"/>
  <c r="C31" i="8"/>
  <c r="C30" i="8"/>
  <c r="C29" i="8"/>
  <c r="C28" i="8"/>
  <c r="C20" i="8"/>
  <c r="B19" i="8"/>
  <c r="B54" i="20" l="1"/>
  <c r="G20" i="1" s="1"/>
  <c r="B58" i="21"/>
  <c r="G21" i="1" s="1"/>
  <c r="B55" i="19"/>
  <c r="G19" i="1" s="1"/>
  <c r="B54" i="18"/>
  <c r="G18" i="1" s="1"/>
  <c r="B57" i="17"/>
  <c r="G23" i="1" s="1"/>
  <c r="B56" i="16"/>
  <c r="G16" i="1" s="1"/>
  <c r="B54" i="15"/>
  <c r="G15" i="1" s="1"/>
  <c r="B55" i="14"/>
  <c r="G14" i="1" s="1"/>
  <c r="B55" i="13"/>
  <c r="G12" i="1" s="1"/>
  <c r="B55" i="12"/>
  <c r="G11" i="1" s="1"/>
  <c r="C41" i="8"/>
  <c r="C54" i="8" s="1"/>
  <c r="D54" i="8" s="1"/>
  <c r="F38" i="11"/>
  <c r="C51" i="11" s="1"/>
  <c r="D51" i="11" s="1"/>
  <c r="E38" i="10"/>
  <c r="C51" i="10" s="1"/>
  <c r="D51" i="10" s="1"/>
  <c r="C37" i="8"/>
  <c r="C50" i="8" s="1"/>
  <c r="D50" i="8" s="1"/>
  <c r="D38" i="9"/>
  <c r="C51" i="9" s="1"/>
  <c r="D51" i="9" s="1"/>
  <c r="F37" i="11"/>
  <c r="C50" i="11" s="1"/>
  <c r="D50" i="11" s="1"/>
  <c r="F40" i="11"/>
  <c r="C53" i="11" s="1"/>
  <c r="D53" i="11" s="1"/>
  <c r="D40" i="9"/>
  <c r="C53" i="9" s="1"/>
  <c r="D53" i="9" s="1"/>
  <c r="C38" i="8"/>
  <c r="C51" i="8" s="1"/>
  <c r="D51" i="8" s="1"/>
  <c r="C44" i="8"/>
  <c r="C56" i="8" s="1"/>
  <c r="D56" i="8" s="1"/>
  <c r="D37" i="9"/>
  <c r="C50" i="9" s="1"/>
  <c r="D50" i="9" s="1"/>
  <c r="D43" i="9"/>
  <c r="C55" i="9" s="1"/>
  <c r="D55" i="9" s="1"/>
  <c r="E44" i="10"/>
  <c r="C56" i="10" s="1"/>
  <c r="D56" i="10" s="1"/>
  <c r="C40" i="8"/>
  <c r="C53" i="8" s="1"/>
  <c r="D53" i="8" s="1"/>
  <c r="D44" i="9"/>
  <c r="C56" i="9" s="1"/>
  <c r="D56" i="9" s="1"/>
  <c r="D41" i="9"/>
  <c r="C54" i="9" s="1"/>
  <c r="D54" i="9" s="1"/>
  <c r="E37" i="10"/>
  <c r="C50" i="10" s="1"/>
  <c r="D50" i="10" s="1"/>
  <c r="E41" i="10"/>
  <c r="C54" i="10" s="1"/>
  <c r="D54" i="10" s="1"/>
  <c r="F44" i="11"/>
  <c r="C56" i="11" s="1"/>
  <c r="D56" i="11" s="1"/>
  <c r="E40" i="10"/>
  <c r="C53" i="10" s="1"/>
  <c r="D53" i="10" s="1"/>
  <c r="F41" i="11"/>
  <c r="C54" i="11" s="1"/>
  <c r="D54" i="11" s="1"/>
  <c r="C43" i="8"/>
  <c r="C55" i="8" s="1"/>
  <c r="D55" i="8" s="1"/>
  <c r="E39" i="10"/>
  <c r="C52" i="10" s="1"/>
  <c r="D52" i="10" s="1"/>
  <c r="E43" i="10"/>
  <c r="C55" i="10" s="1"/>
  <c r="D55" i="10" s="1"/>
  <c r="C39" i="8"/>
  <c r="C52" i="8" s="1"/>
  <c r="D52" i="8" s="1"/>
  <c r="D39" i="9"/>
  <c r="C52" i="9" s="1"/>
  <c r="D52" i="9" s="1"/>
  <c r="F43" i="11"/>
  <c r="C55" i="11" s="1"/>
  <c r="D55" i="11" s="1"/>
  <c r="F39" i="11"/>
  <c r="C52" i="11" s="1"/>
  <c r="D52" i="11" s="1"/>
  <c r="B58" i="10" l="1"/>
  <c r="B58" i="9"/>
  <c r="B58" i="8"/>
  <c r="B58" i="11"/>
</calcChain>
</file>

<file path=xl/sharedStrings.xml><?xml version="1.0" encoding="utf-8"?>
<sst xmlns="http://schemas.openxmlformats.org/spreadsheetml/2006/main" count="855" uniqueCount="155">
  <si>
    <t>SERVICIO NACIONAL DE APRENDIZAJE - SENA DIRECCIÓN ADMINISTRATIVA Y FINANCIERA</t>
  </si>
  <si>
    <t xml:space="preserve">PROCESO No. CM-DG-DAF-0003-2024 </t>
  </si>
  <si>
    <t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t>
  </si>
  <si>
    <t>CUADRO DE RESUMEN VERIFICACIÓN FINANCIERA</t>
  </si>
  <si>
    <t>ITEM</t>
  </si>
  <si>
    <t>PROPONENTES</t>
  </si>
  <si>
    <t>PROPONENTE PLURAL</t>
  </si>
  <si>
    <t>INTEGRANTES</t>
  </si>
  <si>
    <t>LOTES OFERTADOS</t>
  </si>
  <si>
    <t>EVALUADOR</t>
  </si>
  <si>
    <t>EVALUACION FINANCIERA</t>
  </si>
  <si>
    <t>OBSERVACIONES</t>
  </si>
  <si>
    <t>INGENIERIA MASTER S.A.S.</t>
  </si>
  <si>
    <t>NO</t>
  </si>
  <si>
    <t>2, 3</t>
  </si>
  <si>
    <t>Luisa Fernanda Perea Muñoz</t>
  </si>
  <si>
    <t>UT ALVARO FONNEGRA MAS DR</t>
  </si>
  <si>
    <t>SI</t>
  </si>
  <si>
    <t>ÁLVARO FONNEGRA JARAMILLO</t>
  </si>
  <si>
    <t>DANIEL ALEJANDRO RIAÑO GARCÍA</t>
  </si>
  <si>
    <t>IA INGENIERIA Y ARQUITECTURA DE COLOMBIA SAS</t>
  </si>
  <si>
    <t>ARDILA VALENCIA ESTRUCTURAS S.A.S. - AVE</t>
  </si>
  <si>
    <t>John Alejandro Jaramillo Santa</t>
  </si>
  <si>
    <t>CONSORCIO CONSTRUGAVI SENA 003</t>
  </si>
  <si>
    <t>GAVINCO INGENIEROS CONSULTORES S.A.S</t>
  </si>
  <si>
    <t>1, 4, 5</t>
  </si>
  <si>
    <t>CONSTRUMAVE S.A.S</t>
  </si>
  <si>
    <t>TOTALL INC SAS BIC</t>
  </si>
  <si>
    <t>Martha Isabel Clavijo Pinzon</t>
  </si>
  <si>
    <t>JAM INGENIERIA Y MEDIO AMBIENTE S.A.S</t>
  </si>
  <si>
    <t>Luz Angela Vargas Sandoval</t>
  </si>
  <si>
    <t>GB10 CONSULTORES S.A.S.</t>
  </si>
  <si>
    <t>CONSORCIO ARQ SENA</t>
  </si>
  <si>
    <t>ARQ SAS</t>
  </si>
  <si>
    <t>1, 2, 3, 4, 5</t>
  </si>
  <si>
    <t>ARQ CONSULTORIA SAS BIC</t>
  </si>
  <si>
    <t>CONSORCIO ARAGON</t>
  </si>
  <si>
    <t>ARQUITECTURA Y URBANISMO SXXI S.A.S.</t>
  </si>
  <si>
    <t>1, 2, 3, 4</t>
  </si>
  <si>
    <t>MYV CONSULTORES ASOCIADOS S.A.S.</t>
  </si>
  <si>
    <t>EVALUADORES</t>
  </si>
  <si>
    <t>Javier Garcia Quintero
Coordinador Grupo Financiero</t>
  </si>
  <si>
    <t xml:space="preserve">DIRECCION ADMINISTRATIVA Y FINANCIERA </t>
  </si>
  <si>
    <t>VERIFICACIÓN CAPACIDAD FINANCIERA Y ORGANIZACIONAL</t>
  </si>
  <si>
    <t>LOTE 1</t>
  </si>
  <si>
    <t>LOTE 2</t>
  </si>
  <si>
    <t>LOTE 3</t>
  </si>
  <si>
    <t>LOTE 4</t>
  </si>
  <si>
    <t>LOTE 5</t>
  </si>
  <si>
    <t>VALOR PRESUPUESTO OFICIAL</t>
  </si>
  <si>
    <t>PROPONENTE XX</t>
  </si>
  <si>
    <t>DATOS FINANCIEROS RUP</t>
  </si>
  <si>
    <t>RESULTADOS FINANCIEROS DEL PROPONENTE</t>
  </si>
  <si>
    <t>PARTICIPACIÓN</t>
  </si>
  <si>
    <t>NIT:</t>
  </si>
  <si>
    <t>Cámara de Comercio</t>
  </si>
  <si>
    <t>Fecha RUP</t>
  </si>
  <si>
    <t>Fecha inscripción y/o actualización RUP</t>
  </si>
  <si>
    <t>Fecha corte información financiera RUP</t>
  </si>
  <si>
    <t>INFORMACIÓN FINANCIERA</t>
  </si>
  <si>
    <t>Integrante 1</t>
  </si>
  <si>
    <t>Total</t>
  </si>
  <si>
    <t>Activo corriente</t>
  </si>
  <si>
    <t>Activo total</t>
  </si>
  <si>
    <t>Pasivo corriente</t>
  </si>
  <si>
    <t>Pasivo total</t>
  </si>
  <si>
    <t>Patrimonio expresado en $</t>
  </si>
  <si>
    <t>Utilidad / Pérdida Operacional</t>
  </si>
  <si>
    <t>Gastos Financieros Intereses</t>
  </si>
  <si>
    <t>CAPACIDAD FINANCIERA</t>
  </si>
  <si>
    <t>Liquidez (AC/PC)</t>
  </si>
  <si>
    <t>Endeudamiento (PT/AT)</t>
  </si>
  <si>
    <t>Razon Cobertura de Intereses (UO/GI)</t>
  </si>
  <si>
    <t>Capital de Trabajo (AC-PC)</t>
  </si>
  <si>
    <t>Patrmonio (AT-PT/Pres. Of)</t>
  </si>
  <si>
    <t>CAPACIDAD ORGANIZACIONAL</t>
  </si>
  <si>
    <t>Rentabilidad Sobre Patrimonio (UO/PAT)</t>
  </si>
  <si>
    <t>Rentabilidad Sobre Activos (UO/AT)</t>
  </si>
  <si>
    <t>EVALUACIÓN FINANCIERA DEFINITIVA</t>
  </si>
  <si>
    <t>INDICADORES PROPUESTOS</t>
  </si>
  <si>
    <t>INDICES PROPUESTOS POR EL SENA</t>
  </si>
  <si>
    <t>RESULTADOS DE LA EVALUACIÓN</t>
  </si>
  <si>
    <t xml:space="preserve">Liquidez ≥ </t>
  </si>
  <si>
    <t xml:space="preserve">Endeudamiento ≤ </t>
  </si>
  <si>
    <t xml:space="preserve">Razon Cobertura de Intereses ≥ </t>
  </si>
  <si>
    <t xml:space="preserve">Capital de Trabajo  ≥ </t>
  </si>
  <si>
    <t>Patrimonio Lote ≥</t>
  </si>
  <si>
    <t xml:space="preserve">Rentabilidad Sobre Patrimonio ≥ </t>
  </si>
  <si>
    <t xml:space="preserve">Rentabilidad Sobre Activos ≥ </t>
  </si>
  <si>
    <t>RESULTADO FINAL</t>
  </si>
  <si>
    <t>OBSERVACIONES GENERALES</t>
  </si>
  <si>
    <t>Nombre y cargo Evaluador Designado</t>
  </si>
  <si>
    <t>Nombre y cargo del apoyo al evaluador designado</t>
  </si>
  <si>
    <t>Integrante 2</t>
  </si>
  <si>
    <t>Total (1+2 % Part)</t>
  </si>
  <si>
    <t>Integrante 3</t>
  </si>
  <si>
    <t>Total (1+2+3 % Part)</t>
  </si>
  <si>
    <t>Integrante 4</t>
  </si>
  <si>
    <t>Total (1+2+3+4 % Part)</t>
  </si>
  <si>
    <t>PROPONENTE 01</t>
  </si>
  <si>
    <t>900.915.689 - 6</t>
  </si>
  <si>
    <t>BARRANQUILLA</t>
  </si>
  <si>
    <t>17-4-24</t>
  </si>
  <si>
    <t>31-12-2023</t>
  </si>
  <si>
    <t>Luisa Fernanda Perea Muñoz
Contratista Grupo Financiero</t>
  </si>
  <si>
    <t>PROPONENTE 02</t>
  </si>
  <si>
    <t>19130480-9</t>
  </si>
  <si>
    <t>1032460500-1</t>
  </si>
  <si>
    <t>BOGOTA</t>
  </si>
  <si>
    <t>28/1/25</t>
  </si>
  <si>
    <t>31/12/25</t>
  </si>
  <si>
    <t>PROPONENTE 03</t>
  </si>
  <si>
    <t>900283049-9</t>
  </si>
  <si>
    <t>30/1/25</t>
  </si>
  <si>
    <t>31/12/23</t>
  </si>
  <si>
    <t>PROPONENTE 04</t>
  </si>
  <si>
    <t>900664747-7</t>
  </si>
  <si>
    <t>BOGOTÁ</t>
  </si>
  <si>
    <t>30/01/2025</t>
  </si>
  <si>
    <t>31/12/2023</t>
  </si>
  <si>
    <t>John Alejandro Jaramillo Santa
Contratista Grupo Financiero</t>
  </si>
  <si>
    <t>PROPONENTE 05</t>
  </si>
  <si>
    <t>900916608-4</t>
  </si>
  <si>
    <t>901524369-1</t>
  </si>
  <si>
    <t>20/01/2025</t>
  </si>
  <si>
    <t>19/03/2024</t>
  </si>
  <si>
    <t>26/03/2024</t>
  </si>
  <si>
    <t>PROPONENTE 06</t>
  </si>
  <si>
    <t>901620351-9</t>
  </si>
  <si>
    <t>24/01/2025</t>
  </si>
  <si>
    <t>22/03/2024</t>
  </si>
  <si>
    <t>Martha Isabel Clavijo Pinzon
Contratista Grupo Financiero</t>
  </si>
  <si>
    <t>PROPONENTE 07</t>
  </si>
  <si>
    <t>830084684-9</t>
  </si>
  <si>
    <t>14/1/2025</t>
  </si>
  <si>
    <t>22/3/2024</t>
  </si>
  <si>
    <t>21/12/2023</t>
  </si>
  <si>
    <t>Luz Angela Vargas Sandoval
Contratista Grupo Financiero</t>
  </si>
  <si>
    <t>PROPONENTE 08</t>
  </si>
  <si>
    <t>900934816-6</t>
  </si>
  <si>
    <t>VILLAVICENCIO</t>
  </si>
  <si>
    <t>24/1/2025</t>
  </si>
  <si>
    <t>PROPONENTE 09</t>
  </si>
  <si>
    <t>800.168.477-3</t>
  </si>
  <si>
    <t>901.843.784-1</t>
  </si>
  <si>
    <t>28/1/2025</t>
  </si>
  <si>
    <t>13/9/2024</t>
  </si>
  <si>
    <t>24/6/2024</t>
  </si>
  <si>
    <t>Martha Isabel Clavijo Pinzón 
Contratista Grupo Financiero</t>
  </si>
  <si>
    <t>PROPONENTE 10</t>
  </si>
  <si>
    <t>901183827-7</t>
  </si>
  <si>
    <t>900232123-8</t>
  </si>
  <si>
    <t>22/1/2025</t>
  </si>
  <si>
    <t>Javier Garcia Quintero
Coordinador Grupo Financiero
Evaluador Designado</t>
  </si>
  <si>
    <t>Martha Isabel Clavijo Pinzon
Luz Angela Vargas Sandoval
John Alejandro Jaramillo Santa
Luisa Fernanda Perea Muñoz
Contratistas Grupo Financiero
Apoyos al evaluador designado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</si>
</sst>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-[$$-240A]* #,##0.00_-;\-[$$-240A]* #,##0.00_-;_-[$$-240A]* &quot;-&quot;??_-;_-@_-"/>
    <numFmt numFmtId="166" formatCode="&quot;$&quot;\ #,##0"/>
    <numFmt numFmtId="167" formatCode="&quot;$&quot;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4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"/>
      <family val="2"/>
    </font>
    <font>
      <b/>
      <sz val="11"/>
      <color theme="1"/>
      <name val="Arial Narrow"/>
      <family val="2"/>
    </font>
    <font>
      <b/>
      <sz val="16"/>
      <name val="Calibri Light"/>
      <family val="2"/>
    </font>
    <font>
      <sz val="12"/>
      <name val="Calibri Light"/>
      <family val="2"/>
    </font>
    <font>
      <b/>
      <sz val="12"/>
      <name val="Calibri Light"/>
      <family val="2"/>
    </font>
    <font>
      <sz val="14"/>
      <name val="Calibri Light"/>
      <family val="2"/>
    </font>
    <font>
      <sz val="12"/>
      <color theme="1"/>
      <name val="Calibri Light"/>
      <family val="2"/>
    </font>
    <font>
      <b/>
      <sz val="10"/>
      <name val="Calibri Light"/>
      <family val="2"/>
    </font>
    <font>
      <b/>
      <sz val="12"/>
      <color theme="1"/>
      <name val="Calibri Light"/>
      <family val="2"/>
    </font>
    <font>
      <sz val="11"/>
      <color theme="1"/>
      <name val="Calibri Light"/>
      <family val="2"/>
    </font>
    <font>
      <sz val="8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1">
    <xf numFmtId="0" fontId="0" fillId="0" borderId="0" xfId="0"/>
    <xf numFmtId="0" fontId="3" fillId="0" borderId="7" xfId="0" applyFont="1" applyBorder="1"/>
    <xf numFmtId="0" fontId="4" fillId="0" borderId="0" xfId="0" applyFont="1" applyAlignment="1">
      <alignment horizontal="center" vertical="top" wrapText="1"/>
    </xf>
    <xf numFmtId="0" fontId="3" fillId="0" borderId="0" xfId="0" applyFont="1"/>
    <xf numFmtId="0" fontId="0" fillId="0" borderId="8" xfId="0" applyBorder="1"/>
    <xf numFmtId="0" fontId="5" fillId="0" borderId="0" xfId="0" applyFont="1"/>
    <xf numFmtId="0" fontId="7" fillId="0" borderId="7" xfId="0" applyFont="1" applyBorder="1"/>
    <xf numFmtId="0" fontId="7" fillId="0" borderId="0" xfId="0" applyFont="1"/>
    <xf numFmtId="3" fontId="9" fillId="0" borderId="15" xfId="0" applyNumberFormat="1" applyFont="1" applyBorder="1" applyAlignment="1">
      <alignment horizontal="center" vertical="center"/>
    </xf>
    <xf numFmtId="3" fontId="7" fillId="0" borderId="16" xfId="0" applyNumberFormat="1" applyFont="1" applyBorder="1" applyAlignment="1">
      <alignment horizontal="left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left" vertical="center" wrapText="1"/>
    </xf>
    <xf numFmtId="0" fontId="3" fillId="0" borderId="1" xfId="0" applyFont="1" applyBorder="1"/>
    <xf numFmtId="0" fontId="12" fillId="0" borderId="2" xfId="0" applyFont="1" applyBorder="1" applyAlignment="1">
      <alignment horizontal="center"/>
    </xf>
    <xf numFmtId="0" fontId="0" fillId="0" borderId="3" xfId="0" applyBorder="1"/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65" fontId="15" fillId="2" borderId="16" xfId="0" applyNumberFormat="1" applyFont="1" applyFill="1" applyBorder="1" applyAlignment="1">
      <alignment horizontal="left" vertical="center"/>
    </xf>
    <xf numFmtId="0" fontId="15" fillId="3" borderId="25" xfId="0" applyFont="1" applyFill="1" applyBorder="1" applyAlignment="1">
      <alignment horizontal="left" vertical="center"/>
    </xf>
    <xf numFmtId="165" fontId="15" fillId="3" borderId="0" xfId="0" applyNumberFormat="1" applyFont="1" applyFill="1" applyAlignment="1">
      <alignment horizontal="left" vertical="center"/>
    </xf>
    <xf numFmtId="0" fontId="17" fillId="0" borderId="0" xfId="0" applyFont="1"/>
    <xf numFmtId="0" fontId="15" fillId="5" borderId="16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 wrapText="1"/>
    </xf>
    <xf numFmtId="0" fontId="15" fillId="3" borderId="0" xfId="0" applyFont="1" applyFill="1" applyAlignment="1">
      <alignment horizontal="left" vertical="center"/>
    </xf>
    <xf numFmtId="0" fontId="14" fillId="4" borderId="0" xfId="0" applyFont="1" applyFill="1" applyAlignment="1">
      <alignment vertical="center" wrapText="1"/>
    </xf>
    <xf numFmtId="0" fontId="14" fillId="0" borderId="25" xfId="0" applyFont="1" applyBorder="1" applyAlignment="1">
      <alignment horizontal="left" vertical="center"/>
    </xf>
    <xf numFmtId="0" fontId="14" fillId="4" borderId="25" xfId="0" applyFont="1" applyFill="1" applyBorder="1" applyAlignment="1">
      <alignment vertical="center" wrapText="1"/>
    </xf>
    <xf numFmtId="0" fontId="14" fillId="3" borderId="16" xfId="0" applyFont="1" applyFill="1" applyBorder="1" applyAlignment="1">
      <alignment vertical="center"/>
    </xf>
    <xf numFmtId="9" fontId="18" fillId="3" borderId="16" xfId="2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left" vertical="center"/>
    </xf>
    <xf numFmtId="9" fontId="14" fillId="0" borderId="16" xfId="2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/>
    </xf>
    <xf numFmtId="0" fontId="14" fillId="0" borderId="24" xfId="0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left" vertical="center"/>
    </xf>
    <xf numFmtId="49" fontId="14" fillId="0" borderId="26" xfId="0" applyNumberFormat="1" applyFont="1" applyBorder="1" applyAlignment="1">
      <alignment horizontal="center" vertical="center" wrapText="1"/>
    </xf>
    <xf numFmtId="14" fontId="14" fillId="0" borderId="26" xfId="0" applyNumberFormat="1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/>
    </xf>
    <xf numFmtId="14" fontId="14" fillId="0" borderId="0" xfId="0" applyNumberFormat="1" applyFont="1" applyAlignment="1">
      <alignment horizontal="center" vertical="center" wrapText="1"/>
    </xf>
    <xf numFmtId="14" fontId="14" fillId="0" borderId="26" xfId="0" applyNumberFormat="1" applyFont="1" applyBorder="1" applyAlignment="1">
      <alignment vertical="center" wrapText="1"/>
    </xf>
    <xf numFmtId="0" fontId="15" fillId="3" borderId="16" xfId="0" applyFont="1" applyFill="1" applyBorder="1" applyAlignment="1">
      <alignment horizontal="left" vertical="center"/>
    </xf>
    <xf numFmtId="166" fontId="14" fillId="4" borderId="16" xfId="0" applyNumberFormat="1" applyFont="1" applyFill="1" applyBorder="1" applyAlignment="1">
      <alignment vertical="center" wrapText="1"/>
    </xf>
    <xf numFmtId="0" fontId="17" fillId="4" borderId="0" xfId="0" applyFont="1" applyFill="1"/>
    <xf numFmtId="14" fontId="14" fillId="4" borderId="16" xfId="0" applyNumberFormat="1" applyFont="1" applyFill="1" applyBorder="1" applyAlignment="1">
      <alignment vertical="center" wrapText="1"/>
    </xf>
    <xf numFmtId="164" fontId="14" fillId="4" borderId="16" xfId="1" applyNumberFormat="1" applyFont="1" applyFill="1" applyBorder="1" applyAlignment="1">
      <alignment horizontal="right" vertical="center" wrapText="1"/>
    </xf>
    <xf numFmtId="9" fontId="14" fillId="4" borderId="16" xfId="2" applyFont="1" applyFill="1" applyBorder="1" applyAlignment="1">
      <alignment horizontal="right" vertical="center" wrapText="1"/>
    </xf>
    <xf numFmtId="0" fontId="14" fillId="3" borderId="16" xfId="2" applyNumberFormat="1" applyFont="1" applyFill="1" applyBorder="1" applyAlignment="1">
      <alignment vertical="center" wrapText="1"/>
    </xf>
    <xf numFmtId="43" fontId="14" fillId="4" borderId="21" xfId="1" applyFont="1" applyFill="1" applyBorder="1" applyAlignment="1">
      <alignment horizontal="center" vertical="center" wrapText="1"/>
    </xf>
    <xf numFmtId="2" fontId="17" fillId="4" borderId="16" xfId="2" applyNumberFormat="1" applyFont="1" applyFill="1" applyBorder="1" applyAlignment="1">
      <alignment horizontal="right" vertical="center" wrapText="1"/>
    </xf>
    <xf numFmtId="2" fontId="14" fillId="4" borderId="16" xfId="2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vertical="center"/>
    </xf>
    <xf numFmtId="43" fontId="17" fillId="2" borderId="16" xfId="1" applyFont="1" applyFill="1" applyBorder="1" applyAlignment="1" applyProtection="1">
      <alignment horizontal="center" vertical="center" wrapText="1"/>
      <protection locked="0"/>
    </xf>
    <xf numFmtId="43" fontId="17" fillId="2" borderId="16" xfId="1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2" fontId="17" fillId="0" borderId="16" xfId="1" applyNumberFormat="1" applyFont="1" applyFill="1" applyBorder="1" applyAlignment="1" applyProtection="1">
      <alignment horizontal="center" vertical="center" wrapText="1"/>
      <protection locked="0"/>
    </xf>
    <xf numFmtId="2" fontId="17" fillId="0" borderId="16" xfId="0" applyNumberFormat="1" applyFont="1" applyBorder="1" applyAlignment="1">
      <alignment horizontal="center" vertical="center"/>
    </xf>
    <xf numFmtId="9" fontId="17" fillId="0" borderId="16" xfId="2" applyFont="1" applyFill="1" applyBorder="1" applyAlignment="1">
      <alignment horizontal="center" vertical="center"/>
    </xf>
    <xf numFmtId="9" fontId="17" fillId="0" borderId="16" xfId="2" applyFont="1" applyBorder="1" applyAlignment="1">
      <alignment horizontal="center" vertical="center"/>
    </xf>
    <xf numFmtId="2" fontId="17" fillId="0" borderId="16" xfId="1" applyNumberFormat="1" applyFont="1" applyFill="1" applyBorder="1" applyAlignment="1">
      <alignment horizontal="center" vertical="center"/>
    </xf>
    <xf numFmtId="9" fontId="17" fillId="0" borderId="16" xfId="0" applyNumberFormat="1" applyFont="1" applyBorder="1" applyAlignment="1">
      <alignment horizontal="center"/>
    </xf>
    <xf numFmtId="0" fontId="19" fillId="0" borderId="16" xfId="0" applyFont="1" applyBorder="1"/>
    <xf numFmtId="0" fontId="19" fillId="0" borderId="0" xfId="0" applyFont="1" applyAlignment="1">
      <alignment horizontal="left" vertical="center" wrapText="1"/>
    </xf>
    <xf numFmtId="0" fontId="20" fillId="0" borderId="0" xfId="0" applyFont="1"/>
    <xf numFmtId="0" fontId="12" fillId="0" borderId="0" xfId="0" applyFont="1" applyAlignment="1">
      <alignment horizontal="center"/>
    </xf>
    <xf numFmtId="0" fontId="17" fillId="0" borderId="8" xfId="0" applyFont="1" applyBorder="1"/>
    <xf numFmtId="0" fontId="12" fillId="0" borderId="5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 vertical="center" wrapText="1"/>
    </xf>
    <xf numFmtId="14" fontId="14" fillId="0" borderId="16" xfId="0" applyNumberFormat="1" applyFont="1" applyBorder="1" applyAlignment="1">
      <alignment horizontal="center" vertical="center" wrapText="1"/>
    </xf>
    <xf numFmtId="3" fontId="14" fillId="5" borderId="19" xfId="0" applyNumberFormat="1" applyFont="1" applyFill="1" applyBorder="1" applyAlignment="1">
      <alignment horizontal="center" vertical="center" wrapText="1"/>
    </xf>
    <xf numFmtId="9" fontId="14" fillId="3" borderId="19" xfId="2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3" borderId="16" xfId="0" applyFont="1" applyFill="1" applyBorder="1" applyAlignment="1">
      <alignment horizontal="center"/>
    </xf>
    <xf numFmtId="166" fontId="17" fillId="4" borderId="19" xfId="0" applyNumberFormat="1" applyFont="1" applyFill="1" applyBorder="1" applyAlignment="1">
      <alignment vertical="center" wrapText="1"/>
    </xf>
    <xf numFmtId="14" fontId="14" fillId="4" borderId="19" xfId="0" applyNumberFormat="1" applyFont="1" applyFill="1" applyBorder="1" applyAlignment="1">
      <alignment vertical="center" wrapText="1"/>
    </xf>
    <xf numFmtId="164" fontId="14" fillId="4" borderId="19" xfId="1" applyNumberFormat="1" applyFont="1" applyFill="1" applyBorder="1" applyAlignment="1">
      <alignment vertical="center" wrapText="1"/>
    </xf>
    <xf numFmtId="9" fontId="14" fillId="4" borderId="19" xfId="2" applyFont="1" applyFill="1" applyBorder="1" applyAlignment="1">
      <alignment vertical="center" wrapText="1"/>
    </xf>
    <xf numFmtId="166" fontId="14" fillId="3" borderId="19" xfId="2" applyNumberFormat="1" applyFont="1" applyFill="1" applyBorder="1" applyAlignment="1">
      <alignment vertical="center" wrapText="1"/>
    </xf>
    <xf numFmtId="43" fontId="14" fillId="4" borderId="16" xfId="1" applyFont="1" applyFill="1" applyBorder="1" applyAlignment="1">
      <alignment vertical="center" wrapText="1"/>
    </xf>
    <xf numFmtId="2" fontId="17" fillId="4" borderId="19" xfId="2" applyNumberFormat="1" applyFont="1" applyFill="1" applyBorder="1" applyAlignment="1">
      <alignment vertical="center" wrapText="1"/>
    </xf>
    <xf numFmtId="2" fontId="14" fillId="4" borderId="19" xfId="2" applyNumberFormat="1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/>
    </xf>
    <xf numFmtId="3" fontId="14" fillId="5" borderId="16" xfId="0" applyNumberFormat="1" applyFont="1" applyFill="1" applyBorder="1" applyAlignment="1">
      <alignment horizontal="center" vertical="center" wrapText="1"/>
    </xf>
    <xf numFmtId="9" fontId="14" fillId="3" borderId="16" xfId="2" applyFont="1" applyFill="1" applyBorder="1" applyAlignment="1">
      <alignment horizontal="center" vertical="center"/>
    </xf>
    <xf numFmtId="14" fontId="14" fillId="0" borderId="0" xfId="0" applyNumberFormat="1" applyFont="1" applyAlignment="1">
      <alignment vertical="center" wrapText="1"/>
    </xf>
    <xf numFmtId="166" fontId="17" fillId="4" borderId="16" xfId="0" applyNumberFormat="1" applyFont="1" applyFill="1" applyBorder="1" applyAlignment="1">
      <alignment vertical="center" wrapText="1"/>
    </xf>
    <xf numFmtId="14" fontId="14" fillId="4" borderId="16" xfId="0" applyNumberFormat="1" applyFont="1" applyFill="1" applyBorder="1" applyAlignment="1">
      <alignment horizontal="center" vertical="center" wrapText="1"/>
    </xf>
    <xf numFmtId="164" fontId="14" fillId="4" borderId="16" xfId="1" applyNumberFormat="1" applyFont="1" applyFill="1" applyBorder="1" applyAlignment="1">
      <alignment vertical="center" wrapText="1"/>
    </xf>
    <xf numFmtId="9" fontId="14" fillId="4" borderId="16" xfId="2" applyFont="1" applyFill="1" applyBorder="1" applyAlignment="1">
      <alignment vertical="center" wrapText="1"/>
    </xf>
    <xf numFmtId="166" fontId="14" fillId="3" borderId="16" xfId="2" applyNumberFormat="1" applyFont="1" applyFill="1" applyBorder="1" applyAlignment="1">
      <alignment vertical="center" wrapText="1"/>
    </xf>
    <xf numFmtId="2" fontId="17" fillId="4" borderId="16" xfId="2" applyNumberFormat="1" applyFont="1" applyFill="1" applyBorder="1" applyAlignment="1">
      <alignment vertical="center" wrapText="1"/>
    </xf>
    <xf numFmtId="2" fontId="14" fillId="4" borderId="16" xfId="2" applyNumberFormat="1" applyFont="1" applyFill="1" applyBorder="1" applyAlignment="1">
      <alignment vertical="center" wrapText="1"/>
    </xf>
    <xf numFmtId="0" fontId="14" fillId="0" borderId="27" xfId="0" applyFont="1" applyBorder="1" applyAlignment="1">
      <alignment vertical="center"/>
    </xf>
    <xf numFmtId="49" fontId="14" fillId="0" borderId="28" xfId="0" applyNumberFormat="1" applyFont="1" applyBorder="1" applyAlignment="1">
      <alignment vertical="center" wrapText="1"/>
    </xf>
    <xf numFmtId="14" fontId="14" fillId="0" borderId="28" xfId="0" applyNumberFormat="1" applyFont="1" applyBorder="1" applyAlignment="1">
      <alignment vertical="center" wrapText="1"/>
    </xf>
    <xf numFmtId="9" fontId="14" fillId="3" borderId="16" xfId="2" applyFont="1" applyFill="1" applyBorder="1" applyAlignment="1">
      <alignment vertical="center" wrapText="1"/>
    </xf>
    <xf numFmtId="43" fontId="14" fillId="4" borderId="20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5" xfId="0" applyFont="1" applyBorder="1"/>
    <xf numFmtId="3" fontId="14" fillId="0" borderId="16" xfId="0" applyNumberFormat="1" applyFont="1" applyBorder="1" applyAlignment="1">
      <alignment horizontal="center" vertical="center" wrapText="1"/>
    </xf>
    <xf numFmtId="3" fontId="14" fillId="0" borderId="16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right" vertical="center"/>
    </xf>
    <xf numFmtId="0" fontId="12" fillId="0" borderId="6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3" fontId="7" fillId="0" borderId="19" xfId="0" applyNumberFormat="1" applyFont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3" fontId="23" fillId="0" borderId="19" xfId="0" applyNumberFormat="1" applyFont="1" applyBorder="1" applyAlignment="1">
      <alignment horizontal="center" vertical="center" wrapText="1"/>
    </xf>
    <xf numFmtId="166" fontId="14" fillId="4" borderId="16" xfId="1" applyNumberFormat="1" applyFont="1" applyFill="1" applyBorder="1" applyAlignment="1">
      <alignment vertical="center" wrapText="1"/>
    </xf>
    <xf numFmtId="166" fontId="0" fillId="0" borderId="0" xfId="0" applyNumberFormat="1"/>
    <xf numFmtId="0" fontId="10" fillId="0" borderId="0" xfId="0" applyFont="1" applyAlignment="1">
      <alignment horizontal="left" vertical="center" wrapText="1"/>
    </xf>
    <xf numFmtId="167" fontId="17" fillId="4" borderId="19" xfId="0" applyNumberFormat="1" applyFont="1" applyFill="1" applyBorder="1" applyAlignment="1">
      <alignment vertical="center" wrapText="1"/>
    </xf>
    <xf numFmtId="167" fontId="14" fillId="4" borderId="16" xfId="0" applyNumberFormat="1" applyFont="1" applyFill="1" applyBorder="1" applyAlignment="1">
      <alignment vertical="center" wrapText="1"/>
    </xf>
    <xf numFmtId="0" fontId="0" fillId="0" borderId="7" xfId="0" applyBorder="1"/>
    <xf numFmtId="3" fontId="7" fillId="0" borderId="27" xfId="0" applyNumberFormat="1" applyFont="1" applyBorder="1" applyAlignment="1">
      <alignment horizontal="center" vertical="center" wrapText="1"/>
    </xf>
    <xf numFmtId="3" fontId="7" fillId="0" borderId="18" xfId="0" applyNumberFormat="1" applyFont="1" applyBorder="1" applyAlignment="1">
      <alignment horizontal="center" vertical="center" wrapText="1"/>
    </xf>
    <xf numFmtId="3" fontId="9" fillId="0" borderId="30" xfId="0" applyNumberFormat="1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3" fontId="7" fillId="0" borderId="27" xfId="0" applyNumberFormat="1" applyFont="1" applyBorder="1" applyAlignment="1">
      <alignment horizontal="left" vertical="center" wrapText="1"/>
    </xf>
    <xf numFmtId="3" fontId="7" fillId="0" borderId="18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5" fillId="4" borderId="0" xfId="0" applyFont="1" applyFill="1" applyAlignment="1">
      <alignment horizontal="right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top" wrapText="1"/>
    </xf>
    <xf numFmtId="0" fontId="15" fillId="3" borderId="23" xfId="0" applyFont="1" applyFill="1" applyBorder="1" applyAlignment="1">
      <alignment horizontal="center" vertical="top" wrapText="1"/>
    </xf>
    <xf numFmtId="0" fontId="15" fillId="3" borderId="24" xfId="0" applyFont="1" applyFill="1" applyBorder="1" applyAlignment="1">
      <alignment horizontal="center" vertical="top" wrapText="1"/>
    </xf>
    <xf numFmtId="0" fontId="16" fillId="0" borderId="18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9" fillId="3" borderId="19" xfId="0" applyFont="1" applyFill="1" applyBorder="1" applyAlignment="1">
      <alignment horizontal="center"/>
    </xf>
    <xf numFmtId="0" fontId="19" fillId="3" borderId="20" xfId="0" applyFont="1" applyFill="1" applyBorder="1" applyAlignment="1">
      <alignment horizontal="center"/>
    </xf>
    <xf numFmtId="0" fontId="19" fillId="3" borderId="21" xfId="0" applyFont="1" applyFill="1" applyBorder="1" applyAlignment="1">
      <alignment horizontal="center"/>
    </xf>
    <xf numFmtId="0" fontId="17" fillId="0" borderId="9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7" fillId="0" borderId="1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3" fontId="15" fillId="2" borderId="19" xfId="0" applyNumberFormat="1" applyFont="1" applyFill="1" applyBorder="1" applyAlignment="1">
      <alignment horizontal="center" vertical="center" wrapText="1"/>
    </xf>
    <xf numFmtId="3" fontId="15" fillId="2" borderId="20" xfId="0" applyNumberFormat="1" applyFont="1" applyFill="1" applyBorder="1" applyAlignment="1">
      <alignment horizontal="center" vertical="center" wrapText="1"/>
    </xf>
    <xf numFmtId="3" fontId="15" fillId="2" borderId="21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3" fontId="19" fillId="2" borderId="16" xfId="0" applyNumberFormat="1" applyFont="1" applyFill="1" applyBorder="1" applyAlignment="1">
      <alignment horizontal="center" vertical="center" wrapText="1"/>
    </xf>
    <xf numFmtId="3" fontId="15" fillId="2" borderId="16" xfId="0" applyNumberFormat="1" applyFont="1" applyFill="1" applyBorder="1" applyAlignment="1">
      <alignment horizontal="center" vertical="center" wrapText="1"/>
    </xf>
    <xf numFmtId="43" fontId="14" fillId="4" borderId="16" xfId="1" applyFont="1" applyFill="1" applyBorder="1" applyAlignment="1">
      <alignment horizontal="center" vertical="center" wrapText="1"/>
    </xf>
    <xf numFmtId="43" fontId="14" fillId="4" borderId="19" xfId="1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right" vertical="center"/>
    </xf>
    <xf numFmtId="0" fontId="17" fillId="0" borderId="16" xfId="0" applyFont="1" applyBorder="1" applyAlignment="1">
      <alignment horizontal="center" vertical="center"/>
    </xf>
    <xf numFmtId="43" fontId="17" fillId="2" borderId="19" xfId="1" applyFont="1" applyFill="1" applyBorder="1" applyAlignment="1">
      <alignment horizontal="center" vertical="center" wrapText="1"/>
    </xf>
    <xf numFmtId="43" fontId="17" fillId="2" borderId="21" xfId="1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43" fontId="17" fillId="2" borderId="20" xfId="1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828675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62C7EB-87AE-479C-AA1D-ACB472E44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828675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0A64A7-7C28-4BFF-B22A-0AFB76D93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828675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E983A9-EF26-4276-B0BA-B55823820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828675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19CCD7-2022-44F8-BDEF-E8BEBA758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178CCD-FEAB-4565-9C90-0FB140881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19C99D-54C1-4E1C-8574-38C9637F0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3144C3-5118-4155-A2E1-F19CC3776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058798-C993-4EF6-A96C-40A427F81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831850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9373AC-F9B4-4CDF-92AA-D707D6D33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ACDD25-37EB-410A-B4D8-F781E5604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831850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F9EA4C-1B0C-4FC3-86C0-3BF4DAA3C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1DD226-E7A4-4501-8F33-649AE3D58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CE1AED-F5A2-401A-83A8-2F9F541E5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159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47624</xdr:rowOff>
    </xdr:from>
    <xdr:to>
      <xdr:col>0</xdr:col>
      <xdr:colOff>835025</xdr:colOff>
      <xdr:row>0</xdr:row>
      <xdr:rowOff>571499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BC6082-4BD1-41D3-9AA5-72899A75A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4"/>
          <a:ext cx="8096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9C8E-4F86-4781-86F4-999EFBC096BD}">
  <sheetPr>
    <pageSetUpPr fitToPage="1"/>
  </sheetPr>
  <dimension ref="A1:H33"/>
  <sheetViews>
    <sheetView view="pageBreakPreview" zoomScale="60" zoomScaleNormal="100" workbookViewId="0">
      <selection activeCell="H28" sqref="H28"/>
    </sheetView>
  </sheetViews>
  <sheetFormatPr baseColWidth="10" defaultColWidth="11.44140625" defaultRowHeight="15" customHeight="1" x14ac:dyDescent="0.3"/>
  <cols>
    <col min="1" max="1" width="10.5546875" bestFit="1" customWidth="1"/>
    <col min="2" max="2" width="27.88671875" bestFit="1" customWidth="1"/>
    <col min="3" max="3" width="12.33203125" customWidth="1"/>
    <col min="4" max="4" width="22.88671875" customWidth="1"/>
    <col min="5" max="5" width="17.88671875" customWidth="1"/>
    <col min="6" max="6" width="22.88671875" customWidth="1"/>
    <col min="7" max="7" width="16.44140625" customWidth="1"/>
    <col min="8" max="8" width="30.88671875" customWidth="1"/>
  </cols>
  <sheetData>
    <row r="1" spans="1:8" ht="14.4" x14ac:dyDescent="0.3">
      <c r="A1" s="134" t="s">
        <v>0</v>
      </c>
      <c r="B1" s="135"/>
      <c r="C1" s="135"/>
      <c r="D1" s="135"/>
      <c r="E1" s="135"/>
      <c r="F1" s="135"/>
      <c r="G1" s="135"/>
      <c r="H1" s="136"/>
    </row>
    <row r="2" spans="1:8" ht="21" customHeight="1" x14ac:dyDescent="0.3">
      <c r="A2" s="137"/>
      <c r="B2" s="138"/>
      <c r="C2" s="138"/>
      <c r="D2" s="138"/>
      <c r="E2" s="138"/>
      <c r="F2" s="138"/>
      <c r="G2" s="138"/>
      <c r="H2" s="139"/>
    </row>
    <row r="3" spans="1:8" ht="5.0999999999999996" customHeight="1" x14ac:dyDescent="0.3">
      <c r="A3" s="1"/>
      <c r="B3" s="2"/>
      <c r="C3" s="2"/>
      <c r="D3" s="2"/>
      <c r="E3" s="2"/>
      <c r="F3" s="2"/>
      <c r="G3" s="3"/>
      <c r="H3" s="4"/>
    </row>
    <row r="4" spans="1:8" ht="18" x14ac:dyDescent="0.3">
      <c r="A4" s="140" t="s">
        <v>1</v>
      </c>
      <c r="B4" s="141"/>
      <c r="C4" s="141"/>
      <c r="D4" s="141"/>
      <c r="E4" s="141"/>
      <c r="F4" s="141"/>
      <c r="G4" s="141"/>
      <c r="H4" s="142"/>
    </row>
    <row r="5" spans="1:8" ht="5.0999999999999996" customHeight="1" x14ac:dyDescent="0.3">
      <c r="A5" s="1"/>
      <c r="B5" s="5"/>
      <c r="C5" s="5"/>
      <c r="D5" s="5"/>
      <c r="E5" s="5"/>
      <c r="F5" s="5"/>
      <c r="G5" s="3"/>
      <c r="H5" s="4"/>
    </row>
    <row r="6" spans="1:8" ht="45" customHeight="1" x14ac:dyDescent="0.3">
      <c r="A6" s="143" t="s">
        <v>2</v>
      </c>
      <c r="B6" s="144"/>
      <c r="C6" s="144"/>
      <c r="D6" s="144"/>
      <c r="E6" s="144"/>
      <c r="F6" s="144"/>
      <c r="G6" s="144"/>
      <c r="H6" s="145"/>
    </row>
    <row r="7" spans="1:8" ht="33" customHeight="1" x14ac:dyDescent="0.3">
      <c r="A7" s="146"/>
      <c r="B7" s="147"/>
      <c r="C7" s="147"/>
      <c r="D7" s="147"/>
      <c r="E7" s="147"/>
      <c r="F7" s="147"/>
      <c r="G7" s="147"/>
      <c r="H7" s="148"/>
    </row>
    <row r="8" spans="1:8" ht="5.0999999999999996" customHeight="1" x14ac:dyDescent="0.3">
      <c r="A8" s="6"/>
      <c r="B8" s="7"/>
      <c r="C8" s="7"/>
      <c r="D8" s="7"/>
      <c r="E8" s="7"/>
      <c r="F8" s="7"/>
      <c r="G8" s="7"/>
      <c r="H8" s="4"/>
    </row>
    <row r="9" spans="1:8" ht="15.6" x14ac:dyDescent="0.3">
      <c r="A9" s="149" t="s">
        <v>3</v>
      </c>
      <c r="B9" s="150"/>
      <c r="C9" s="150"/>
      <c r="D9" s="150"/>
      <c r="E9" s="150"/>
      <c r="F9" s="150"/>
      <c r="G9" s="150"/>
      <c r="H9" s="151"/>
    </row>
    <row r="10" spans="1:8" ht="30.6" customHeight="1" x14ac:dyDescent="0.3">
      <c r="A10" s="106" t="s">
        <v>4</v>
      </c>
      <c r="B10" s="107" t="s">
        <v>5</v>
      </c>
      <c r="C10" s="113" t="s">
        <v>6</v>
      </c>
      <c r="D10" s="113" t="s">
        <v>7</v>
      </c>
      <c r="E10" s="113" t="s">
        <v>8</v>
      </c>
      <c r="F10" s="113" t="s">
        <v>9</v>
      </c>
      <c r="G10" s="107" t="s">
        <v>10</v>
      </c>
      <c r="H10" s="108" t="s">
        <v>11</v>
      </c>
    </row>
    <row r="11" spans="1:8" ht="14.4" x14ac:dyDescent="0.3">
      <c r="A11" s="8">
        <v>1</v>
      </c>
      <c r="B11" s="9" t="s">
        <v>12</v>
      </c>
      <c r="C11" s="112" t="s">
        <v>13</v>
      </c>
      <c r="D11" s="112" t="str">
        <f>+B11</f>
        <v>INGENIERIA MASTER S.A.S.</v>
      </c>
      <c r="E11" s="112" t="s">
        <v>14</v>
      </c>
      <c r="F11" s="112" t="s">
        <v>15</v>
      </c>
      <c r="G11" s="10" t="str">
        <f>+'01.INGENIERIA MASTER S.A.S.'!B55</f>
        <v>HABILITADO</v>
      </c>
      <c r="H11" s="111"/>
    </row>
    <row r="12" spans="1:8" ht="27.6" x14ac:dyDescent="0.3">
      <c r="A12" s="123">
        <v>2</v>
      </c>
      <c r="B12" s="125" t="s">
        <v>16</v>
      </c>
      <c r="C12" s="121" t="s">
        <v>17</v>
      </c>
      <c r="D12" s="112" t="s">
        <v>18</v>
      </c>
      <c r="E12" s="121" t="s">
        <v>14</v>
      </c>
      <c r="F12" s="121" t="s">
        <v>15</v>
      </c>
      <c r="G12" s="121" t="str">
        <f>+'02.UT ALVARO FONNEGRA MAS DR'!B55</f>
        <v>HABILITADO</v>
      </c>
      <c r="H12" s="111"/>
    </row>
    <row r="13" spans="1:8" ht="27.6" x14ac:dyDescent="0.3">
      <c r="A13" s="124"/>
      <c r="B13" s="126"/>
      <c r="C13" s="122"/>
      <c r="D13" s="112" t="s">
        <v>19</v>
      </c>
      <c r="E13" s="122"/>
      <c r="F13" s="122"/>
      <c r="G13" s="122"/>
      <c r="H13" s="111"/>
    </row>
    <row r="14" spans="1:8" ht="41.4" x14ac:dyDescent="0.3">
      <c r="A14" s="8">
        <v>3</v>
      </c>
      <c r="B14" s="9" t="s">
        <v>20</v>
      </c>
      <c r="C14" s="112" t="s">
        <v>13</v>
      </c>
      <c r="D14" s="112" t="str">
        <f>+B14</f>
        <v>IA INGENIERIA Y ARQUITECTURA DE COLOMBIA SAS</v>
      </c>
      <c r="E14" s="112" t="s">
        <v>14</v>
      </c>
      <c r="F14" s="112" t="s">
        <v>15</v>
      </c>
      <c r="G14" s="10" t="str">
        <f>+'03.IA INGENIERIA Y ARQUITECTURA'!B55</f>
        <v>HABILITADO</v>
      </c>
      <c r="H14" s="111"/>
    </row>
    <row r="15" spans="1:8" ht="27.6" x14ac:dyDescent="0.3">
      <c r="A15" s="8">
        <v>4</v>
      </c>
      <c r="B15" s="9" t="s">
        <v>21</v>
      </c>
      <c r="C15" s="112" t="s">
        <v>13</v>
      </c>
      <c r="D15" s="112" t="str">
        <f>+B15</f>
        <v>ARDILA VALENCIA ESTRUCTURAS S.A.S. - AVE</v>
      </c>
      <c r="E15" s="112">
        <v>4</v>
      </c>
      <c r="F15" s="112" t="s">
        <v>22</v>
      </c>
      <c r="G15" s="10" t="str">
        <f>+'04.AVE'!B54</f>
        <v>HABILITADO</v>
      </c>
      <c r="H15" s="111"/>
    </row>
    <row r="16" spans="1:8" ht="27.6" x14ac:dyDescent="0.3">
      <c r="A16" s="123">
        <v>5</v>
      </c>
      <c r="B16" s="125" t="s">
        <v>23</v>
      </c>
      <c r="C16" s="121" t="s">
        <v>17</v>
      </c>
      <c r="D16" s="112" t="s">
        <v>24</v>
      </c>
      <c r="E16" s="121" t="s">
        <v>25</v>
      </c>
      <c r="F16" s="121" t="s">
        <v>22</v>
      </c>
      <c r="G16" s="121" t="str">
        <f>+'05.CONSORCIO CONSTRUGAVI SENA 0'!B56</f>
        <v>HABILITADO</v>
      </c>
      <c r="H16" s="111"/>
    </row>
    <row r="17" spans="1:8" ht="14.4" x14ac:dyDescent="0.3">
      <c r="A17" s="124"/>
      <c r="B17" s="126"/>
      <c r="C17" s="122"/>
      <c r="D17" s="112" t="s">
        <v>26</v>
      </c>
      <c r="E17" s="122"/>
      <c r="F17" s="122"/>
      <c r="G17" s="122"/>
      <c r="H17" s="111"/>
    </row>
    <row r="18" spans="1:8" ht="14.4" x14ac:dyDescent="0.3">
      <c r="A18" s="8">
        <v>6</v>
      </c>
      <c r="B18" s="9" t="s">
        <v>27</v>
      </c>
      <c r="C18" s="112" t="s">
        <v>13</v>
      </c>
      <c r="D18" s="112" t="str">
        <f>+B18</f>
        <v>TOTALL INC SAS BIC</v>
      </c>
      <c r="E18" s="112">
        <v>4</v>
      </c>
      <c r="F18" s="114" t="s">
        <v>28</v>
      </c>
      <c r="G18" s="10" t="str">
        <f>+'06.TOTALL INC SAS BIC'!B54</f>
        <v>HABILITADO</v>
      </c>
      <c r="H18" s="111"/>
    </row>
    <row r="19" spans="1:8" ht="27.6" x14ac:dyDescent="0.3">
      <c r="A19" s="8">
        <v>7</v>
      </c>
      <c r="B19" s="9" t="s">
        <v>29</v>
      </c>
      <c r="C19" s="112" t="s">
        <v>13</v>
      </c>
      <c r="D19" s="112" t="str">
        <f>+B19</f>
        <v>JAM INGENIERIA Y MEDIO AMBIENTE S.A.S</v>
      </c>
      <c r="E19" s="112" t="s">
        <v>14</v>
      </c>
      <c r="F19" s="114" t="s">
        <v>30</v>
      </c>
      <c r="G19" s="10" t="str">
        <f>+'07.JAM'!B55</f>
        <v>HABILITADO</v>
      </c>
      <c r="H19" s="111"/>
    </row>
    <row r="20" spans="1:8" ht="14.4" x14ac:dyDescent="0.3">
      <c r="A20" s="8">
        <v>8</v>
      </c>
      <c r="B20" s="9" t="s">
        <v>31</v>
      </c>
      <c r="C20" s="112" t="s">
        <v>13</v>
      </c>
      <c r="D20" s="112" t="str">
        <f>+B20</f>
        <v>GB10 CONSULTORES S.A.S.</v>
      </c>
      <c r="E20" s="112">
        <v>1</v>
      </c>
      <c r="F20" s="112" t="s">
        <v>30</v>
      </c>
      <c r="G20" s="10" t="str">
        <f>+'08.GB10 CONSULTORES S.A.S.'!B54</f>
        <v>HABILITADO</v>
      </c>
      <c r="H20" s="111"/>
    </row>
    <row r="21" spans="1:8" ht="27.75" customHeight="1" x14ac:dyDescent="0.3">
      <c r="A21" s="123">
        <v>9</v>
      </c>
      <c r="B21" s="125" t="s">
        <v>32</v>
      </c>
      <c r="C21" s="121" t="s">
        <v>17</v>
      </c>
      <c r="D21" s="112" t="s">
        <v>33</v>
      </c>
      <c r="E21" s="121" t="s">
        <v>34</v>
      </c>
      <c r="F21" s="121" t="s">
        <v>28</v>
      </c>
      <c r="G21" s="121" t="str">
        <f>+'09.CONSORCIO ARQ SENA'!B58</f>
        <v>HABILITADO</v>
      </c>
      <c r="H21" s="111"/>
    </row>
    <row r="22" spans="1:8" ht="14.4" x14ac:dyDescent="0.3">
      <c r="A22" s="124"/>
      <c r="B22" s="126"/>
      <c r="C22" s="122"/>
      <c r="D22" s="112" t="s">
        <v>35</v>
      </c>
      <c r="E22" s="122"/>
      <c r="F22" s="122"/>
      <c r="G22" s="122"/>
      <c r="H22" s="111"/>
    </row>
    <row r="23" spans="1:8" ht="27.6" x14ac:dyDescent="0.3">
      <c r="A23" s="123">
        <v>10</v>
      </c>
      <c r="B23" s="125" t="s">
        <v>36</v>
      </c>
      <c r="C23" s="121" t="s">
        <v>17</v>
      </c>
      <c r="D23" s="112" t="s">
        <v>37</v>
      </c>
      <c r="E23" s="121" t="s">
        <v>38</v>
      </c>
      <c r="F23" s="121" t="s">
        <v>15</v>
      </c>
      <c r="G23" s="121" t="str">
        <f>+'10.CONSORCIO ARAGON'!B57</f>
        <v>HABILITADO</v>
      </c>
      <c r="H23" s="111"/>
    </row>
    <row r="24" spans="1:8" ht="27.6" x14ac:dyDescent="0.3">
      <c r="A24" s="124"/>
      <c r="B24" s="126"/>
      <c r="C24" s="122"/>
      <c r="D24" s="112" t="s">
        <v>39</v>
      </c>
      <c r="E24" s="122"/>
      <c r="F24" s="122"/>
      <c r="G24" s="122"/>
      <c r="H24" s="111"/>
    </row>
    <row r="25" spans="1:8" ht="5.0999999999999996" customHeight="1" x14ac:dyDescent="0.3">
      <c r="A25" s="11"/>
      <c r="B25" s="12"/>
      <c r="C25" s="12"/>
      <c r="D25" s="12"/>
      <c r="E25" s="12"/>
      <c r="F25" s="12"/>
      <c r="G25" s="12"/>
      <c r="H25" s="117"/>
    </row>
    <row r="26" spans="1:8" ht="15.6" x14ac:dyDescent="0.3">
      <c r="A26" s="128" t="s">
        <v>40</v>
      </c>
      <c r="B26" s="129"/>
      <c r="C26" s="129"/>
      <c r="D26" s="129"/>
      <c r="E26" s="129"/>
      <c r="F26" s="129"/>
      <c r="G26" s="129"/>
      <c r="H26" s="130"/>
    </row>
    <row r="27" spans="1:8" ht="65.25" customHeight="1" x14ac:dyDescent="0.3">
      <c r="A27" s="13"/>
      <c r="G27" s="14"/>
      <c r="H27" s="15"/>
    </row>
    <row r="28" spans="1:8" ht="87" customHeight="1" thickBot="1" x14ac:dyDescent="0.35">
      <c r="A28" s="131" t="s">
        <v>153</v>
      </c>
      <c r="B28" s="132"/>
      <c r="C28" s="105"/>
      <c r="D28" s="105"/>
      <c r="E28" s="105"/>
      <c r="F28" s="133" t="s">
        <v>154</v>
      </c>
      <c r="G28" s="133"/>
      <c r="H28" s="110"/>
    </row>
    <row r="31" spans="1:8" ht="14.4" x14ac:dyDescent="0.3">
      <c r="B31" s="127"/>
      <c r="C31" s="127"/>
      <c r="D31" s="127"/>
      <c r="E31" s="127"/>
      <c r="F31" s="127"/>
      <c r="G31" s="127"/>
    </row>
    <row r="32" spans="1:8" ht="14.4" x14ac:dyDescent="0.3">
      <c r="B32" s="127"/>
      <c r="C32" s="127"/>
      <c r="D32" s="127"/>
      <c r="E32" s="127"/>
      <c r="F32" s="127"/>
      <c r="G32" s="127"/>
    </row>
    <row r="33" spans="2:7" ht="14.4" x14ac:dyDescent="0.3">
      <c r="B33" s="127"/>
      <c r="C33" s="127"/>
      <c r="D33" s="127"/>
      <c r="E33" s="127"/>
      <c r="F33" s="127"/>
      <c r="G33" s="127"/>
    </row>
  </sheetData>
  <autoFilter ref="A10:H12" xr:uid="{45199C8E-4F86-4781-86F4-999EFBC096BD}"/>
  <mergeCells count="34">
    <mergeCell ref="A1:H2"/>
    <mergeCell ref="A4:H4"/>
    <mergeCell ref="A6:H7"/>
    <mergeCell ref="A9:H9"/>
    <mergeCell ref="F12:F13"/>
    <mergeCell ref="E12:E13"/>
    <mergeCell ref="B31:G31"/>
    <mergeCell ref="B32:G32"/>
    <mergeCell ref="B33:G33"/>
    <mergeCell ref="A26:H26"/>
    <mergeCell ref="A28:B28"/>
    <mergeCell ref="F28:G28"/>
    <mergeCell ref="C21:C22"/>
    <mergeCell ref="B21:B22"/>
    <mergeCell ref="A21:A22"/>
    <mergeCell ref="C16:C17"/>
    <mergeCell ref="C12:C13"/>
    <mergeCell ref="B16:B17"/>
    <mergeCell ref="A16:A17"/>
    <mergeCell ref="B12:B13"/>
    <mergeCell ref="A12:A13"/>
    <mergeCell ref="E16:E17"/>
    <mergeCell ref="E21:E22"/>
    <mergeCell ref="G12:G13"/>
    <mergeCell ref="G16:G17"/>
    <mergeCell ref="F16:F17"/>
    <mergeCell ref="F21:F22"/>
    <mergeCell ref="G21:G22"/>
    <mergeCell ref="G23:G24"/>
    <mergeCell ref="A23:A24"/>
    <mergeCell ref="B23:B24"/>
    <mergeCell ref="C23:C24"/>
    <mergeCell ref="E23:E24"/>
    <mergeCell ref="F23:F24"/>
  </mergeCells>
  <printOptions horizontalCentered="1"/>
  <pageMargins left="0.70866141732283472" right="0.70866141732283472" top="0.31496062992125984" bottom="0.35433070866141736" header="0.11811023622047245" footer="0.11811023622047245"/>
  <pageSetup paperSize="9" scale="61" orientation="landscape" r:id="rId1"/>
  <headerFooter>
    <oddFooter>&amp;C&amp;P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89B65-76DC-4A83-8C21-8FA256234C7C}">
  <dimension ref="A1:D66"/>
  <sheetViews>
    <sheetView zoomScaleNormal="100" workbookViewId="0">
      <selection activeCell="A8" sqref="A8:E12"/>
    </sheetView>
  </sheetViews>
  <sheetFormatPr baseColWidth="10" defaultColWidth="11.44140625" defaultRowHeight="15.6" x14ac:dyDescent="0.3"/>
  <cols>
    <col min="1" max="1" width="44.88671875" style="23" customWidth="1"/>
    <col min="2" max="2" width="23.44140625" style="23" customWidth="1"/>
    <col min="3" max="3" width="24.8867187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3.2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44</v>
      </c>
      <c r="B8" s="152"/>
      <c r="C8" s="152"/>
      <c r="D8" s="20">
        <v>482738680</v>
      </c>
    </row>
    <row r="9" spans="1:4" x14ac:dyDescent="0.3">
      <c r="A9" s="152" t="s">
        <v>45</v>
      </c>
      <c r="B9" s="152"/>
      <c r="C9" s="152"/>
      <c r="D9" s="20">
        <v>237634335</v>
      </c>
    </row>
    <row r="10" spans="1:4" x14ac:dyDescent="0.3">
      <c r="A10" s="152" t="s">
        <v>46</v>
      </c>
      <c r="B10" s="152"/>
      <c r="C10" s="152"/>
      <c r="D10" s="20">
        <v>237634335</v>
      </c>
    </row>
    <row r="11" spans="1:4" x14ac:dyDescent="0.3">
      <c r="A11" s="109"/>
      <c r="B11" s="109"/>
      <c r="C11" s="109" t="s">
        <v>47</v>
      </c>
      <c r="D11" s="20">
        <v>482738680</v>
      </c>
    </row>
    <row r="12" spans="1:4" x14ac:dyDescent="0.3">
      <c r="A12" s="109"/>
      <c r="B12" s="109"/>
      <c r="C12" s="109" t="s">
        <v>48</v>
      </c>
      <c r="D12" s="20">
        <v>482738680</v>
      </c>
    </row>
    <row r="13" spans="1:4" x14ac:dyDescent="0.3">
      <c r="A13" s="152" t="s">
        <v>49</v>
      </c>
      <c r="B13" s="152"/>
      <c r="C13" s="152"/>
      <c r="D13" s="20">
        <f>+SUM(D8:D12)</f>
        <v>1923484710</v>
      </c>
    </row>
    <row r="14" spans="1:4" ht="3.75" customHeight="1" x14ac:dyDescent="0.3">
      <c r="A14" s="21"/>
      <c r="B14" s="22"/>
    </row>
    <row r="15" spans="1:4" x14ac:dyDescent="0.3">
      <c r="A15" s="24" t="s">
        <v>50</v>
      </c>
      <c r="B15" s="171"/>
      <c r="C15" s="172"/>
      <c r="D15" s="173"/>
    </row>
    <row r="16" spans="1:4" ht="5.25" customHeight="1" x14ac:dyDescent="0.3">
      <c r="A16" s="25"/>
      <c r="B16" s="26"/>
      <c r="C16" s="26"/>
      <c r="D16" s="26"/>
    </row>
    <row r="17" spans="1:4" x14ac:dyDescent="0.3">
      <c r="A17" s="27" t="s">
        <v>51</v>
      </c>
      <c r="B17" s="28"/>
      <c r="C17" s="28"/>
      <c r="D17" s="18"/>
    </row>
    <row r="18" spans="1:4" ht="5.25" customHeight="1" x14ac:dyDescent="0.3">
      <c r="A18" s="29"/>
      <c r="B18" s="30"/>
      <c r="C18" s="30"/>
      <c r="D18" s="18"/>
    </row>
    <row r="19" spans="1:4" ht="27.6" x14ac:dyDescent="0.3">
      <c r="A19" s="31" t="s">
        <v>7</v>
      </c>
      <c r="B19" s="72">
        <f>+B15</f>
        <v>0</v>
      </c>
      <c r="C19" s="32" t="s">
        <v>52</v>
      </c>
      <c r="D19"/>
    </row>
    <row r="20" spans="1:4" x14ac:dyDescent="0.3">
      <c r="A20" s="33" t="s">
        <v>53</v>
      </c>
      <c r="B20" s="73">
        <v>1</v>
      </c>
      <c r="C20" s="34">
        <f>+B20</f>
        <v>1</v>
      </c>
      <c r="D20"/>
    </row>
    <row r="21" spans="1:4" x14ac:dyDescent="0.3">
      <c r="A21" s="35" t="s">
        <v>54</v>
      </c>
      <c r="B21" s="69"/>
      <c r="C21" s="36"/>
      <c r="D21"/>
    </row>
    <row r="22" spans="1:4" x14ac:dyDescent="0.3">
      <c r="A22" s="37" t="s">
        <v>55</v>
      </c>
      <c r="B22" s="70"/>
      <c r="C22" s="38"/>
      <c r="D22"/>
    </row>
    <row r="23" spans="1:4" x14ac:dyDescent="0.3">
      <c r="A23" s="35" t="s">
        <v>56</v>
      </c>
      <c r="B23" s="71"/>
      <c r="C23" s="39"/>
      <c r="D23"/>
    </row>
    <row r="24" spans="1:4" x14ac:dyDescent="0.3">
      <c r="A24" s="35" t="s">
        <v>57</v>
      </c>
      <c r="B24" s="71"/>
      <c r="C24" s="39"/>
      <c r="D24"/>
    </row>
    <row r="25" spans="1:4" x14ac:dyDescent="0.3">
      <c r="A25" s="35" t="s">
        <v>58</v>
      </c>
      <c r="B25" s="71"/>
      <c r="C25" s="39"/>
      <c r="D25"/>
    </row>
    <row r="26" spans="1:4" ht="5.25" customHeight="1" x14ac:dyDescent="0.3">
      <c r="A26" s="40"/>
      <c r="B26" s="41"/>
      <c r="C26" s="42"/>
      <c r="D26"/>
    </row>
    <row r="27" spans="1:4" x14ac:dyDescent="0.3">
      <c r="A27" s="43" t="s">
        <v>59</v>
      </c>
      <c r="B27" s="85" t="s">
        <v>60</v>
      </c>
      <c r="C27" s="75" t="s">
        <v>61</v>
      </c>
      <c r="D27"/>
    </row>
    <row r="28" spans="1:4" x14ac:dyDescent="0.3">
      <c r="A28" s="35" t="s">
        <v>62</v>
      </c>
      <c r="B28" s="76"/>
      <c r="C28" s="44">
        <f>(B28*$B$20)</f>
        <v>0</v>
      </c>
      <c r="D28"/>
    </row>
    <row r="29" spans="1:4" x14ac:dyDescent="0.3">
      <c r="A29" s="35" t="s">
        <v>63</v>
      </c>
      <c r="B29" s="76"/>
      <c r="C29" s="44">
        <f t="shared" ref="C29:C34" si="0">(B29*$B$20)</f>
        <v>0</v>
      </c>
      <c r="D29"/>
    </row>
    <row r="30" spans="1:4" x14ac:dyDescent="0.3">
      <c r="A30" s="35" t="s">
        <v>64</v>
      </c>
      <c r="B30" s="76"/>
      <c r="C30" s="44">
        <f t="shared" si="0"/>
        <v>0</v>
      </c>
      <c r="D30"/>
    </row>
    <row r="31" spans="1:4" x14ac:dyDescent="0.3">
      <c r="A31" s="35" t="s">
        <v>65</v>
      </c>
      <c r="B31" s="76"/>
      <c r="C31" s="44">
        <f t="shared" si="0"/>
        <v>0</v>
      </c>
      <c r="D31"/>
    </row>
    <row r="32" spans="1:4" x14ac:dyDescent="0.3">
      <c r="A32" s="35" t="s">
        <v>66</v>
      </c>
      <c r="B32" s="76"/>
      <c r="C32" s="44">
        <f t="shared" si="0"/>
        <v>0</v>
      </c>
      <c r="D32"/>
    </row>
    <row r="33" spans="1:4" x14ac:dyDescent="0.3">
      <c r="A33" s="35" t="s">
        <v>67</v>
      </c>
      <c r="B33" s="76"/>
      <c r="C33" s="44">
        <f t="shared" si="0"/>
        <v>0</v>
      </c>
      <c r="D33"/>
    </row>
    <row r="34" spans="1:4" x14ac:dyDescent="0.3">
      <c r="A34" s="35" t="s">
        <v>68</v>
      </c>
      <c r="B34" s="76"/>
      <c r="C34" s="44">
        <f t="shared" si="0"/>
        <v>0</v>
      </c>
      <c r="D34"/>
    </row>
    <row r="35" spans="1:4" ht="3.75" customHeight="1" x14ac:dyDescent="0.3">
      <c r="B35" s="45"/>
      <c r="C35" s="45"/>
      <c r="D35"/>
    </row>
    <row r="36" spans="1:4" x14ac:dyDescent="0.3">
      <c r="A36" s="43" t="s">
        <v>69</v>
      </c>
      <c r="B36" s="77"/>
      <c r="C36" s="46"/>
      <c r="D36"/>
    </row>
    <row r="37" spans="1:4" x14ac:dyDescent="0.3">
      <c r="A37" s="35" t="s">
        <v>70</v>
      </c>
      <c r="B37" s="78" t="e">
        <f>+B28/B30</f>
        <v>#DIV/0!</v>
      </c>
      <c r="C37" s="47" t="e">
        <f>+C28/C30</f>
        <v>#DIV/0!</v>
      </c>
      <c r="D37"/>
    </row>
    <row r="38" spans="1:4" x14ac:dyDescent="0.3">
      <c r="A38" s="35" t="s">
        <v>71</v>
      </c>
      <c r="B38" s="79" t="e">
        <f>+B31/B29</f>
        <v>#DIV/0!</v>
      </c>
      <c r="C38" s="48" t="e">
        <f>+C31/C29</f>
        <v>#DIV/0!</v>
      </c>
      <c r="D38"/>
    </row>
    <row r="39" spans="1:4" x14ac:dyDescent="0.3">
      <c r="A39" s="35" t="s">
        <v>72</v>
      </c>
      <c r="B39" s="78" t="str">
        <f>+IFERROR(B33/B34,"INDETERMINADO")</f>
        <v>INDETERMINADO</v>
      </c>
      <c r="C39" s="47" t="str">
        <f>+IFERROR(C33/C34,"INDETERMINADO")</f>
        <v>INDETERMINADO</v>
      </c>
      <c r="D39"/>
    </row>
    <row r="40" spans="1:4" x14ac:dyDescent="0.3">
      <c r="A40" s="33" t="s">
        <v>73</v>
      </c>
      <c r="B40" s="80">
        <f>(B28-B30)</f>
        <v>0</v>
      </c>
      <c r="C40" s="49">
        <f>+(B40)/D13</f>
        <v>0</v>
      </c>
      <c r="D40"/>
    </row>
    <row r="41" spans="1:4" x14ac:dyDescent="0.3">
      <c r="A41" s="33" t="s">
        <v>74</v>
      </c>
      <c r="B41" s="80">
        <f>+(B29-B31)</f>
        <v>0</v>
      </c>
      <c r="C41" s="49">
        <f>+(B41)/D13</f>
        <v>0</v>
      </c>
      <c r="D41"/>
    </row>
    <row r="42" spans="1:4" x14ac:dyDescent="0.3">
      <c r="A42" s="43" t="s">
        <v>75</v>
      </c>
      <c r="B42" s="81"/>
      <c r="C42" s="50"/>
      <c r="D42"/>
    </row>
    <row r="43" spans="1:4" x14ac:dyDescent="0.3">
      <c r="A43" s="35" t="s">
        <v>76</v>
      </c>
      <c r="B43" s="82" t="e">
        <f t="shared" ref="B43" si="1">+B33/B32</f>
        <v>#DIV/0!</v>
      </c>
      <c r="C43" s="51" t="e">
        <f>+C33/C32</f>
        <v>#DIV/0!</v>
      </c>
      <c r="D43"/>
    </row>
    <row r="44" spans="1:4" x14ac:dyDescent="0.3">
      <c r="A44" s="35" t="s">
        <v>77</v>
      </c>
      <c r="B44" s="83" t="e">
        <f t="shared" ref="B44" si="2">+B33/B29</f>
        <v>#DIV/0!</v>
      </c>
      <c r="C44" s="52" t="e">
        <f>+C33/C29</f>
        <v>#DIV/0!</v>
      </c>
      <c r="D44"/>
    </row>
    <row r="45" spans="1:4" ht="5.25" customHeight="1" x14ac:dyDescent="0.3">
      <c r="B45" s="45"/>
      <c r="C45" s="45"/>
      <c r="D45" s="45"/>
    </row>
    <row r="46" spans="1:4" x14ac:dyDescent="0.3">
      <c r="A46" s="174" t="s">
        <v>78</v>
      </c>
      <c r="B46" s="174"/>
      <c r="C46" s="174"/>
      <c r="D46" s="174"/>
    </row>
    <row r="47" spans="1:4" ht="4.5" customHeight="1" x14ac:dyDescent="0.3">
      <c r="C47" s="53"/>
      <c r="D47" s="53"/>
    </row>
    <row r="48" spans="1:4" ht="15.75" customHeight="1" x14ac:dyDescent="0.3">
      <c r="A48" s="175" t="s">
        <v>79</v>
      </c>
      <c r="B48" s="176">
        <f>+B15</f>
        <v>0</v>
      </c>
      <c r="C48" s="176"/>
      <c r="D48" s="176"/>
    </row>
    <row r="49" spans="1:4" ht="46.8" x14ac:dyDescent="0.3">
      <c r="A49" s="175"/>
      <c r="B49" s="54" t="s">
        <v>80</v>
      </c>
      <c r="C49" s="55" t="s">
        <v>52</v>
      </c>
      <c r="D49" s="55" t="s">
        <v>81</v>
      </c>
    </row>
    <row r="50" spans="1:4" x14ac:dyDescent="0.3">
      <c r="A50" s="56" t="s">
        <v>82</v>
      </c>
      <c r="B50" s="57">
        <v>2</v>
      </c>
      <c r="C50" s="58" t="e">
        <f>+C37</f>
        <v>#DIV/0!</v>
      </c>
      <c r="D50" s="74" t="e">
        <f>IF(C50&gt;=B50,"HABILITADO","NO HABILITADO")</f>
        <v>#DIV/0!</v>
      </c>
    </row>
    <row r="51" spans="1:4" x14ac:dyDescent="0.3">
      <c r="A51" s="56" t="s">
        <v>83</v>
      </c>
      <c r="B51" s="59">
        <v>0.5</v>
      </c>
      <c r="C51" s="60" t="e">
        <f>+C38</f>
        <v>#DIV/0!</v>
      </c>
      <c r="D51" s="74" t="e">
        <f>IF(C51&lt;=B51,"HABILITADO","NO HABILITADO")</f>
        <v>#DIV/0!</v>
      </c>
    </row>
    <row r="52" spans="1:4" x14ac:dyDescent="0.3">
      <c r="A52" s="56" t="s">
        <v>84</v>
      </c>
      <c r="B52" s="61">
        <v>1.5</v>
      </c>
      <c r="C52" s="58" t="str">
        <f>+C39</f>
        <v>INDETERMINADO</v>
      </c>
      <c r="D52" s="74" t="str">
        <f>+IF(C52=0,"HABILITADO",IF(C52&gt;=B52,"HABILITADO","NO HABILITADO"))</f>
        <v>HABILITADO</v>
      </c>
    </row>
    <row r="53" spans="1:4" x14ac:dyDescent="0.3">
      <c r="A53" s="35" t="s">
        <v>85</v>
      </c>
      <c r="B53" s="61">
        <v>0.57999999999999996</v>
      </c>
      <c r="C53" s="62">
        <f>+C40</f>
        <v>0</v>
      </c>
      <c r="D53" s="74" t="str">
        <f>IF(C53&gt;B53,"HABILITADO","NO HABILITADO")</f>
        <v>NO HABILITADO</v>
      </c>
    </row>
    <row r="54" spans="1:4" x14ac:dyDescent="0.3">
      <c r="A54" s="35" t="s">
        <v>86</v>
      </c>
      <c r="B54" s="61">
        <v>0.24</v>
      </c>
      <c r="C54" s="62">
        <f>+C41</f>
        <v>0</v>
      </c>
      <c r="D54" s="74" t="str">
        <f>IF(C54&gt;B54,"HABILITADO","NO HABILITADO")</f>
        <v>NO HABILITADO</v>
      </c>
    </row>
    <row r="55" spans="1:4" x14ac:dyDescent="0.3">
      <c r="A55" s="56" t="s">
        <v>87</v>
      </c>
      <c r="B55" s="61">
        <v>0.15</v>
      </c>
      <c r="C55" s="58" t="e">
        <f>+C43</f>
        <v>#DIV/0!</v>
      </c>
      <c r="D55" s="74" t="e">
        <f>IF(C55&gt;=B55,"HABILITADO","NO HABILITADO")</f>
        <v>#DIV/0!</v>
      </c>
    </row>
    <row r="56" spans="1:4" x14ac:dyDescent="0.3">
      <c r="A56" s="56" t="s">
        <v>88</v>
      </c>
      <c r="B56" s="61">
        <v>7.0000000000000007E-2</v>
      </c>
      <c r="C56" s="58" t="e">
        <f>+C44</f>
        <v>#DIV/0!</v>
      </c>
      <c r="D56" s="74" t="e">
        <f>IF(C56&gt;=B56,"HABILITADO","NO HABILITADO")</f>
        <v>#DIV/0!</v>
      </c>
    </row>
    <row r="57" spans="1:4" ht="4.5" customHeight="1" x14ac:dyDescent="0.3">
      <c r="C57" s="53"/>
      <c r="D57" s="53"/>
    </row>
    <row r="58" spans="1:4" ht="15.75" customHeight="1" x14ac:dyDescent="0.3">
      <c r="A58" s="63" t="s">
        <v>89</v>
      </c>
      <c r="B58" s="161" t="e">
        <f>IF(+AND(D50="HABILITADO",D51="HABILITADO",D52="HABILITADO",D53="HABILITADO",D54="HABILITADO",D55="HABILITADO",D56="HABILITADO"),"HABILITADO","NO HABILITADO")</f>
        <v>#DIV/0!</v>
      </c>
      <c r="C58" s="162"/>
      <c r="D58" s="163"/>
    </row>
    <row r="59" spans="1:4" ht="4.5" customHeight="1" x14ac:dyDescent="0.3">
      <c r="C59" s="53"/>
      <c r="D59" s="53"/>
    </row>
    <row r="60" spans="1:4" x14ac:dyDescent="0.3">
      <c r="A60" s="64" t="s">
        <v>90</v>
      </c>
      <c r="B60" s="65"/>
      <c r="C60"/>
      <c r="D60"/>
    </row>
    <row r="61" spans="1:4" ht="4.5" customHeight="1" thickBot="1" x14ac:dyDescent="0.35">
      <c r="C61" s="53"/>
      <c r="D61" s="53"/>
    </row>
    <row r="62" spans="1:4" ht="33" customHeight="1" thickBot="1" x14ac:dyDescent="0.35">
      <c r="A62" s="164"/>
      <c r="B62" s="165"/>
      <c r="C62" s="165"/>
      <c r="D62" s="166"/>
    </row>
    <row r="63" spans="1:4" ht="16.2" thickBot="1" x14ac:dyDescent="0.35"/>
    <row r="64" spans="1:4" x14ac:dyDescent="0.3">
      <c r="A64" s="167" t="s">
        <v>40</v>
      </c>
      <c r="B64" s="168"/>
      <c r="C64" s="168"/>
      <c r="D64" s="169"/>
    </row>
    <row r="65" spans="1:4" ht="60" customHeight="1" x14ac:dyDescent="0.3">
      <c r="A65"/>
      <c r="B65" s="66"/>
      <c r="C65" s="66"/>
      <c r="D65" s="67"/>
    </row>
    <row r="66" spans="1:4" ht="32.25" customHeight="1" thickBot="1" x14ac:dyDescent="0.35">
      <c r="A66" s="84" t="s">
        <v>91</v>
      </c>
      <c r="B66" s="68"/>
      <c r="C66" s="132" t="s">
        <v>92</v>
      </c>
      <c r="D66" s="170"/>
    </row>
  </sheetData>
  <mergeCells count="16">
    <mergeCell ref="B58:D58"/>
    <mergeCell ref="A62:D62"/>
    <mergeCell ref="A64:D64"/>
    <mergeCell ref="C66:D66"/>
    <mergeCell ref="A10:C10"/>
    <mergeCell ref="A13:C13"/>
    <mergeCell ref="B15:D15"/>
    <mergeCell ref="A46:D46"/>
    <mergeCell ref="A48:A49"/>
    <mergeCell ref="B48:D48"/>
    <mergeCell ref="A9:C9"/>
    <mergeCell ref="A1:D1"/>
    <mergeCell ref="A3:D3"/>
    <mergeCell ref="A4:D4"/>
    <mergeCell ref="A6:D6"/>
    <mergeCell ref="A8:C8"/>
  </mergeCells>
  <phoneticPr fontId="21" type="noConversion"/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FAE1E-5D3F-483B-A957-626034962BA8}">
  <dimension ref="A1:D66"/>
  <sheetViews>
    <sheetView zoomScaleNormal="100" workbookViewId="0">
      <selection activeCell="A8" sqref="A8:E12"/>
    </sheetView>
  </sheetViews>
  <sheetFormatPr baseColWidth="10" defaultColWidth="11.44140625" defaultRowHeight="15.6" x14ac:dyDescent="0.3"/>
  <cols>
    <col min="1" max="1" width="44.88671875" style="23" customWidth="1"/>
    <col min="2" max="2" width="26.33203125" style="23" customWidth="1"/>
    <col min="3" max="3" width="22.664062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8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44</v>
      </c>
      <c r="B8" s="152"/>
      <c r="C8" s="152"/>
      <c r="D8" s="20">
        <v>482738680</v>
      </c>
    </row>
    <row r="9" spans="1:4" x14ac:dyDescent="0.3">
      <c r="A9" s="152" t="s">
        <v>45</v>
      </c>
      <c r="B9" s="152"/>
      <c r="C9" s="152"/>
      <c r="D9" s="20">
        <v>237634335</v>
      </c>
    </row>
    <row r="10" spans="1:4" x14ac:dyDescent="0.3">
      <c r="A10" s="152" t="s">
        <v>46</v>
      </c>
      <c r="B10" s="152"/>
      <c r="C10" s="152"/>
      <c r="D10" s="20">
        <v>237634335</v>
      </c>
    </row>
    <row r="11" spans="1:4" x14ac:dyDescent="0.3">
      <c r="A11" s="109"/>
      <c r="B11" s="109"/>
      <c r="C11" s="109" t="s">
        <v>47</v>
      </c>
      <c r="D11" s="20">
        <v>482738680</v>
      </c>
    </row>
    <row r="12" spans="1:4" x14ac:dyDescent="0.3">
      <c r="A12" s="109"/>
      <c r="B12" s="109"/>
      <c r="C12" s="109" t="s">
        <v>48</v>
      </c>
      <c r="D12" s="20">
        <v>482738680</v>
      </c>
    </row>
    <row r="13" spans="1:4" x14ac:dyDescent="0.3">
      <c r="A13" s="152" t="s">
        <v>49</v>
      </c>
      <c r="B13" s="152"/>
      <c r="C13" s="152"/>
      <c r="D13" s="20">
        <f>+SUM(D8:D12)</f>
        <v>1923484710</v>
      </c>
    </row>
    <row r="14" spans="1:4" ht="3.75" customHeight="1" x14ac:dyDescent="0.3">
      <c r="A14" s="21"/>
      <c r="B14" s="22"/>
    </row>
    <row r="15" spans="1:4" x14ac:dyDescent="0.3">
      <c r="A15" s="24" t="s">
        <v>50</v>
      </c>
      <c r="B15" s="177"/>
      <c r="C15" s="177"/>
      <c r="D15" s="177"/>
    </row>
    <row r="16" spans="1:4" ht="5.25" customHeight="1" x14ac:dyDescent="0.3">
      <c r="A16" s="25"/>
      <c r="B16" s="26"/>
      <c r="C16" s="26"/>
      <c r="D16" s="26"/>
    </row>
    <row r="17" spans="1:4" x14ac:dyDescent="0.3">
      <c r="A17" s="27" t="s">
        <v>51</v>
      </c>
      <c r="B17" s="28"/>
      <c r="C17" s="28"/>
      <c r="D17" s="18"/>
    </row>
    <row r="18" spans="1:4" ht="5.25" customHeight="1" x14ac:dyDescent="0.3">
      <c r="A18" s="29"/>
      <c r="B18" s="30"/>
      <c r="C18" s="30"/>
      <c r="D18" s="18"/>
    </row>
    <row r="19" spans="1:4" ht="41.4" x14ac:dyDescent="0.3">
      <c r="A19" s="31" t="s">
        <v>7</v>
      </c>
      <c r="B19" s="86"/>
      <c r="C19" s="86"/>
      <c r="D19" s="32" t="s">
        <v>52</v>
      </c>
    </row>
    <row r="20" spans="1:4" x14ac:dyDescent="0.3">
      <c r="A20" s="33" t="s">
        <v>53</v>
      </c>
      <c r="B20" s="87"/>
      <c r="C20" s="87"/>
      <c r="D20" s="34">
        <f>+B20+C20</f>
        <v>0</v>
      </c>
    </row>
    <row r="21" spans="1:4" x14ac:dyDescent="0.3">
      <c r="A21" s="35" t="s">
        <v>54</v>
      </c>
      <c r="B21" s="69"/>
      <c r="C21" s="69"/>
      <c r="D21" s="36"/>
    </row>
    <row r="22" spans="1:4" x14ac:dyDescent="0.3">
      <c r="A22" s="37" t="s">
        <v>55</v>
      </c>
      <c r="B22" s="70"/>
      <c r="C22" s="70"/>
      <c r="D22" s="38"/>
    </row>
    <row r="23" spans="1:4" x14ac:dyDescent="0.3">
      <c r="A23" s="35" t="s">
        <v>56</v>
      </c>
      <c r="B23" s="71"/>
      <c r="C23" s="71"/>
      <c r="D23" s="39"/>
    </row>
    <row r="24" spans="1:4" x14ac:dyDescent="0.3">
      <c r="A24" s="35" t="s">
        <v>57</v>
      </c>
      <c r="B24" s="71"/>
      <c r="C24" s="71"/>
      <c r="D24" s="39"/>
    </row>
    <row r="25" spans="1:4" x14ac:dyDescent="0.3">
      <c r="A25" s="35" t="s">
        <v>58</v>
      </c>
      <c r="B25" s="71"/>
      <c r="C25" s="71"/>
      <c r="D25" s="39"/>
    </row>
    <row r="26" spans="1:4" ht="5.25" customHeight="1" x14ac:dyDescent="0.3">
      <c r="A26" s="40"/>
      <c r="B26" s="41"/>
      <c r="C26" s="88"/>
      <c r="D26" s="42"/>
    </row>
    <row r="27" spans="1:4" x14ac:dyDescent="0.3">
      <c r="A27" s="43" t="s">
        <v>59</v>
      </c>
      <c r="B27" s="75" t="s">
        <v>60</v>
      </c>
      <c r="C27" s="75" t="s">
        <v>93</v>
      </c>
      <c r="D27" s="75" t="s">
        <v>94</v>
      </c>
    </row>
    <row r="28" spans="1:4" x14ac:dyDescent="0.3">
      <c r="A28" s="35" t="s">
        <v>62</v>
      </c>
      <c r="B28" s="89"/>
      <c r="C28" s="44"/>
      <c r="D28" s="44">
        <f t="shared" ref="D28:D34" si="0">(B28*$B$20)+(C28*$C$20)</f>
        <v>0</v>
      </c>
    </row>
    <row r="29" spans="1:4" x14ac:dyDescent="0.3">
      <c r="A29" s="35" t="s">
        <v>63</v>
      </c>
      <c r="B29" s="89"/>
      <c r="C29" s="44"/>
      <c r="D29" s="44">
        <f t="shared" si="0"/>
        <v>0</v>
      </c>
    </row>
    <row r="30" spans="1:4" x14ac:dyDescent="0.3">
      <c r="A30" s="35" t="s">
        <v>64</v>
      </c>
      <c r="B30" s="89"/>
      <c r="C30" s="44"/>
      <c r="D30" s="44">
        <f t="shared" si="0"/>
        <v>0</v>
      </c>
    </row>
    <row r="31" spans="1:4" x14ac:dyDescent="0.3">
      <c r="A31" s="35" t="s">
        <v>65</v>
      </c>
      <c r="B31" s="89"/>
      <c r="C31" s="44"/>
      <c r="D31" s="44">
        <f t="shared" si="0"/>
        <v>0</v>
      </c>
    </row>
    <row r="32" spans="1:4" x14ac:dyDescent="0.3">
      <c r="A32" s="35" t="s">
        <v>66</v>
      </c>
      <c r="B32" s="89"/>
      <c r="C32" s="44"/>
      <c r="D32" s="44">
        <f t="shared" si="0"/>
        <v>0</v>
      </c>
    </row>
    <row r="33" spans="1:4" x14ac:dyDescent="0.3">
      <c r="A33" s="35" t="s">
        <v>67</v>
      </c>
      <c r="B33" s="89"/>
      <c r="C33" s="44"/>
      <c r="D33" s="44">
        <f t="shared" si="0"/>
        <v>0</v>
      </c>
    </row>
    <row r="34" spans="1:4" x14ac:dyDescent="0.3">
      <c r="A34" s="35" t="s">
        <v>68</v>
      </c>
      <c r="B34" s="89"/>
      <c r="C34" s="44"/>
      <c r="D34" s="44">
        <f t="shared" si="0"/>
        <v>0</v>
      </c>
    </row>
    <row r="35" spans="1:4" ht="3.75" customHeight="1" x14ac:dyDescent="0.3">
      <c r="B35" s="45"/>
      <c r="C35" s="45"/>
      <c r="D35" s="45"/>
    </row>
    <row r="36" spans="1:4" x14ac:dyDescent="0.3">
      <c r="A36" s="43" t="s">
        <v>69</v>
      </c>
      <c r="B36" s="90"/>
      <c r="C36" s="46"/>
      <c r="D36" s="46"/>
    </row>
    <row r="37" spans="1:4" x14ac:dyDescent="0.3">
      <c r="A37" s="35" t="s">
        <v>70</v>
      </c>
      <c r="B37" s="91" t="e">
        <f>+B28/B30</f>
        <v>#DIV/0!</v>
      </c>
      <c r="C37" s="91" t="e">
        <f>+C28/C30</f>
        <v>#DIV/0!</v>
      </c>
      <c r="D37" s="47" t="e">
        <f>+D28/D30</f>
        <v>#DIV/0!</v>
      </c>
    </row>
    <row r="38" spans="1:4" x14ac:dyDescent="0.3">
      <c r="A38" s="35" t="s">
        <v>71</v>
      </c>
      <c r="B38" s="92" t="e">
        <f>+B31/B29</f>
        <v>#DIV/0!</v>
      </c>
      <c r="C38" s="92" t="e">
        <f t="shared" ref="C38" si="1">+C31/C29</f>
        <v>#DIV/0!</v>
      </c>
      <c r="D38" s="48" t="e">
        <f>+D31/D29</f>
        <v>#DIV/0!</v>
      </c>
    </row>
    <row r="39" spans="1:4" x14ac:dyDescent="0.3">
      <c r="A39" s="35" t="s">
        <v>72</v>
      </c>
      <c r="B39" s="47" t="str">
        <f>+IFERROR(B33/B34,"INDETERMINADO")</f>
        <v>INDETERMINADO</v>
      </c>
      <c r="C39" s="47" t="str">
        <f>+IFERROR(C33/C34,"INDETERMINADO")</f>
        <v>INDETERMINADO</v>
      </c>
      <c r="D39" s="47" t="str">
        <f>+IFERROR(D33/D34,"INDETERMINADO")</f>
        <v>INDETERMINADO</v>
      </c>
    </row>
    <row r="40" spans="1:4" x14ac:dyDescent="0.3">
      <c r="A40" s="33" t="s">
        <v>73</v>
      </c>
      <c r="B40" s="93">
        <f>(B28-B30)</f>
        <v>0</v>
      </c>
      <c r="C40" s="93">
        <f t="shared" ref="C40" si="2">(C28-C30)</f>
        <v>0</v>
      </c>
      <c r="D40" s="49">
        <f>+(B40+C40)/(D13)</f>
        <v>0</v>
      </c>
    </row>
    <row r="41" spans="1:4" x14ac:dyDescent="0.3">
      <c r="A41" s="33" t="s">
        <v>74</v>
      </c>
      <c r="B41" s="93">
        <f>+(B29-B31)</f>
        <v>0</v>
      </c>
      <c r="C41" s="93">
        <f t="shared" ref="C41" si="3">+(C29-C31)</f>
        <v>0</v>
      </c>
      <c r="D41" s="49">
        <f>+(B41+C41)/(D13)</f>
        <v>0</v>
      </c>
    </row>
    <row r="42" spans="1:4" x14ac:dyDescent="0.3">
      <c r="A42" s="43" t="s">
        <v>75</v>
      </c>
      <c r="B42" s="178"/>
      <c r="C42" s="179"/>
      <c r="D42" s="50"/>
    </row>
    <row r="43" spans="1:4" x14ac:dyDescent="0.3">
      <c r="A43" s="35" t="s">
        <v>76</v>
      </c>
      <c r="B43" s="94" t="e">
        <f t="shared" ref="B43:C43" si="4">+B33/B32</f>
        <v>#DIV/0!</v>
      </c>
      <c r="C43" s="51" t="e">
        <f t="shared" si="4"/>
        <v>#DIV/0!</v>
      </c>
      <c r="D43" s="51" t="e">
        <f>+D33/D32</f>
        <v>#DIV/0!</v>
      </c>
    </row>
    <row r="44" spans="1:4" x14ac:dyDescent="0.3">
      <c r="A44" s="35" t="s">
        <v>77</v>
      </c>
      <c r="B44" s="95" t="e">
        <f t="shared" ref="B44:C44" si="5">+B33/B29</f>
        <v>#DIV/0!</v>
      </c>
      <c r="C44" s="52" t="e">
        <f t="shared" si="5"/>
        <v>#DIV/0!</v>
      </c>
      <c r="D44" s="52" t="e">
        <f>+D33/D29</f>
        <v>#DIV/0!</v>
      </c>
    </row>
    <row r="45" spans="1:4" ht="5.25" customHeight="1" x14ac:dyDescent="0.3">
      <c r="B45" s="45"/>
      <c r="C45" s="45"/>
      <c r="D45" s="45"/>
    </row>
    <row r="46" spans="1:4" x14ac:dyDescent="0.3">
      <c r="A46" s="174" t="s">
        <v>78</v>
      </c>
      <c r="B46" s="174"/>
      <c r="C46" s="174"/>
      <c r="D46" s="174"/>
    </row>
    <row r="47" spans="1:4" ht="4.5" customHeight="1" x14ac:dyDescent="0.3">
      <c r="C47" s="53"/>
      <c r="D47" s="53"/>
    </row>
    <row r="48" spans="1:4" ht="15.75" customHeight="1" x14ac:dyDescent="0.3">
      <c r="A48" s="175" t="s">
        <v>79</v>
      </c>
      <c r="B48" s="176">
        <f>+B15</f>
        <v>0</v>
      </c>
      <c r="C48" s="176"/>
      <c r="D48" s="176"/>
    </row>
    <row r="49" spans="1:4" ht="46.8" x14ac:dyDescent="0.3">
      <c r="A49" s="175"/>
      <c r="B49" s="54" t="s">
        <v>80</v>
      </c>
      <c r="C49" s="55" t="s">
        <v>52</v>
      </c>
      <c r="D49" s="55" t="s">
        <v>81</v>
      </c>
    </row>
    <row r="50" spans="1:4" x14ac:dyDescent="0.3">
      <c r="A50" s="56" t="s">
        <v>82</v>
      </c>
      <c r="B50" s="57">
        <v>2</v>
      </c>
      <c r="C50" s="58" t="e">
        <f>+D37</f>
        <v>#DIV/0!</v>
      </c>
      <c r="D50" s="74" t="e">
        <f>IF(C50&gt;=B50,"HABILITADO","NO HABILITADO")</f>
        <v>#DIV/0!</v>
      </c>
    </row>
    <row r="51" spans="1:4" x14ac:dyDescent="0.3">
      <c r="A51" s="56" t="s">
        <v>83</v>
      </c>
      <c r="B51" s="59">
        <v>0.5</v>
      </c>
      <c r="C51" s="60" t="e">
        <f>+D38</f>
        <v>#DIV/0!</v>
      </c>
      <c r="D51" s="74" t="e">
        <f>IF(C51&lt;=B51,"HABILITADO","NO HABILITADO")</f>
        <v>#DIV/0!</v>
      </c>
    </row>
    <row r="52" spans="1:4" x14ac:dyDescent="0.3">
      <c r="A52" s="56" t="s">
        <v>84</v>
      </c>
      <c r="B52" s="61">
        <v>1.5</v>
      </c>
      <c r="C52" s="58" t="str">
        <f>+D39</f>
        <v>INDETERMINADO</v>
      </c>
      <c r="D52" s="74" t="str">
        <f>+IF(C52=0,"HABILITADO",IF(C52&gt;=B52,"HABILITADO","NO HABILITADO"))</f>
        <v>HABILITADO</v>
      </c>
    </row>
    <row r="53" spans="1:4" x14ac:dyDescent="0.3">
      <c r="A53" s="35" t="s">
        <v>85</v>
      </c>
      <c r="B53" s="61">
        <v>0.57999999999999996</v>
      </c>
      <c r="C53" s="62">
        <f>+D40</f>
        <v>0</v>
      </c>
      <c r="D53" s="74" t="str">
        <f>IF(C53&gt;B53,"HABILITADO","NO HABILITADO")</f>
        <v>NO HABILITADO</v>
      </c>
    </row>
    <row r="54" spans="1:4" x14ac:dyDescent="0.3">
      <c r="A54" s="35" t="s">
        <v>86</v>
      </c>
      <c r="B54" s="61">
        <v>0.24</v>
      </c>
      <c r="C54" s="62">
        <f>+D41</f>
        <v>0</v>
      </c>
      <c r="D54" s="74" t="str">
        <f>IF(C54&gt;B54,"HABILITADO","NO HABILITADO")</f>
        <v>NO HABILITADO</v>
      </c>
    </row>
    <row r="55" spans="1:4" x14ac:dyDescent="0.3">
      <c r="A55" s="56" t="s">
        <v>87</v>
      </c>
      <c r="B55" s="61">
        <v>0.15</v>
      </c>
      <c r="C55" s="58" t="e">
        <f>+D43</f>
        <v>#DIV/0!</v>
      </c>
      <c r="D55" s="74" t="e">
        <f>IF(C55&gt;=B55,"HABILITADO","NO HABILITADO")</f>
        <v>#DIV/0!</v>
      </c>
    </row>
    <row r="56" spans="1:4" x14ac:dyDescent="0.3">
      <c r="A56" s="56" t="s">
        <v>88</v>
      </c>
      <c r="B56" s="61">
        <v>7.0000000000000007E-2</v>
      </c>
      <c r="C56" s="58" t="e">
        <f>+D44</f>
        <v>#DIV/0!</v>
      </c>
      <c r="D56" s="74" t="e">
        <f>IF(C56&gt;=B56,"HABILITADO","NO HABILITADO")</f>
        <v>#DIV/0!</v>
      </c>
    </row>
    <row r="57" spans="1:4" ht="4.5" customHeight="1" x14ac:dyDescent="0.3">
      <c r="C57" s="53"/>
      <c r="D57" s="53"/>
    </row>
    <row r="58" spans="1:4" ht="15.75" customHeight="1" x14ac:dyDescent="0.3">
      <c r="A58" s="63" t="s">
        <v>89</v>
      </c>
      <c r="B58" s="161" t="e">
        <f>IF(+AND(D50="HABILITADO",D51="HABILITADO",D52="HABILITADO",D53="HABILITADO",D54="HABILITADO",D55="HABILITADO",D56="HABILITADO"),"HABILITADO","NO HABILITADO")</f>
        <v>#DIV/0!</v>
      </c>
      <c r="C58" s="162"/>
      <c r="D58" s="163"/>
    </row>
    <row r="59" spans="1:4" ht="4.5" customHeight="1" x14ac:dyDescent="0.3">
      <c r="C59" s="53"/>
      <c r="D59" s="53"/>
    </row>
    <row r="60" spans="1:4" x14ac:dyDescent="0.3">
      <c r="A60" s="64" t="s">
        <v>90</v>
      </c>
      <c r="B60" s="65"/>
      <c r="C60"/>
      <c r="D60"/>
    </row>
    <row r="61" spans="1:4" ht="4.5" customHeight="1" thickBot="1" x14ac:dyDescent="0.35">
      <c r="C61" s="53"/>
      <c r="D61" s="53"/>
    </row>
    <row r="62" spans="1:4" ht="33" customHeight="1" thickBot="1" x14ac:dyDescent="0.35">
      <c r="A62" s="164"/>
      <c r="B62" s="165"/>
      <c r="C62" s="165"/>
      <c r="D62" s="166"/>
    </row>
    <row r="63" spans="1:4" ht="16.2" thickBot="1" x14ac:dyDescent="0.35"/>
    <row r="64" spans="1:4" x14ac:dyDescent="0.3">
      <c r="A64" s="167" t="s">
        <v>40</v>
      </c>
      <c r="B64" s="168"/>
      <c r="C64" s="168"/>
      <c r="D64" s="169"/>
    </row>
    <row r="65" spans="1:4" ht="60" customHeight="1" x14ac:dyDescent="0.3">
      <c r="A65"/>
      <c r="B65" s="66"/>
      <c r="C65" s="66"/>
      <c r="D65" s="67"/>
    </row>
    <row r="66" spans="1:4" ht="32.25" customHeight="1" thickBot="1" x14ac:dyDescent="0.35">
      <c r="A66" s="84" t="s">
        <v>91</v>
      </c>
      <c r="B66" s="68"/>
      <c r="C66" s="132" t="s">
        <v>92</v>
      </c>
      <c r="D66" s="170"/>
    </row>
  </sheetData>
  <mergeCells count="17">
    <mergeCell ref="B58:D58"/>
    <mergeCell ref="A62:D62"/>
    <mergeCell ref="A64:D64"/>
    <mergeCell ref="C66:D66"/>
    <mergeCell ref="A10:C10"/>
    <mergeCell ref="A13:C13"/>
    <mergeCell ref="B15:D15"/>
    <mergeCell ref="B42:C42"/>
    <mergeCell ref="A46:D46"/>
    <mergeCell ref="A48:A49"/>
    <mergeCell ref="B48:D48"/>
    <mergeCell ref="A9:C9"/>
    <mergeCell ref="A1:D1"/>
    <mergeCell ref="A3:D3"/>
    <mergeCell ref="A4:D4"/>
    <mergeCell ref="A6:D6"/>
    <mergeCell ref="A8:C8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6F11-0FDF-46DD-894D-A85C915C486A}">
  <dimension ref="A1:G66"/>
  <sheetViews>
    <sheetView zoomScaleNormal="100" workbookViewId="0">
      <selection activeCell="A8" sqref="A8:E12"/>
    </sheetView>
  </sheetViews>
  <sheetFormatPr baseColWidth="10" defaultColWidth="11.44140625" defaultRowHeight="15.6" x14ac:dyDescent="0.3"/>
  <cols>
    <col min="1" max="1" width="39.33203125" style="23" customWidth="1"/>
    <col min="2" max="4" width="18.33203125" style="23" customWidth="1"/>
    <col min="5" max="5" width="24.109375" style="23" bestFit="1" customWidth="1"/>
    <col min="6" max="6" width="15.5546875" bestFit="1" customWidth="1"/>
  </cols>
  <sheetData>
    <row r="1" spans="1:6" ht="45" customHeight="1" x14ac:dyDescent="0.3">
      <c r="A1" s="153" t="s">
        <v>42</v>
      </c>
      <c r="B1" s="154"/>
      <c r="C1" s="154"/>
      <c r="D1" s="154"/>
      <c r="E1" s="155"/>
      <c r="F1" s="65"/>
    </row>
    <row r="2" spans="1:6" ht="3" customHeight="1" x14ac:dyDescent="0.3">
      <c r="A2" s="16"/>
      <c r="B2" s="16"/>
      <c r="C2" s="16"/>
      <c r="D2" s="16"/>
      <c r="E2" s="16"/>
      <c r="F2" s="65"/>
    </row>
    <row r="3" spans="1:6" ht="15.75" customHeight="1" x14ac:dyDescent="0.3">
      <c r="A3" s="156" t="str">
        <f>+'RESULTADOS FINAL'!A4</f>
        <v xml:space="preserve">PROCESO No. CM-DG-DAF-0003-2024 </v>
      </c>
      <c r="B3" s="157"/>
      <c r="C3" s="157"/>
      <c r="D3" s="157"/>
      <c r="E3" s="158"/>
      <c r="F3" s="65"/>
    </row>
    <row r="4" spans="1:6" ht="82.95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  <c r="E4" s="159"/>
      <c r="F4" s="65"/>
    </row>
    <row r="5" spans="1:6" ht="6" customHeight="1" x14ac:dyDescent="0.3">
      <c r="A5" s="17"/>
      <c r="B5" s="18"/>
      <c r="C5" s="19"/>
      <c r="D5" s="19"/>
      <c r="E5" s="19"/>
      <c r="F5" s="65"/>
    </row>
    <row r="6" spans="1:6" x14ac:dyDescent="0.3">
      <c r="A6" s="160" t="s">
        <v>43</v>
      </c>
      <c r="B6" s="160"/>
      <c r="C6" s="160"/>
      <c r="D6" s="160"/>
      <c r="E6" s="160"/>
      <c r="F6" s="65"/>
    </row>
    <row r="7" spans="1:6" ht="3.75" customHeight="1" x14ac:dyDescent="0.3">
      <c r="A7" s="18"/>
      <c r="B7" s="18"/>
      <c r="C7" s="19"/>
      <c r="D7" s="19"/>
      <c r="E7" s="19"/>
      <c r="F7" s="65"/>
    </row>
    <row r="8" spans="1:6" x14ac:dyDescent="0.3">
      <c r="A8" s="152" t="s">
        <v>44</v>
      </c>
      <c r="B8" s="152"/>
      <c r="C8" s="152"/>
      <c r="D8" s="180"/>
      <c r="E8" s="20">
        <v>482738680</v>
      </c>
      <c r="F8" s="65"/>
    </row>
    <row r="9" spans="1:6" x14ac:dyDescent="0.3">
      <c r="A9" s="152" t="s">
        <v>45</v>
      </c>
      <c r="B9" s="152"/>
      <c r="C9" s="152"/>
      <c r="D9" s="180"/>
      <c r="E9" s="20">
        <v>237634335</v>
      </c>
      <c r="F9" s="65"/>
    </row>
    <row r="10" spans="1:6" x14ac:dyDescent="0.3">
      <c r="A10" s="152" t="s">
        <v>46</v>
      </c>
      <c r="B10" s="152"/>
      <c r="C10" s="152"/>
      <c r="D10" s="180"/>
      <c r="E10" s="20">
        <v>237634335</v>
      </c>
      <c r="F10" s="65"/>
    </row>
    <row r="11" spans="1:6" x14ac:dyDescent="0.3">
      <c r="A11" s="109"/>
      <c r="B11" s="109"/>
      <c r="C11" s="109"/>
      <c r="D11" s="109" t="s">
        <v>47</v>
      </c>
      <c r="E11" s="20">
        <v>482738680</v>
      </c>
      <c r="F11" s="65"/>
    </row>
    <row r="12" spans="1:6" x14ac:dyDescent="0.3">
      <c r="A12" s="109"/>
      <c r="B12" s="109"/>
      <c r="C12" s="109"/>
      <c r="D12" s="109" t="s">
        <v>48</v>
      </c>
      <c r="E12" s="20">
        <v>482738680</v>
      </c>
      <c r="F12" s="65"/>
    </row>
    <row r="13" spans="1:6" x14ac:dyDescent="0.3">
      <c r="A13" s="152" t="s">
        <v>49</v>
      </c>
      <c r="B13" s="152"/>
      <c r="C13" s="152"/>
      <c r="D13" s="180"/>
      <c r="E13" s="20">
        <f>+SUM(E8:E12)</f>
        <v>1923484710</v>
      </c>
      <c r="F13" s="65"/>
    </row>
    <row r="14" spans="1:6" ht="3.75" customHeight="1" x14ac:dyDescent="0.3">
      <c r="A14" s="21"/>
      <c r="B14" s="22"/>
      <c r="F14" s="65"/>
    </row>
    <row r="15" spans="1:6" x14ac:dyDescent="0.3">
      <c r="A15" s="24" t="s">
        <v>50</v>
      </c>
      <c r="B15" s="177"/>
      <c r="C15" s="177"/>
      <c r="D15" s="177"/>
      <c r="E15" s="177"/>
      <c r="F15" s="65"/>
    </row>
    <row r="16" spans="1:6" ht="5.25" customHeight="1" x14ac:dyDescent="0.3">
      <c r="A16" s="25"/>
      <c r="B16" s="26"/>
      <c r="C16" s="26"/>
      <c r="D16" s="26"/>
      <c r="E16" s="26"/>
      <c r="F16" s="65"/>
    </row>
    <row r="17" spans="1:6" x14ac:dyDescent="0.3">
      <c r="A17" s="27" t="s">
        <v>51</v>
      </c>
      <c r="B17" s="28"/>
      <c r="C17" s="28"/>
      <c r="D17" s="28"/>
      <c r="E17" s="18"/>
      <c r="F17" s="65"/>
    </row>
    <row r="18" spans="1:6" ht="5.25" customHeight="1" x14ac:dyDescent="0.3">
      <c r="A18" s="29"/>
      <c r="B18" s="30"/>
      <c r="C18" s="30"/>
      <c r="D18" s="28"/>
      <c r="E18" s="18"/>
      <c r="F18" s="65"/>
    </row>
    <row r="19" spans="1:6" ht="41.4" x14ac:dyDescent="0.3">
      <c r="A19" s="31" t="s">
        <v>7</v>
      </c>
      <c r="B19" s="86"/>
      <c r="C19" s="86"/>
      <c r="D19" s="86"/>
      <c r="E19" s="32" t="s">
        <v>52</v>
      </c>
      <c r="F19" s="65"/>
    </row>
    <row r="20" spans="1:6" x14ac:dyDescent="0.3">
      <c r="A20" s="33" t="s">
        <v>53</v>
      </c>
      <c r="B20" s="87"/>
      <c r="C20" s="87"/>
      <c r="D20" s="87"/>
      <c r="E20" s="34">
        <f>B20+C20+D20</f>
        <v>0</v>
      </c>
      <c r="F20" s="65"/>
    </row>
    <row r="21" spans="1:6" x14ac:dyDescent="0.3">
      <c r="A21" s="35" t="s">
        <v>54</v>
      </c>
      <c r="B21" s="69"/>
      <c r="C21" s="69"/>
      <c r="D21" s="69"/>
      <c r="E21" s="96"/>
      <c r="F21" s="65"/>
    </row>
    <row r="22" spans="1:6" x14ac:dyDescent="0.3">
      <c r="A22" s="37" t="s">
        <v>55</v>
      </c>
      <c r="B22" s="70"/>
      <c r="C22" s="70"/>
      <c r="D22" s="70"/>
      <c r="E22" s="97"/>
      <c r="F22" s="65"/>
    </row>
    <row r="23" spans="1:6" x14ac:dyDescent="0.3">
      <c r="A23" s="35" t="s">
        <v>56</v>
      </c>
      <c r="B23" s="71"/>
      <c r="C23" s="71"/>
      <c r="D23" s="71"/>
      <c r="E23" s="98"/>
      <c r="F23" s="65"/>
    </row>
    <row r="24" spans="1:6" x14ac:dyDescent="0.3">
      <c r="A24" s="35" t="s">
        <v>57</v>
      </c>
      <c r="B24" s="71"/>
      <c r="C24" s="71"/>
      <c r="D24" s="71"/>
      <c r="E24" s="98"/>
      <c r="F24" s="65"/>
    </row>
    <row r="25" spans="1:6" x14ac:dyDescent="0.3">
      <c r="A25" s="35" t="s">
        <v>58</v>
      </c>
      <c r="B25" s="71"/>
      <c r="C25" s="71"/>
      <c r="D25" s="71"/>
      <c r="E25" s="98"/>
      <c r="F25" s="65"/>
    </row>
    <row r="26" spans="1:6" ht="5.25" customHeight="1" x14ac:dyDescent="0.3">
      <c r="A26" s="40"/>
      <c r="B26" s="41"/>
      <c r="C26" s="88"/>
      <c r="D26" s="88"/>
      <c r="E26" s="42"/>
      <c r="F26" s="65"/>
    </row>
    <row r="27" spans="1:6" x14ac:dyDescent="0.3">
      <c r="A27" s="43" t="s">
        <v>59</v>
      </c>
      <c r="B27" s="75" t="s">
        <v>60</v>
      </c>
      <c r="C27" s="75" t="s">
        <v>93</v>
      </c>
      <c r="D27" s="75" t="s">
        <v>95</v>
      </c>
      <c r="E27" s="75" t="s">
        <v>96</v>
      </c>
      <c r="F27" s="65"/>
    </row>
    <row r="28" spans="1:6" x14ac:dyDescent="0.3">
      <c r="A28" s="35" t="s">
        <v>62</v>
      </c>
      <c r="B28" s="89"/>
      <c r="C28" s="44"/>
      <c r="D28" s="44"/>
      <c r="E28" s="44">
        <f t="shared" ref="E28:E34" si="0">(B28*$B$20)+(C28*$C$20)+(D28*$D$20)</f>
        <v>0</v>
      </c>
      <c r="F28" s="65"/>
    </row>
    <row r="29" spans="1:6" x14ac:dyDescent="0.3">
      <c r="A29" s="35" t="s">
        <v>63</v>
      </c>
      <c r="B29" s="89"/>
      <c r="C29" s="44"/>
      <c r="D29" s="44"/>
      <c r="E29" s="44">
        <f t="shared" si="0"/>
        <v>0</v>
      </c>
      <c r="F29" s="65"/>
    </row>
    <row r="30" spans="1:6" x14ac:dyDescent="0.3">
      <c r="A30" s="35" t="s">
        <v>64</v>
      </c>
      <c r="B30" s="89"/>
      <c r="C30" s="44"/>
      <c r="D30" s="44"/>
      <c r="E30" s="44">
        <f t="shared" si="0"/>
        <v>0</v>
      </c>
      <c r="F30" s="65"/>
    </row>
    <row r="31" spans="1:6" x14ac:dyDescent="0.3">
      <c r="A31" s="35" t="s">
        <v>65</v>
      </c>
      <c r="B31" s="89"/>
      <c r="C31" s="44"/>
      <c r="D31" s="44"/>
      <c r="E31" s="44">
        <f t="shared" si="0"/>
        <v>0</v>
      </c>
      <c r="F31" s="65"/>
    </row>
    <row r="32" spans="1:6" x14ac:dyDescent="0.3">
      <c r="A32" s="35" t="s">
        <v>66</v>
      </c>
      <c r="B32" s="89"/>
      <c r="C32" s="44"/>
      <c r="D32" s="44"/>
      <c r="E32" s="44">
        <f t="shared" si="0"/>
        <v>0</v>
      </c>
      <c r="F32" s="65"/>
    </row>
    <row r="33" spans="1:6" x14ac:dyDescent="0.3">
      <c r="A33" s="35" t="s">
        <v>67</v>
      </c>
      <c r="B33" s="89"/>
      <c r="C33" s="44"/>
      <c r="D33" s="44"/>
      <c r="E33" s="44">
        <f t="shared" si="0"/>
        <v>0</v>
      </c>
      <c r="F33" s="65"/>
    </row>
    <row r="34" spans="1:6" x14ac:dyDescent="0.3">
      <c r="A34" s="35" t="s">
        <v>68</v>
      </c>
      <c r="B34" s="89"/>
      <c r="C34" s="44"/>
      <c r="D34" s="44"/>
      <c r="E34" s="44">
        <f t="shared" si="0"/>
        <v>0</v>
      </c>
      <c r="F34" s="65"/>
    </row>
    <row r="35" spans="1:6" ht="3.75" customHeight="1" x14ac:dyDescent="0.3">
      <c r="B35" s="45"/>
      <c r="C35" s="45"/>
      <c r="D35" s="45"/>
      <c r="E35" s="45"/>
      <c r="F35" s="65"/>
    </row>
    <row r="36" spans="1:6" x14ac:dyDescent="0.3">
      <c r="A36" s="43" t="s">
        <v>69</v>
      </c>
      <c r="B36" s="90"/>
      <c r="C36" s="46"/>
      <c r="D36" s="46"/>
      <c r="E36" s="46"/>
      <c r="F36" s="65"/>
    </row>
    <row r="37" spans="1:6" x14ac:dyDescent="0.3">
      <c r="A37" s="35" t="s">
        <v>70</v>
      </c>
      <c r="B37" s="91" t="e">
        <f>+B28/B30</f>
        <v>#DIV/0!</v>
      </c>
      <c r="C37" s="91" t="e">
        <f t="shared" ref="C37:D37" si="1">+C28/C30</f>
        <v>#DIV/0!</v>
      </c>
      <c r="D37" s="91" t="e">
        <f t="shared" si="1"/>
        <v>#DIV/0!</v>
      </c>
      <c r="E37" s="47" t="e">
        <f>+E28/E30</f>
        <v>#DIV/0!</v>
      </c>
      <c r="F37" s="65"/>
    </row>
    <row r="38" spans="1:6" x14ac:dyDescent="0.3">
      <c r="A38" s="35" t="s">
        <v>71</v>
      </c>
      <c r="B38" s="92" t="e">
        <f>+B31/B29</f>
        <v>#DIV/0!</v>
      </c>
      <c r="C38" s="92" t="e">
        <f t="shared" ref="C38:D38" si="2">+C31/C29</f>
        <v>#DIV/0!</v>
      </c>
      <c r="D38" s="92" t="e">
        <f t="shared" si="2"/>
        <v>#DIV/0!</v>
      </c>
      <c r="E38" s="48" t="e">
        <f>+E31/E29</f>
        <v>#DIV/0!</v>
      </c>
      <c r="F38" s="65"/>
    </row>
    <row r="39" spans="1:6" x14ac:dyDescent="0.3">
      <c r="A39" s="35" t="s">
        <v>72</v>
      </c>
      <c r="B39" s="47" t="str">
        <f>+IFERROR(B33/B34,"INDETERMINADO")</f>
        <v>INDETERMINADO</v>
      </c>
      <c r="C39" s="47" t="str">
        <f>+IFERROR(C33/C34,"INDETERMINADO")</f>
        <v>INDETERMINADO</v>
      </c>
      <c r="D39" s="47" t="str">
        <f>+IFERROR(D33/D34,"INDETERMINADO")</f>
        <v>INDETERMINADO</v>
      </c>
      <c r="E39" s="47" t="str">
        <f>+IFERROR(E33/E34,"INDETERMINADO")</f>
        <v>INDETERMINADO</v>
      </c>
      <c r="F39" s="65"/>
    </row>
    <row r="40" spans="1:6" x14ac:dyDescent="0.3">
      <c r="A40" s="33" t="s">
        <v>73</v>
      </c>
      <c r="B40" s="93">
        <f>(B28-B30)</f>
        <v>0</v>
      </c>
      <c r="C40" s="93">
        <f t="shared" ref="C40:D40" si="3">(C28-C30)</f>
        <v>0</v>
      </c>
      <c r="D40" s="93">
        <f t="shared" si="3"/>
        <v>0</v>
      </c>
      <c r="E40" s="99">
        <f>+(B40+C40+D40)/(E13)</f>
        <v>0</v>
      </c>
    </row>
    <row r="41" spans="1:6" x14ac:dyDescent="0.3">
      <c r="A41" s="33" t="s">
        <v>74</v>
      </c>
      <c r="B41" s="93">
        <f>+(B29-B31)</f>
        <v>0</v>
      </c>
      <c r="C41" s="93">
        <f t="shared" ref="C41:D41" si="4">+(C29-C31)</f>
        <v>0</v>
      </c>
      <c r="D41" s="93">
        <f t="shared" si="4"/>
        <v>0</v>
      </c>
      <c r="E41" s="99">
        <f>+(B41+C41+D41)/(E13)</f>
        <v>0</v>
      </c>
    </row>
    <row r="42" spans="1:6" x14ac:dyDescent="0.3">
      <c r="A42" s="43" t="s">
        <v>75</v>
      </c>
      <c r="B42" s="178"/>
      <c r="C42" s="179"/>
      <c r="D42" s="100"/>
      <c r="E42" s="50"/>
      <c r="F42" s="65"/>
    </row>
    <row r="43" spans="1:6" x14ac:dyDescent="0.3">
      <c r="A43" s="35" t="s">
        <v>76</v>
      </c>
      <c r="B43" s="94" t="e">
        <f t="shared" ref="B43:E43" si="5">+B33/B32</f>
        <v>#DIV/0!</v>
      </c>
      <c r="C43" s="51" t="e">
        <f t="shared" si="5"/>
        <v>#DIV/0!</v>
      </c>
      <c r="D43" s="51" t="e">
        <f t="shared" si="5"/>
        <v>#DIV/0!</v>
      </c>
      <c r="E43" s="51" t="e">
        <f t="shared" si="5"/>
        <v>#DIV/0!</v>
      </c>
      <c r="F43" s="65"/>
    </row>
    <row r="44" spans="1:6" x14ac:dyDescent="0.3">
      <c r="A44" s="35" t="s">
        <v>77</v>
      </c>
      <c r="B44" s="95" t="e">
        <f t="shared" ref="B44:E44" si="6">+B33/B29</f>
        <v>#DIV/0!</v>
      </c>
      <c r="C44" s="52" t="e">
        <f t="shared" si="6"/>
        <v>#DIV/0!</v>
      </c>
      <c r="D44" s="52" t="e">
        <f t="shared" si="6"/>
        <v>#DIV/0!</v>
      </c>
      <c r="E44" s="52" t="e">
        <f t="shared" si="6"/>
        <v>#DIV/0!</v>
      </c>
      <c r="F44" s="65"/>
    </row>
    <row r="45" spans="1:6" ht="5.25" customHeight="1" x14ac:dyDescent="0.3">
      <c r="B45" s="45"/>
      <c r="C45" s="45"/>
      <c r="D45" s="45"/>
      <c r="E45" s="45"/>
      <c r="F45" s="65"/>
    </row>
    <row r="46" spans="1:6" x14ac:dyDescent="0.3">
      <c r="A46" s="174" t="s">
        <v>78</v>
      </c>
      <c r="B46" s="174"/>
      <c r="C46" s="174"/>
      <c r="D46" s="174"/>
      <c r="E46" s="174"/>
      <c r="F46" s="65"/>
    </row>
    <row r="47" spans="1:6" ht="4.5" customHeight="1" x14ac:dyDescent="0.3">
      <c r="C47" s="53"/>
      <c r="D47" s="53"/>
      <c r="E47" s="53"/>
      <c r="F47" s="65"/>
    </row>
    <row r="48" spans="1:6" ht="15.75" customHeight="1" x14ac:dyDescent="0.3">
      <c r="A48" s="175" t="s">
        <v>79</v>
      </c>
      <c r="B48" s="176">
        <f>+B15</f>
        <v>0</v>
      </c>
      <c r="C48" s="176"/>
      <c r="D48" s="176"/>
      <c r="E48" s="176"/>
      <c r="F48" s="65"/>
    </row>
    <row r="49" spans="1:7" ht="46.8" x14ac:dyDescent="0.3">
      <c r="A49" s="175"/>
      <c r="B49" s="54" t="s">
        <v>80</v>
      </c>
      <c r="C49" s="55" t="s">
        <v>52</v>
      </c>
      <c r="D49" s="182" t="s">
        <v>81</v>
      </c>
      <c r="E49" s="183"/>
      <c r="F49" s="65"/>
    </row>
    <row r="50" spans="1:7" x14ac:dyDescent="0.3">
      <c r="A50" s="56" t="s">
        <v>82</v>
      </c>
      <c r="B50" s="57">
        <v>2</v>
      </c>
      <c r="C50" s="58" t="e">
        <f>+E37</f>
        <v>#DIV/0!</v>
      </c>
      <c r="D50" s="181" t="e">
        <f>IF(C50&gt;=B50,"HABILITADO","NO HABILITADO")</f>
        <v>#DIV/0!</v>
      </c>
      <c r="E50" s="181"/>
      <c r="F50" s="65"/>
    </row>
    <row r="51" spans="1:7" x14ac:dyDescent="0.3">
      <c r="A51" s="56" t="s">
        <v>83</v>
      </c>
      <c r="B51" s="59">
        <v>0.5</v>
      </c>
      <c r="C51" s="60" t="e">
        <f>+E38</f>
        <v>#DIV/0!</v>
      </c>
      <c r="D51" s="181" t="e">
        <f>IF(C51&lt;=B51,"HABILITADO","NO HABILITADO")</f>
        <v>#DIV/0!</v>
      </c>
      <c r="E51" s="181"/>
      <c r="F51" s="65"/>
    </row>
    <row r="52" spans="1:7" x14ac:dyDescent="0.3">
      <c r="A52" s="56" t="s">
        <v>84</v>
      </c>
      <c r="B52" s="61">
        <v>1.5</v>
      </c>
      <c r="C52" s="58" t="str">
        <f>+E39</f>
        <v>INDETERMINADO</v>
      </c>
      <c r="D52" s="181" t="str">
        <f>+IF(C52=0,"HABILITADO",IF(C52&gt;=B52,"HABILITADO","NO HABILITADO"))</f>
        <v>HABILITADO</v>
      </c>
      <c r="E52" s="181"/>
      <c r="F52" s="65"/>
    </row>
    <row r="53" spans="1:7" x14ac:dyDescent="0.3">
      <c r="A53" s="35" t="s">
        <v>85</v>
      </c>
      <c r="B53" s="61">
        <v>0.57999999999999996</v>
      </c>
      <c r="C53" s="62">
        <f>+E40</f>
        <v>0</v>
      </c>
      <c r="D53" s="181" t="str">
        <f>IF(C53&gt;B53,"HABILITADO","NO HABILITADO")</f>
        <v>NO HABILITADO</v>
      </c>
      <c r="E53" s="181"/>
    </row>
    <row r="54" spans="1:7" x14ac:dyDescent="0.3">
      <c r="A54" s="35" t="s">
        <v>86</v>
      </c>
      <c r="B54" s="61">
        <v>0.24</v>
      </c>
      <c r="C54" s="62">
        <f>+E41</f>
        <v>0</v>
      </c>
      <c r="D54" s="181" t="str">
        <f>IF(C54&gt;B54,"HABILITADO","NO HABILITADO")</f>
        <v>NO HABILITADO</v>
      </c>
      <c r="E54" s="181"/>
      <c r="G54" s="101"/>
    </row>
    <row r="55" spans="1:7" x14ac:dyDescent="0.3">
      <c r="A55" s="56" t="s">
        <v>87</v>
      </c>
      <c r="B55" s="61">
        <v>0.15</v>
      </c>
      <c r="C55" s="58" t="e">
        <f>+E43</f>
        <v>#DIV/0!</v>
      </c>
      <c r="D55" s="181" t="e">
        <f>IF(C55&gt;=B55,"HABILITADO","NO HABILITADO")</f>
        <v>#DIV/0!</v>
      </c>
      <c r="E55" s="181"/>
      <c r="F55" s="65"/>
    </row>
    <row r="56" spans="1:7" x14ac:dyDescent="0.3">
      <c r="A56" s="56" t="s">
        <v>88</v>
      </c>
      <c r="B56" s="61">
        <v>7.0000000000000007E-2</v>
      </c>
      <c r="C56" s="58" t="e">
        <f>+E44</f>
        <v>#DIV/0!</v>
      </c>
      <c r="D56" s="181" t="e">
        <f>IF(C56&gt;=B56,"HABILITADO","NO HABILITADO")</f>
        <v>#DIV/0!</v>
      </c>
      <c r="E56" s="181"/>
      <c r="F56" s="65"/>
    </row>
    <row r="57" spans="1:7" ht="4.5" customHeight="1" x14ac:dyDescent="0.3">
      <c r="C57" s="53"/>
      <c r="D57" s="53"/>
      <c r="E57" s="53"/>
      <c r="F57" s="65"/>
    </row>
    <row r="58" spans="1:7" ht="15.75" customHeight="1" x14ac:dyDescent="0.3">
      <c r="A58" s="63" t="s">
        <v>89</v>
      </c>
      <c r="B58" s="184" t="e">
        <f>IF(+AND(D50="HABILITADO",D51="HABILITADO",D52="HABILITADO",D53="HABILITADO",D54="HABILITADO",D55="HABILITADO",D56="HABILITADO"),"HABILITADO","NO HABILITADO")</f>
        <v>#DIV/0!</v>
      </c>
      <c r="C58" s="184"/>
      <c r="D58" s="184"/>
      <c r="E58" s="184"/>
    </row>
    <row r="59" spans="1:7" ht="4.5" customHeight="1" x14ac:dyDescent="0.3">
      <c r="C59" s="53"/>
      <c r="D59" s="53"/>
      <c r="E59" s="53"/>
      <c r="F59" s="65"/>
    </row>
    <row r="60" spans="1:7" x14ac:dyDescent="0.3">
      <c r="A60" s="64" t="s">
        <v>90</v>
      </c>
      <c r="B60" s="65"/>
      <c r="C60"/>
      <c r="D60"/>
      <c r="E60"/>
    </row>
    <row r="61" spans="1:7" ht="4.5" customHeight="1" thickBot="1" x14ac:dyDescent="0.35">
      <c r="C61" s="53"/>
      <c r="D61" s="53"/>
      <c r="E61" s="53"/>
      <c r="F61" s="65"/>
    </row>
    <row r="62" spans="1:7" ht="33" customHeight="1" thickBot="1" x14ac:dyDescent="0.35">
      <c r="A62" s="164"/>
      <c r="B62" s="165"/>
      <c r="C62" s="165"/>
      <c r="D62" s="165"/>
      <c r="E62" s="166"/>
      <c r="F62" s="65"/>
    </row>
    <row r="63" spans="1:7" ht="16.2" thickBot="1" x14ac:dyDescent="0.35"/>
    <row r="64" spans="1:7" x14ac:dyDescent="0.3">
      <c r="A64" s="167" t="s">
        <v>40</v>
      </c>
      <c r="B64" s="168"/>
      <c r="C64" s="168"/>
      <c r="D64" s="168"/>
      <c r="E64" s="169"/>
    </row>
    <row r="65" spans="1:5" ht="60" customHeight="1" x14ac:dyDescent="0.3">
      <c r="A65"/>
      <c r="B65" s="66"/>
      <c r="C65" s="66"/>
      <c r="E65" s="67"/>
    </row>
    <row r="66" spans="1:5" ht="32.25" customHeight="1" thickBot="1" x14ac:dyDescent="0.35">
      <c r="A66" s="131" t="s">
        <v>91</v>
      </c>
      <c r="B66" s="132"/>
      <c r="C66" s="102"/>
      <c r="D66" s="132" t="s">
        <v>92</v>
      </c>
      <c r="E66" s="170"/>
    </row>
  </sheetData>
  <mergeCells count="26">
    <mergeCell ref="D56:E56"/>
    <mergeCell ref="B58:E58"/>
    <mergeCell ref="A62:E62"/>
    <mergeCell ref="A64:E64"/>
    <mergeCell ref="A66:B66"/>
    <mergeCell ref="D66:E66"/>
    <mergeCell ref="D55:E55"/>
    <mergeCell ref="A10:D10"/>
    <mergeCell ref="A13:D13"/>
    <mergeCell ref="B15:E15"/>
    <mergeCell ref="B42:C42"/>
    <mergeCell ref="A46:E46"/>
    <mergeCell ref="A48:A49"/>
    <mergeCell ref="B48:E48"/>
    <mergeCell ref="D49:E49"/>
    <mergeCell ref="D50:E50"/>
    <mergeCell ref="D51:E51"/>
    <mergeCell ref="D52:E52"/>
    <mergeCell ref="D53:E53"/>
    <mergeCell ref="D54:E54"/>
    <mergeCell ref="A9:D9"/>
    <mergeCell ref="A1:E1"/>
    <mergeCell ref="A3:E3"/>
    <mergeCell ref="A4:E4"/>
    <mergeCell ref="A6:E6"/>
    <mergeCell ref="A8:D8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EAC2C-AC64-4144-8FBF-72B4D56745D5}">
  <dimension ref="A1:H66"/>
  <sheetViews>
    <sheetView topLeftCell="A5" zoomScaleNormal="100" workbookViewId="0">
      <selection activeCell="A8" sqref="A8:E12"/>
    </sheetView>
  </sheetViews>
  <sheetFormatPr baseColWidth="10" defaultColWidth="11.44140625" defaultRowHeight="15.6" x14ac:dyDescent="0.3"/>
  <cols>
    <col min="1" max="1" width="39.33203125" style="23" customWidth="1"/>
    <col min="2" max="5" width="18.33203125" style="23" customWidth="1"/>
    <col min="6" max="6" width="24.109375" style="23" bestFit="1" customWidth="1"/>
    <col min="7" max="7" width="15.5546875" bestFit="1" customWidth="1"/>
  </cols>
  <sheetData>
    <row r="1" spans="1:7" ht="45" customHeight="1" x14ac:dyDescent="0.3">
      <c r="A1" s="153" t="s">
        <v>42</v>
      </c>
      <c r="B1" s="154"/>
      <c r="C1" s="154"/>
      <c r="D1" s="154"/>
      <c r="E1" s="154"/>
      <c r="F1" s="155"/>
      <c r="G1" s="65"/>
    </row>
    <row r="2" spans="1:7" ht="3" customHeight="1" x14ac:dyDescent="0.3">
      <c r="A2" s="16"/>
      <c r="B2" s="16"/>
      <c r="C2" s="16"/>
      <c r="D2" s="16"/>
      <c r="E2" s="16"/>
      <c r="F2" s="16"/>
      <c r="G2" s="65"/>
    </row>
    <row r="3" spans="1:7" ht="15.75" customHeight="1" x14ac:dyDescent="0.3">
      <c r="A3" s="156" t="str">
        <f>+'RESULTADOS FINAL'!A4</f>
        <v xml:space="preserve">PROCESO No. CM-DG-DAF-0003-2024 </v>
      </c>
      <c r="B3" s="157"/>
      <c r="C3" s="157"/>
      <c r="D3" s="157"/>
      <c r="E3" s="157"/>
      <c r="F3" s="158"/>
      <c r="G3" s="65"/>
    </row>
    <row r="4" spans="1:7" ht="72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  <c r="E4" s="159"/>
      <c r="F4" s="159"/>
      <c r="G4" s="65"/>
    </row>
    <row r="5" spans="1:7" ht="6" customHeight="1" x14ac:dyDescent="0.3">
      <c r="A5" s="17"/>
      <c r="B5" s="18"/>
      <c r="C5" s="19"/>
      <c r="D5" s="19"/>
      <c r="E5" s="19"/>
      <c r="F5" s="19"/>
      <c r="G5" s="65"/>
    </row>
    <row r="6" spans="1:7" x14ac:dyDescent="0.3">
      <c r="A6" s="160" t="s">
        <v>43</v>
      </c>
      <c r="B6" s="160"/>
      <c r="C6" s="160"/>
      <c r="D6" s="160"/>
      <c r="E6" s="160"/>
      <c r="F6" s="160"/>
      <c r="G6" s="65"/>
    </row>
    <row r="7" spans="1:7" ht="3.75" customHeight="1" x14ac:dyDescent="0.3">
      <c r="A7" s="18"/>
      <c r="B7" s="18"/>
      <c r="C7" s="19"/>
      <c r="D7" s="19"/>
      <c r="E7" s="19"/>
      <c r="F7" s="19"/>
      <c r="G7" s="65"/>
    </row>
    <row r="8" spans="1:7" x14ac:dyDescent="0.3">
      <c r="A8" s="152" t="s">
        <v>44</v>
      </c>
      <c r="B8" s="152"/>
      <c r="C8" s="152"/>
      <c r="D8" s="152"/>
      <c r="E8" s="180"/>
      <c r="F8" s="20">
        <v>482738680</v>
      </c>
      <c r="G8" s="65"/>
    </row>
    <row r="9" spans="1:7" x14ac:dyDescent="0.3">
      <c r="A9" s="152" t="s">
        <v>45</v>
      </c>
      <c r="B9" s="152"/>
      <c r="C9" s="152"/>
      <c r="D9" s="152"/>
      <c r="E9" s="180"/>
      <c r="F9" s="20">
        <v>237634335</v>
      </c>
      <c r="G9" s="65"/>
    </row>
    <row r="10" spans="1:7" x14ac:dyDescent="0.3">
      <c r="A10" s="152" t="s">
        <v>46</v>
      </c>
      <c r="B10" s="152"/>
      <c r="C10" s="152"/>
      <c r="D10" s="152"/>
      <c r="E10" s="180"/>
      <c r="F10" s="20">
        <v>237634335</v>
      </c>
      <c r="G10" s="65"/>
    </row>
    <row r="11" spans="1:7" x14ac:dyDescent="0.3">
      <c r="A11" s="109"/>
      <c r="B11" s="109"/>
      <c r="C11" s="109"/>
      <c r="D11" s="109"/>
      <c r="E11" s="109" t="s">
        <v>47</v>
      </c>
      <c r="F11" s="20">
        <v>482738680</v>
      </c>
      <c r="G11" s="65"/>
    </row>
    <row r="12" spans="1:7" x14ac:dyDescent="0.3">
      <c r="A12" s="109"/>
      <c r="B12" s="109"/>
      <c r="C12" s="109"/>
      <c r="D12" s="109"/>
      <c r="E12" s="109" t="s">
        <v>48</v>
      </c>
      <c r="F12" s="20">
        <v>482738680</v>
      </c>
      <c r="G12" s="65"/>
    </row>
    <row r="13" spans="1:7" x14ac:dyDescent="0.3">
      <c r="A13" s="152" t="s">
        <v>49</v>
      </c>
      <c r="B13" s="152"/>
      <c r="C13" s="152"/>
      <c r="D13" s="152"/>
      <c r="E13" s="180"/>
      <c r="F13" s="20">
        <f>+SUM(F8:F12)</f>
        <v>1923484710</v>
      </c>
      <c r="G13" s="65"/>
    </row>
    <row r="14" spans="1:7" ht="3.75" customHeight="1" x14ac:dyDescent="0.3">
      <c r="A14" s="21"/>
      <c r="B14" s="22"/>
      <c r="G14" s="65"/>
    </row>
    <row r="15" spans="1:7" x14ac:dyDescent="0.3">
      <c r="A15" s="24" t="s">
        <v>50</v>
      </c>
      <c r="B15" s="177"/>
      <c r="C15" s="177"/>
      <c r="D15" s="177"/>
      <c r="E15" s="177"/>
      <c r="F15" s="177"/>
      <c r="G15" s="65"/>
    </row>
    <row r="16" spans="1:7" ht="5.25" customHeight="1" x14ac:dyDescent="0.3">
      <c r="A16" s="25"/>
      <c r="B16" s="26"/>
      <c r="C16" s="26"/>
      <c r="D16" s="26"/>
      <c r="E16" s="26"/>
      <c r="F16" s="26"/>
      <c r="G16" s="65"/>
    </row>
    <row r="17" spans="1:7" x14ac:dyDescent="0.3">
      <c r="A17" s="27" t="s">
        <v>51</v>
      </c>
      <c r="B17" s="28"/>
      <c r="C17" s="28"/>
      <c r="D17" s="28"/>
      <c r="E17" s="28"/>
      <c r="F17" s="18"/>
      <c r="G17" s="65"/>
    </row>
    <row r="18" spans="1:7" ht="5.25" customHeight="1" x14ac:dyDescent="0.3">
      <c r="A18" s="29"/>
      <c r="B18" s="30"/>
      <c r="C18" s="30"/>
      <c r="D18" s="28"/>
      <c r="E18" s="28"/>
      <c r="F18" s="18"/>
      <c r="G18" s="65"/>
    </row>
    <row r="19" spans="1:7" ht="41.4" x14ac:dyDescent="0.3">
      <c r="A19" s="31" t="s">
        <v>7</v>
      </c>
      <c r="B19" s="103"/>
      <c r="C19" s="103"/>
      <c r="D19" s="103"/>
      <c r="E19" s="103"/>
      <c r="F19" s="32" t="s">
        <v>52</v>
      </c>
      <c r="G19" s="65"/>
    </row>
    <row r="20" spans="1:7" x14ac:dyDescent="0.3">
      <c r="A20" s="33" t="s">
        <v>53</v>
      </c>
      <c r="B20" s="87"/>
      <c r="C20" s="87"/>
      <c r="D20" s="87"/>
      <c r="E20" s="87"/>
      <c r="F20" s="34">
        <f>B20+C20+D20+E20</f>
        <v>0</v>
      </c>
      <c r="G20" s="65"/>
    </row>
    <row r="21" spans="1:7" x14ac:dyDescent="0.3">
      <c r="A21" s="35" t="s">
        <v>54</v>
      </c>
      <c r="B21" s="104"/>
      <c r="C21" s="104"/>
      <c r="D21" s="104"/>
      <c r="E21" s="104"/>
      <c r="F21" s="96"/>
      <c r="G21" s="65"/>
    </row>
    <row r="22" spans="1:7" x14ac:dyDescent="0.3">
      <c r="A22" s="37" t="s">
        <v>55</v>
      </c>
      <c r="B22" s="104"/>
      <c r="C22" s="70"/>
      <c r="D22" s="70"/>
      <c r="E22" s="70"/>
      <c r="F22" s="97"/>
      <c r="G22" s="65"/>
    </row>
    <row r="23" spans="1:7" x14ac:dyDescent="0.3">
      <c r="A23" s="35" t="s">
        <v>56</v>
      </c>
      <c r="B23" s="104"/>
      <c r="C23" s="71"/>
      <c r="D23" s="71"/>
      <c r="E23" s="71"/>
      <c r="F23" s="98"/>
      <c r="G23" s="65"/>
    </row>
    <row r="24" spans="1:7" x14ac:dyDescent="0.3">
      <c r="A24" s="35" t="s">
        <v>57</v>
      </c>
      <c r="B24" s="71"/>
      <c r="C24" s="71"/>
      <c r="D24" s="71"/>
      <c r="E24" s="71"/>
      <c r="F24" s="98"/>
      <c r="G24" s="65"/>
    </row>
    <row r="25" spans="1:7" x14ac:dyDescent="0.3">
      <c r="A25" s="35" t="s">
        <v>58</v>
      </c>
      <c r="B25" s="71"/>
      <c r="C25" s="71"/>
      <c r="D25" s="71"/>
      <c r="E25" s="71"/>
      <c r="F25" s="98"/>
      <c r="G25" s="65"/>
    </row>
    <row r="26" spans="1:7" ht="5.25" customHeight="1" x14ac:dyDescent="0.3">
      <c r="A26" s="40"/>
      <c r="B26" s="41"/>
      <c r="C26" s="88"/>
      <c r="D26" s="88"/>
      <c r="E26" s="88"/>
      <c r="F26" s="42"/>
      <c r="G26" s="65"/>
    </row>
    <row r="27" spans="1:7" x14ac:dyDescent="0.3">
      <c r="A27" s="43" t="s">
        <v>59</v>
      </c>
      <c r="B27" s="75" t="s">
        <v>60</v>
      </c>
      <c r="C27" s="75" t="s">
        <v>93</v>
      </c>
      <c r="D27" s="75" t="s">
        <v>95</v>
      </c>
      <c r="E27" s="75" t="s">
        <v>97</v>
      </c>
      <c r="F27" s="75" t="s">
        <v>98</v>
      </c>
      <c r="G27" s="65"/>
    </row>
    <row r="28" spans="1:7" x14ac:dyDescent="0.3">
      <c r="A28" s="35" t="s">
        <v>62</v>
      </c>
      <c r="B28" s="89"/>
      <c r="C28" s="44"/>
      <c r="D28" s="44"/>
      <c r="E28" s="44"/>
      <c r="F28" s="44">
        <f>(B28*$B$20)+(C28*$C$20)+(D28*$D$20)+(E28*$E$20)</f>
        <v>0</v>
      </c>
      <c r="G28" s="65"/>
    </row>
    <row r="29" spans="1:7" x14ac:dyDescent="0.3">
      <c r="A29" s="35" t="s">
        <v>63</v>
      </c>
      <c r="B29" s="89"/>
      <c r="C29" s="44"/>
      <c r="D29" s="44"/>
      <c r="E29" s="44"/>
      <c r="F29" s="44">
        <f t="shared" ref="F29" si="0">(B29*$B$20)+(C29*$C$20)+(D29*$D$20)+(E29*$E$20)</f>
        <v>0</v>
      </c>
      <c r="G29" s="65"/>
    </row>
    <row r="30" spans="1:7" x14ac:dyDescent="0.3">
      <c r="A30" s="35" t="s">
        <v>64</v>
      </c>
      <c r="B30" s="89"/>
      <c r="C30" s="44"/>
      <c r="D30" s="44"/>
      <c r="E30" s="44"/>
      <c r="F30" s="44">
        <f>(B30*$B$20)+(C30*$C$20)+(D30*$D$20)+(E30*$E$20)</f>
        <v>0</v>
      </c>
      <c r="G30" s="65"/>
    </row>
    <row r="31" spans="1:7" x14ac:dyDescent="0.3">
      <c r="A31" s="35" t="s">
        <v>65</v>
      </c>
      <c r="B31" s="89"/>
      <c r="C31" s="44"/>
      <c r="D31" s="44"/>
      <c r="E31" s="44"/>
      <c r="F31" s="44">
        <f>(B31*$B$20)+(C31*$C$20)+(D31*$D$20)+(E31*$E$20)</f>
        <v>0</v>
      </c>
      <c r="G31" s="65"/>
    </row>
    <row r="32" spans="1:7" x14ac:dyDescent="0.3">
      <c r="A32" s="35" t="s">
        <v>66</v>
      </c>
      <c r="B32" s="89"/>
      <c r="C32" s="44"/>
      <c r="D32" s="44"/>
      <c r="E32" s="44"/>
      <c r="F32" s="44">
        <f>(B32*$B$20)+(C32*$C$20)+(D32*$D$20)+(E32*$E$20)</f>
        <v>0</v>
      </c>
      <c r="G32" s="65"/>
    </row>
    <row r="33" spans="1:7" x14ac:dyDescent="0.3">
      <c r="A33" s="35" t="s">
        <v>67</v>
      </c>
      <c r="B33" s="89"/>
      <c r="C33" s="44"/>
      <c r="D33" s="44"/>
      <c r="E33" s="44"/>
      <c r="F33" s="44">
        <f>(B33*$B$20)+(C33*$C$20)+(D33*$D$20)+(E33*$E$20)</f>
        <v>0</v>
      </c>
      <c r="G33" s="65"/>
    </row>
    <row r="34" spans="1:7" x14ac:dyDescent="0.3">
      <c r="A34" s="35" t="s">
        <v>68</v>
      </c>
      <c r="B34" s="89"/>
      <c r="C34" s="44"/>
      <c r="D34" s="44"/>
      <c r="E34" s="44"/>
      <c r="F34" s="44">
        <f>(B34*$B$20)+(C34*$C$20)+(D34*$D$20)+(E34*$E$20)</f>
        <v>0</v>
      </c>
      <c r="G34" s="65"/>
    </row>
    <row r="35" spans="1:7" ht="3.75" customHeight="1" x14ac:dyDescent="0.3">
      <c r="B35" s="45"/>
      <c r="C35" s="45"/>
      <c r="D35" s="45"/>
      <c r="E35" s="45"/>
      <c r="F35" s="45"/>
      <c r="G35" s="65"/>
    </row>
    <row r="36" spans="1:7" x14ac:dyDescent="0.3">
      <c r="A36" s="43" t="s">
        <v>69</v>
      </c>
      <c r="B36" s="90"/>
      <c r="C36" s="46"/>
      <c r="D36" s="46"/>
      <c r="E36" s="46"/>
      <c r="F36" s="46"/>
      <c r="G36" s="65"/>
    </row>
    <row r="37" spans="1:7" x14ac:dyDescent="0.3">
      <c r="A37" s="35" t="s">
        <v>70</v>
      </c>
      <c r="B37" s="91" t="e">
        <f>+B28/B30</f>
        <v>#DIV/0!</v>
      </c>
      <c r="C37" s="91" t="e">
        <f t="shared" ref="C37:E37" si="1">+C28/C30</f>
        <v>#DIV/0!</v>
      </c>
      <c r="D37" s="91" t="e">
        <f t="shared" si="1"/>
        <v>#DIV/0!</v>
      </c>
      <c r="E37" s="91" t="e">
        <f t="shared" si="1"/>
        <v>#DIV/0!</v>
      </c>
      <c r="F37" s="47" t="e">
        <f>+F28/F30</f>
        <v>#DIV/0!</v>
      </c>
      <c r="G37" s="65"/>
    </row>
    <row r="38" spans="1:7" x14ac:dyDescent="0.3">
      <c r="A38" s="35" t="s">
        <v>71</v>
      </c>
      <c r="B38" s="92" t="e">
        <f>+B31/B29</f>
        <v>#DIV/0!</v>
      </c>
      <c r="C38" s="92" t="e">
        <f t="shared" ref="C38:E38" si="2">+C31/C29</f>
        <v>#DIV/0!</v>
      </c>
      <c r="D38" s="92" t="e">
        <f t="shared" si="2"/>
        <v>#DIV/0!</v>
      </c>
      <c r="E38" s="92" t="e">
        <f t="shared" si="2"/>
        <v>#DIV/0!</v>
      </c>
      <c r="F38" s="48" t="e">
        <f>+F31/F29</f>
        <v>#DIV/0!</v>
      </c>
      <c r="G38" s="65"/>
    </row>
    <row r="39" spans="1:7" x14ac:dyDescent="0.3">
      <c r="A39" s="35" t="s">
        <v>72</v>
      </c>
      <c r="B39" s="47" t="str">
        <f>+IFERROR(B33/B34,"INDETERMINADO")</f>
        <v>INDETERMINADO</v>
      </c>
      <c r="C39" s="47" t="str">
        <f>+IFERROR(C33/C34,"INDETERMINADO")</f>
        <v>INDETERMINADO</v>
      </c>
      <c r="D39" s="47" t="str">
        <f>+IFERROR(D33/D34,"INDETERMINADO")</f>
        <v>INDETERMINADO</v>
      </c>
      <c r="E39" s="47" t="str">
        <f>+IFERROR(E33/E34,"INDETERMINADO")</f>
        <v>INDETERMINADO</v>
      </c>
      <c r="F39" s="47" t="str">
        <f>+IFERROR(F33/F34,"INDETERMINADO")</f>
        <v>INDETERMINADO</v>
      </c>
      <c r="G39" s="65"/>
    </row>
    <row r="40" spans="1:7" x14ac:dyDescent="0.3">
      <c r="A40" s="33" t="s">
        <v>73</v>
      </c>
      <c r="B40" s="93">
        <f>(B28-B30)</f>
        <v>0</v>
      </c>
      <c r="C40" s="93">
        <f t="shared" ref="C40:E40" si="3">(C28-C30)</f>
        <v>0</v>
      </c>
      <c r="D40" s="93">
        <f t="shared" si="3"/>
        <v>0</v>
      </c>
      <c r="E40" s="93">
        <f t="shared" si="3"/>
        <v>0</v>
      </c>
      <c r="F40" s="99">
        <f>+(B40+C40+D40+E40)/($F$13)</f>
        <v>0</v>
      </c>
    </row>
    <row r="41" spans="1:7" x14ac:dyDescent="0.3">
      <c r="A41" s="33" t="s">
        <v>74</v>
      </c>
      <c r="B41" s="93">
        <f>+(B29-B31)</f>
        <v>0</v>
      </c>
      <c r="C41" s="93">
        <f t="shared" ref="C41:E41" si="4">+(C29-C31)</f>
        <v>0</v>
      </c>
      <c r="D41" s="93">
        <f t="shared" si="4"/>
        <v>0</v>
      </c>
      <c r="E41" s="93">
        <f t="shared" si="4"/>
        <v>0</v>
      </c>
      <c r="F41" s="99">
        <f>+(B41+C41+D41+E41)/($F$13)</f>
        <v>0</v>
      </c>
    </row>
    <row r="42" spans="1:7" x14ac:dyDescent="0.3">
      <c r="A42" s="43" t="s">
        <v>75</v>
      </c>
      <c r="B42" s="178"/>
      <c r="C42" s="179"/>
      <c r="D42" s="100"/>
      <c r="E42" s="100"/>
      <c r="F42" s="50"/>
      <c r="G42" s="65"/>
    </row>
    <row r="43" spans="1:7" x14ac:dyDescent="0.3">
      <c r="A43" s="35" t="s">
        <v>76</v>
      </c>
      <c r="B43" s="94" t="e">
        <f t="shared" ref="B43:F43" si="5">+B33/B32</f>
        <v>#DIV/0!</v>
      </c>
      <c r="C43" s="51" t="e">
        <f t="shared" si="5"/>
        <v>#DIV/0!</v>
      </c>
      <c r="D43" s="51" t="e">
        <f t="shared" si="5"/>
        <v>#DIV/0!</v>
      </c>
      <c r="E43" s="51" t="e">
        <f t="shared" si="5"/>
        <v>#DIV/0!</v>
      </c>
      <c r="F43" s="51" t="e">
        <f t="shared" si="5"/>
        <v>#DIV/0!</v>
      </c>
      <c r="G43" s="65"/>
    </row>
    <row r="44" spans="1:7" x14ac:dyDescent="0.3">
      <c r="A44" s="35" t="s">
        <v>77</v>
      </c>
      <c r="B44" s="95" t="e">
        <f t="shared" ref="B44:F44" si="6">+B33/B29</f>
        <v>#DIV/0!</v>
      </c>
      <c r="C44" s="52" t="e">
        <f t="shared" si="6"/>
        <v>#DIV/0!</v>
      </c>
      <c r="D44" s="52" t="e">
        <f t="shared" si="6"/>
        <v>#DIV/0!</v>
      </c>
      <c r="E44" s="52" t="e">
        <f t="shared" si="6"/>
        <v>#DIV/0!</v>
      </c>
      <c r="F44" s="52" t="e">
        <f t="shared" si="6"/>
        <v>#DIV/0!</v>
      </c>
      <c r="G44" s="65"/>
    </row>
    <row r="45" spans="1:7" ht="5.25" customHeight="1" x14ac:dyDescent="0.3">
      <c r="B45" s="45"/>
      <c r="C45" s="45"/>
      <c r="D45" s="45"/>
      <c r="E45" s="45"/>
      <c r="F45" s="45"/>
      <c r="G45" s="65"/>
    </row>
    <row r="46" spans="1:7" x14ac:dyDescent="0.3">
      <c r="A46" s="174" t="s">
        <v>78</v>
      </c>
      <c r="B46" s="174"/>
      <c r="C46" s="174"/>
      <c r="D46" s="174"/>
      <c r="E46" s="174"/>
      <c r="F46" s="174"/>
      <c r="G46" s="65"/>
    </row>
    <row r="47" spans="1:7" ht="4.5" customHeight="1" x14ac:dyDescent="0.3">
      <c r="C47" s="53"/>
      <c r="D47" s="53"/>
      <c r="E47" s="53"/>
      <c r="F47" s="53"/>
      <c r="G47" s="65"/>
    </row>
    <row r="48" spans="1:7" ht="15.75" customHeight="1" x14ac:dyDescent="0.3">
      <c r="A48" s="175" t="s">
        <v>79</v>
      </c>
      <c r="B48" s="176">
        <f>+B15</f>
        <v>0</v>
      </c>
      <c r="C48" s="176"/>
      <c r="D48" s="176"/>
      <c r="E48" s="176"/>
      <c r="F48" s="176"/>
      <c r="G48" s="65"/>
    </row>
    <row r="49" spans="1:8" ht="46.8" x14ac:dyDescent="0.3">
      <c r="A49" s="175"/>
      <c r="B49" s="54" t="s">
        <v>80</v>
      </c>
      <c r="C49" s="55" t="s">
        <v>52</v>
      </c>
      <c r="D49" s="182" t="s">
        <v>81</v>
      </c>
      <c r="E49" s="188"/>
      <c r="F49" s="183"/>
      <c r="G49" s="65"/>
    </row>
    <row r="50" spans="1:8" x14ac:dyDescent="0.3">
      <c r="A50" s="56" t="s">
        <v>82</v>
      </c>
      <c r="B50" s="57">
        <v>2</v>
      </c>
      <c r="C50" s="58" t="e">
        <f>+F37</f>
        <v>#DIV/0!</v>
      </c>
      <c r="D50" s="185" t="e">
        <f>IF(C50&gt;=B50,"HABILITADO","NO HABILITADO")</f>
        <v>#DIV/0!</v>
      </c>
      <c r="E50" s="186"/>
      <c r="F50" s="187"/>
      <c r="G50" s="65"/>
    </row>
    <row r="51" spans="1:8" x14ac:dyDescent="0.3">
      <c r="A51" s="56" t="s">
        <v>83</v>
      </c>
      <c r="B51" s="59">
        <v>0.5</v>
      </c>
      <c r="C51" s="60" t="e">
        <f>+F38</f>
        <v>#DIV/0!</v>
      </c>
      <c r="D51" s="185" t="e">
        <f>IF(C51&lt;=B51,"HABILITADO","NO HABILITADO")</f>
        <v>#DIV/0!</v>
      </c>
      <c r="E51" s="186"/>
      <c r="F51" s="187"/>
      <c r="G51" s="65"/>
    </row>
    <row r="52" spans="1:8" x14ac:dyDescent="0.3">
      <c r="A52" s="56" t="s">
        <v>84</v>
      </c>
      <c r="B52" s="61">
        <v>1.5</v>
      </c>
      <c r="C52" s="58" t="str">
        <f>+F39</f>
        <v>INDETERMINADO</v>
      </c>
      <c r="D52" s="185" t="str">
        <f>+IF(C52=0,"HABILITADO",IF(C52&gt;=B52,"HABILITADO","NO HABILITADO"))</f>
        <v>HABILITADO</v>
      </c>
      <c r="E52" s="186"/>
      <c r="F52" s="187"/>
      <c r="G52" s="65"/>
    </row>
    <row r="53" spans="1:8" x14ac:dyDescent="0.3">
      <c r="A53" s="35" t="s">
        <v>85</v>
      </c>
      <c r="B53" s="61">
        <v>0.57999999999999996</v>
      </c>
      <c r="C53" s="62">
        <f>+F40</f>
        <v>0</v>
      </c>
      <c r="D53" s="185" t="str">
        <f>IF(C53&gt;B53,"HABILITADO","NO HABILITADO")</f>
        <v>NO HABILITADO</v>
      </c>
      <c r="E53" s="186"/>
      <c r="F53" s="187"/>
    </row>
    <row r="54" spans="1:8" x14ac:dyDescent="0.3">
      <c r="A54" s="35" t="s">
        <v>86</v>
      </c>
      <c r="B54" s="61">
        <v>0.24</v>
      </c>
      <c r="C54" s="62">
        <f>+F41</f>
        <v>0</v>
      </c>
      <c r="D54" s="185" t="str">
        <f>IF(C54&gt;B54,"HABILITADO","NO HABILITADO")</f>
        <v>NO HABILITADO</v>
      </c>
      <c r="E54" s="186"/>
      <c r="F54" s="187"/>
      <c r="H54" s="101"/>
    </row>
    <row r="55" spans="1:8" x14ac:dyDescent="0.3">
      <c r="A55" s="56" t="s">
        <v>87</v>
      </c>
      <c r="B55" s="61">
        <v>0.15</v>
      </c>
      <c r="C55" s="58" t="e">
        <f>+F43</f>
        <v>#DIV/0!</v>
      </c>
      <c r="D55" s="185" t="e">
        <f>IF(C55&gt;=B55,"HABILITADO","NO HABILITADO")</f>
        <v>#DIV/0!</v>
      </c>
      <c r="E55" s="186"/>
      <c r="F55" s="187"/>
      <c r="G55" s="65"/>
    </row>
    <row r="56" spans="1:8" x14ac:dyDescent="0.3">
      <c r="A56" s="56" t="s">
        <v>88</v>
      </c>
      <c r="B56" s="61">
        <v>7.0000000000000007E-2</v>
      </c>
      <c r="C56" s="58" t="e">
        <f>+F44</f>
        <v>#DIV/0!</v>
      </c>
      <c r="D56" s="185" t="e">
        <f>IF(C56&gt;=B56,"HABILITADO","NO HABILITADO")</f>
        <v>#DIV/0!</v>
      </c>
      <c r="E56" s="186"/>
      <c r="F56" s="187"/>
      <c r="G56" s="65"/>
    </row>
    <row r="57" spans="1:8" ht="4.5" customHeight="1" x14ac:dyDescent="0.3">
      <c r="C57" s="53"/>
      <c r="D57" s="53"/>
      <c r="E57" s="53"/>
      <c r="F57" s="53"/>
      <c r="G57" s="65"/>
    </row>
    <row r="58" spans="1:8" ht="15.75" customHeight="1" x14ac:dyDescent="0.3">
      <c r="A58" s="63" t="s">
        <v>89</v>
      </c>
      <c r="B58" s="184" t="e">
        <f>IF(+AND(D50="HABILITADO",D51="HABILITADO",D52="HABILITADO",D53="HABILITADO",D54="HABILITADO",D55="HABILITADO",D56="HABILITADO"),"HABILITADO","NO HABILITADO")</f>
        <v>#DIV/0!</v>
      </c>
      <c r="C58" s="184"/>
      <c r="D58" s="184"/>
      <c r="E58" s="184"/>
      <c r="F58" s="184"/>
    </row>
    <row r="59" spans="1:8" ht="4.5" customHeight="1" x14ac:dyDescent="0.3">
      <c r="C59" s="53"/>
      <c r="D59" s="53"/>
      <c r="E59" s="53"/>
      <c r="F59" s="53"/>
      <c r="G59" s="65"/>
    </row>
    <row r="60" spans="1:8" x14ac:dyDescent="0.3">
      <c r="A60" s="64" t="s">
        <v>90</v>
      </c>
      <c r="B60" s="65"/>
      <c r="C60"/>
      <c r="D60"/>
      <c r="E60"/>
      <c r="F60"/>
    </row>
    <row r="61" spans="1:8" ht="4.5" customHeight="1" thickBot="1" x14ac:dyDescent="0.35">
      <c r="C61" s="53"/>
      <c r="D61" s="53"/>
      <c r="E61" s="53"/>
      <c r="F61" s="53"/>
      <c r="G61" s="65"/>
    </row>
    <row r="62" spans="1:8" ht="33" customHeight="1" thickBot="1" x14ac:dyDescent="0.35">
      <c r="A62" s="164"/>
      <c r="B62" s="165"/>
      <c r="C62" s="165"/>
      <c r="D62" s="165"/>
      <c r="E62" s="165"/>
      <c r="F62" s="166"/>
      <c r="G62" s="65"/>
    </row>
    <row r="63" spans="1:8" ht="16.2" thickBot="1" x14ac:dyDescent="0.35"/>
    <row r="64" spans="1:8" x14ac:dyDescent="0.3">
      <c r="A64" s="167" t="s">
        <v>40</v>
      </c>
      <c r="B64" s="168"/>
      <c r="C64" s="168"/>
      <c r="D64" s="168"/>
      <c r="E64" s="168"/>
      <c r="F64" s="169"/>
    </row>
    <row r="65" spans="1:6" ht="60" customHeight="1" x14ac:dyDescent="0.3">
      <c r="A65"/>
      <c r="B65" s="66"/>
      <c r="C65" s="66"/>
      <c r="F65" s="67"/>
    </row>
    <row r="66" spans="1:6" ht="32.25" customHeight="1" thickBot="1" x14ac:dyDescent="0.35">
      <c r="A66" s="131" t="s">
        <v>91</v>
      </c>
      <c r="B66" s="132"/>
      <c r="C66" s="102"/>
      <c r="D66" s="132" t="s">
        <v>92</v>
      </c>
      <c r="E66" s="132"/>
      <c r="F66" s="170"/>
    </row>
  </sheetData>
  <mergeCells count="26">
    <mergeCell ref="D56:F56"/>
    <mergeCell ref="B58:F58"/>
    <mergeCell ref="A62:F62"/>
    <mergeCell ref="A64:F64"/>
    <mergeCell ref="A66:B66"/>
    <mergeCell ref="D66:F66"/>
    <mergeCell ref="D55:F55"/>
    <mergeCell ref="A10:E10"/>
    <mergeCell ref="A13:E13"/>
    <mergeCell ref="B15:F15"/>
    <mergeCell ref="B42:C42"/>
    <mergeCell ref="A46:F46"/>
    <mergeCell ref="A48:A49"/>
    <mergeCell ref="B48:F48"/>
    <mergeCell ref="D49:F49"/>
    <mergeCell ref="D50:F50"/>
    <mergeCell ref="D51:F51"/>
    <mergeCell ref="D52:F52"/>
    <mergeCell ref="D53:F53"/>
    <mergeCell ref="D54:F54"/>
    <mergeCell ref="A9:E9"/>
    <mergeCell ref="A1:F1"/>
    <mergeCell ref="A3:F3"/>
    <mergeCell ref="A4:F4"/>
    <mergeCell ref="A6:F6"/>
    <mergeCell ref="A8:E8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F17C-2B5E-4ACF-9EF9-54632274172E}">
  <dimension ref="A1:D63"/>
  <sheetViews>
    <sheetView topLeftCell="A51" zoomScaleNormal="100" workbookViewId="0">
      <selection activeCell="A61" sqref="A61:D63"/>
    </sheetView>
  </sheetViews>
  <sheetFormatPr baseColWidth="10" defaultColWidth="11.44140625" defaultRowHeight="15.6" x14ac:dyDescent="0.3"/>
  <cols>
    <col min="1" max="1" width="44.88671875" style="23" customWidth="1"/>
    <col min="2" max="2" width="23.44140625" style="23" customWidth="1"/>
    <col min="3" max="3" width="24.8867187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93.75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45</v>
      </c>
      <c r="B8" s="152"/>
      <c r="C8" s="152"/>
      <c r="D8" s="20">
        <v>237634335</v>
      </c>
    </row>
    <row r="9" spans="1:4" x14ac:dyDescent="0.3">
      <c r="A9" s="152" t="s">
        <v>46</v>
      </c>
      <c r="B9" s="152"/>
      <c r="C9" s="152"/>
      <c r="D9" s="20">
        <v>237634335</v>
      </c>
    </row>
    <row r="10" spans="1:4" x14ac:dyDescent="0.3">
      <c r="A10" s="152" t="s">
        <v>49</v>
      </c>
      <c r="B10" s="152"/>
      <c r="C10" s="152"/>
      <c r="D10" s="20">
        <f>+SUM(D8:D9)</f>
        <v>475268670</v>
      </c>
    </row>
    <row r="11" spans="1:4" ht="3.75" customHeight="1" x14ac:dyDescent="0.3">
      <c r="A11" s="21"/>
      <c r="B11" s="22"/>
    </row>
    <row r="12" spans="1:4" x14ac:dyDescent="0.3">
      <c r="A12" s="24" t="s">
        <v>99</v>
      </c>
      <c r="B12" s="171" t="str">
        <f>+'RESULTADOS FINAL'!B11</f>
        <v>INGENIERIA MASTER S.A.S.</v>
      </c>
      <c r="C12" s="172"/>
      <c r="D12" s="173"/>
    </row>
    <row r="13" spans="1:4" ht="5.25" customHeight="1" x14ac:dyDescent="0.3">
      <c r="A13" s="25"/>
      <c r="B13" s="26"/>
      <c r="C13" s="26"/>
      <c r="D13" s="26"/>
    </row>
    <row r="14" spans="1:4" x14ac:dyDescent="0.3">
      <c r="A14" s="27" t="s">
        <v>51</v>
      </c>
      <c r="B14" s="28"/>
      <c r="C14" s="28"/>
      <c r="D14" s="18"/>
    </row>
    <row r="15" spans="1:4" ht="5.25" customHeight="1" x14ac:dyDescent="0.3">
      <c r="A15" s="29"/>
      <c r="B15" s="30"/>
      <c r="C15" s="30"/>
      <c r="D15" s="18"/>
    </row>
    <row r="16" spans="1:4" ht="41.4" x14ac:dyDescent="0.3">
      <c r="A16" s="31" t="s">
        <v>7</v>
      </c>
      <c r="B16" s="72" t="str">
        <f>+B12</f>
        <v>INGENIERIA MASTER S.A.S.</v>
      </c>
      <c r="C16" s="32" t="s">
        <v>52</v>
      </c>
      <c r="D16"/>
    </row>
    <row r="17" spans="1:4" x14ac:dyDescent="0.3">
      <c r="A17" s="33" t="s">
        <v>53</v>
      </c>
      <c r="B17" s="73">
        <v>1</v>
      </c>
      <c r="C17" s="34">
        <f>+B17</f>
        <v>1</v>
      </c>
      <c r="D17"/>
    </row>
    <row r="18" spans="1:4" x14ac:dyDescent="0.3">
      <c r="A18" s="35" t="s">
        <v>54</v>
      </c>
      <c r="B18" s="69" t="s">
        <v>100</v>
      </c>
      <c r="C18" s="36"/>
      <c r="D18"/>
    </row>
    <row r="19" spans="1:4" x14ac:dyDescent="0.3">
      <c r="A19" s="37" t="s">
        <v>55</v>
      </c>
      <c r="B19" s="70" t="s">
        <v>101</v>
      </c>
      <c r="C19" s="38"/>
      <c r="D19"/>
    </row>
    <row r="20" spans="1:4" x14ac:dyDescent="0.3">
      <c r="A20" s="35" t="s">
        <v>56</v>
      </c>
      <c r="B20" s="71">
        <v>45839</v>
      </c>
      <c r="C20" s="39"/>
      <c r="D20"/>
    </row>
    <row r="21" spans="1:4" x14ac:dyDescent="0.3">
      <c r="A21" s="35" t="s">
        <v>57</v>
      </c>
      <c r="B21" s="71" t="s">
        <v>102</v>
      </c>
      <c r="C21" s="39"/>
      <c r="D21"/>
    </row>
    <row r="22" spans="1:4" x14ac:dyDescent="0.3">
      <c r="A22" s="35" t="s">
        <v>58</v>
      </c>
      <c r="B22" s="71" t="s">
        <v>103</v>
      </c>
      <c r="C22" s="39"/>
      <c r="D22"/>
    </row>
    <row r="23" spans="1:4" ht="5.25" customHeight="1" x14ac:dyDescent="0.3">
      <c r="A23" s="40"/>
      <c r="B23" s="41"/>
      <c r="C23" s="42"/>
      <c r="D23"/>
    </row>
    <row r="24" spans="1:4" x14ac:dyDescent="0.3">
      <c r="A24" s="43" t="s">
        <v>59</v>
      </c>
      <c r="B24" s="85" t="s">
        <v>60</v>
      </c>
      <c r="C24" s="75" t="s">
        <v>61</v>
      </c>
      <c r="D24"/>
    </row>
    <row r="25" spans="1:4" x14ac:dyDescent="0.3">
      <c r="A25" s="35" t="s">
        <v>62</v>
      </c>
      <c r="B25" s="76">
        <v>12384954953</v>
      </c>
      <c r="C25" s="44">
        <f>(B25*$B$17)</f>
        <v>12384954953</v>
      </c>
      <c r="D25"/>
    </row>
    <row r="26" spans="1:4" x14ac:dyDescent="0.3">
      <c r="A26" s="35" t="s">
        <v>63</v>
      </c>
      <c r="B26" s="76">
        <v>13164980456</v>
      </c>
      <c r="C26" s="44">
        <f t="shared" ref="C26:C31" si="0">(B26*$B$17)</f>
        <v>13164980456</v>
      </c>
      <c r="D26"/>
    </row>
    <row r="27" spans="1:4" x14ac:dyDescent="0.3">
      <c r="A27" s="35" t="s">
        <v>64</v>
      </c>
      <c r="B27" s="76">
        <v>2212621574</v>
      </c>
      <c r="C27" s="44">
        <f t="shared" si="0"/>
        <v>2212621574</v>
      </c>
      <c r="D27"/>
    </row>
    <row r="28" spans="1:4" x14ac:dyDescent="0.3">
      <c r="A28" s="35" t="s">
        <v>65</v>
      </c>
      <c r="B28" s="76">
        <v>2249703074</v>
      </c>
      <c r="C28" s="44">
        <f t="shared" si="0"/>
        <v>2249703074</v>
      </c>
      <c r="D28"/>
    </row>
    <row r="29" spans="1:4" x14ac:dyDescent="0.3">
      <c r="A29" s="35" t="s">
        <v>66</v>
      </c>
      <c r="B29" s="76">
        <v>10915277381</v>
      </c>
      <c r="C29" s="44">
        <f t="shared" si="0"/>
        <v>10915277381</v>
      </c>
      <c r="D29"/>
    </row>
    <row r="30" spans="1:4" x14ac:dyDescent="0.3">
      <c r="A30" s="35" t="s">
        <v>67</v>
      </c>
      <c r="B30" s="76">
        <v>3026779158</v>
      </c>
      <c r="C30" s="44">
        <f t="shared" si="0"/>
        <v>3026779158</v>
      </c>
      <c r="D30"/>
    </row>
    <row r="31" spans="1:4" x14ac:dyDescent="0.3">
      <c r="A31" s="35" t="s">
        <v>68</v>
      </c>
      <c r="B31" s="76">
        <v>0</v>
      </c>
      <c r="C31" s="44">
        <f t="shared" si="0"/>
        <v>0</v>
      </c>
      <c r="D31"/>
    </row>
    <row r="32" spans="1:4" ht="3.75" customHeight="1" x14ac:dyDescent="0.3">
      <c r="B32" s="45"/>
      <c r="C32" s="45"/>
      <c r="D32"/>
    </row>
    <row r="33" spans="1:4" x14ac:dyDescent="0.3">
      <c r="A33" s="43" t="s">
        <v>69</v>
      </c>
      <c r="B33" s="77"/>
      <c r="C33" s="46"/>
      <c r="D33"/>
    </row>
    <row r="34" spans="1:4" x14ac:dyDescent="0.3">
      <c r="A34" s="35" t="s">
        <v>70</v>
      </c>
      <c r="B34" s="78">
        <f>+B25/B27</f>
        <v>5.5974121822424205</v>
      </c>
      <c r="C34" s="47">
        <f>+C25/C27</f>
        <v>5.5974121822424205</v>
      </c>
      <c r="D34"/>
    </row>
    <row r="35" spans="1:4" x14ac:dyDescent="0.3">
      <c r="A35" s="35" t="s">
        <v>71</v>
      </c>
      <c r="B35" s="79">
        <f>+B28/B26</f>
        <v>0.17088540932658108</v>
      </c>
      <c r="C35" s="48">
        <f>+C28/C26</f>
        <v>0.17088540932658108</v>
      </c>
      <c r="D35"/>
    </row>
    <row r="36" spans="1:4" x14ac:dyDescent="0.3">
      <c r="A36" s="35" t="s">
        <v>72</v>
      </c>
      <c r="B36" s="78" t="str">
        <f>+IFERROR(B30/B31,"INDETERMINADO")</f>
        <v>INDETERMINADO</v>
      </c>
      <c r="C36" s="47" t="str">
        <f>+IFERROR(C30/C31,"INDETERMINADO")</f>
        <v>INDETERMINADO</v>
      </c>
      <c r="D36"/>
    </row>
    <row r="37" spans="1:4" x14ac:dyDescent="0.3">
      <c r="A37" s="33" t="s">
        <v>73</v>
      </c>
      <c r="B37" s="80">
        <f>(B25-B27)</f>
        <v>10172333379</v>
      </c>
      <c r="C37" s="49">
        <f>+(B37)/D10</f>
        <v>21.403332517163399</v>
      </c>
      <c r="D37"/>
    </row>
    <row r="38" spans="1:4" x14ac:dyDescent="0.3">
      <c r="A38" s="33" t="s">
        <v>74</v>
      </c>
      <c r="B38" s="80">
        <f>+(B26-B28)</f>
        <v>10915277382</v>
      </c>
      <c r="C38" s="49">
        <f>+(B38)/D10</f>
        <v>22.96654097144674</v>
      </c>
      <c r="D38"/>
    </row>
    <row r="39" spans="1:4" x14ac:dyDescent="0.3">
      <c r="A39" s="43" t="s">
        <v>75</v>
      </c>
      <c r="B39" s="81"/>
      <c r="C39" s="50"/>
      <c r="D39"/>
    </row>
    <row r="40" spans="1:4" x14ac:dyDescent="0.3">
      <c r="A40" s="35" t="s">
        <v>76</v>
      </c>
      <c r="B40" s="82">
        <f t="shared" ref="B40" si="1">+B30/B29</f>
        <v>0.27729750260571961</v>
      </c>
      <c r="C40" s="51">
        <f>+C30/C29</f>
        <v>0.27729750260571961</v>
      </c>
      <c r="D40"/>
    </row>
    <row r="41" spans="1:4" x14ac:dyDescent="0.3">
      <c r="A41" s="35" t="s">
        <v>77</v>
      </c>
      <c r="B41" s="83">
        <f t="shared" ref="B41" si="2">+B30/B26</f>
        <v>0.22991140534663929</v>
      </c>
      <c r="C41" s="52">
        <f>+C30/C26</f>
        <v>0.22991140534663929</v>
      </c>
      <c r="D41"/>
    </row>
    <row r="42" spans="1:4" ht="5.25" customHeight="1" x14ac:dyDescent="0.3">
      <c r="B42" s="45"/>
      <c r="C42" s="45"/>
      <c r="D42" s="45"/>
    </row>
    <row r="43" spans="1:4" x14ac:dyDescent="0.3">
      <c r="A43" s="174" t="s">
        <v>78</v>
      </c>
      <c r="B43" s="174"/>
      <c r="C43" s="174"/>
      <c r="D43" s="174"/>
    </row>
    <row r="44" spans="1:4" ht="4.5" customHeight="1" x14ac:dyDescent="0.3">
      <c r="C44" s="53"/>
      <c r="D44" s="53"/>
    </row>
    <row r="45" spans="1:4" ht="15.75" customHeight="1" x14ac:dyDescent="0.3">
      <c r="A45" s="175" t="s">
        <v>79</v>
      </c>
      <c r="B45" s="176" t="str">
        <f>+B12</f>
        <v>INGENIERIA MASTER S.A.S.</v>
      </c>
      <c r="C45" s="176"/>
      <c r="D45" s="176"/>
    </row>
    <row r="46" spans="1:4" ht="46.8" x14ac:dyDescent="0.3">
      <c r="A46" s="175"/>
      <c r="B46" s="54" t="s">
        <v>80</v>
      </c>
      <c r="C46" s="55" t="s">
        <v>52</v>
      </c>
      <c r="D46" s="55" t="s">
        <v>81</v>
      </c>
    </row>
    <row r="47" spans="1:4" x14ac:dyDescent="0.3">
      <c r="A47" s="56" t="s">
        <v>82</v>
      </c>
      <c r="B47" s="57">
        <v>2</v>
      </c>
      <c r="C47" s="58">
        <f>+C34</f>
        <v>5.5974121822424205</v>
      </c>
      <c r="D47" s="74" t="str">
        <f>IF(C47&gt;=B47,"HABILITADO","NO HABILITADO")</f>
        <v>HABILITADO</v>
      </c>
    </row>
    <row r="48" spans="1:4" x14ac:dyDescent="0.3">
      <c r="A48" s="56" t="s">
        <v>83</v>
      </c>
      <c r="B48" s="59">
        <v>0.5</v>
      </c>
      <c r="C48" s="60">
        <f>+C35</f>
        <v>0.17088540932658108</v>
      </c>
      <c r="D48" s="74" t="str">
        <f>IF(C48&lt;=B48,"HABILITADO","NO HABILITADO")</f>
        <v>HABILITADO</v>
      </c>
    </row>
    <row r="49" spans="1:4" x14ac:dyDescent="0.3">
      <c r="A49" s="56" t="s">
        <v>84</v>
      </c>
      <c r="B49" s="61">
        <v>1.5</v>
      </c>
      <c r="C49" s="58" t="str">
        <f>+C36</f>
        <v>INDETERMINADO</v>
      </c>
      <c r="D49" s="74" t="str">
        <f>+IF(C49=0,"HABILITADO",IF(C49&gt;=B49,"HABILITADO","NO HABILITADO"))</f>
        <v>HABILITADO</v>
      </c>
    </row>
    <row r="50" spans="1:4" x14ac:dyDescent="0.3">
      <c r="A50" s="35" t="s">
        <v>85</v>
      </c>
      <c r="B50" s="61">
        <v>0.57999999999999996</v>
      </c>
      <c r="C50" s="62">
        <f>+C37</f>
        <v>21.403332517163399</v>
      </c>
      <c r="D50" s="74" t="str">
        <f>IF(C50&gt;B50,"HABILITADO","NO HABILITADO")</f>
        <v>HABILITADO</v>
      </c>
    </row>
    <row r="51" spans="1:4" x14ac:dyDescent="0.3">
      <c r="A51" s="35" t="s">
        <v>86</v>
      </c>
      <c r="B51" s="61">
        <v>0.24</v>
      </c>
      <c r="C51" s="62">
        <f>+C38</f>
        <v>22.96654097144674</v>
      </c>
      <c r="D51" s="74" t="str">
        <f>IF(C51&gt;B51,"HABILITADO","NO HABILITADO")</f>
        <v>HABILITADO</v>
      </c>
    </row>
    <row r="52" spans="1:4" x14ac:dyDescent="0.3">
      <c r="A52" s="56" t="s">
        <v>87</v>
      </c>
      <c r="B52" s="61">
        <v>0.1</v>
      </c>
      <c r="C52" s="58">
        <f>+C40</f>
        <v>0.27729750260571961</v>
      </c>
      <c r="D52" s="74" t="str">
        <f>IF(C52&gt;=B52,"HABILITADO","NO HABILITADO")</f>
        <v>HABILITADO</v>
      </c>
    </row>
    <row r="53" spans="1:4" x14ac:dyDescent="0.3">
      <c r="A53" s="56" t="s">
        <v>88</v>
      </c>
      <c r="B53" s="61">
        <v>0.05</v>
      </c>
      <c r="C53" s="58">
        <f>+C41</f>
        <v>0.22991140534663929</v>
      </c>
      <c r="D53" s="74" t="str">
        <f>IF(C53&gt;=B53,"HABILITADO","NO HABILITADO")</f>
        <v>HABILITADO</v>
      </c>
    </row>
    <row r="54" spans="1:4" ht="4.5" customHeight="1" x14ac:dyDescent="0.3">
      <c r="C54" s="53"/>
      <c r="D54" s="53"/>
    </row>
    <row r="55" spans="1:4" ht="15.75" customHeight="1" x14ac:dyDescent="0.3">
      <c r="A55" s="63" t="s">
        <v>89</v>
      </c>
      <c r="B55" s="161" t="str">
        <f>IF(+AND(D47="HABILITADO",D48="HABILITADO",D49="HABILITADO",D50="HABILITADO",D51="HABILITADO",D52="HABILITADO",D53="HABILITADO"),"HABILITADO","NO HABILITADO")</f>
        <v>HABILITADO</v>
      </c>
      <c r="C55" s="162"/>
      <c r="D55" s="163"/>
    </row>
    <row r="56" spans="1:4" ht="4.5" customHeight="1" x14ac:dyDescent="0.3">
      <c r="C56" s="53"/>
      <c r="D56" s="53"/>
    </row>
    <row r="57" spans="1:4" x14ac:dyDescent="0.3">
      <c r="A57" s="64" t="s">
        <v>90</v>
      </c>
      <c r="B57" s="65"/>
      <c r="C57"/>
      <c r="D57"/>
    </row>
    <row r="58" spans="1:4" ht="4.5" customHeight="1" thickBot="1" x14ac:dyDescent="0.35">
      <c r="C58" s="53"/>
      <c r="D58" s="53"/>
    </row>
    <row r="59" spans="1:4" ht="33" customHeight="1" thickBot="1" x14ac:dyDescent="0.35">
      <c r="A59" s="164"/>
      <c r="B59" s="165"/>
      <c r="C59" s="165"/>
      <c r="D59" s="166"/>
    </row>
    <row r="60" spans="1:4" ht="16.2" thickBot="1" x14ac:dyDescent="0.35"/>
    <row r="61" spans="1:4" x14ac:dyDescent="0.3">
      <c r="A61" s="167" t="s">
        <v>40</v>
      </c>
      <c r="B61" s="168"/>
      <c r="C61" s="168"/>
      <c r="D61" s="169"/>
    </row>
    <row r="62" spans="1:4" ht="60" customHeight="1" x14ac:dyDescent="0.3">
      <c r="A62" s="120"/>
      <c r="B62" s="66"/>
      <c r="C62" s="66"/>
      <c r="D62" s="67"/>
    </row>
    <row r="63" spans="1:4" ht="32.25" customHeight="1" thickBot="1" x14ac:dyDescent="0.35">
      <c r="A63" s="84" t="s">
        <v>41</v>
      </c>
      <c r="B63" s="68"/>
      <c r="C63" s="132" t="s">
        <v>104</v>
      </c>
      <c r="D63" s="170"/>
    </row>
  </sheetData>
  <mergeCells count="15">
    <mergeCell ref="A1:D1"/>
    <mergeCell ref="A3:D3"/>
    <mergeCell ref="A4:D4"/>
    <mergeCell ref="A6:D6"/>
    <mergeCell ref="A8:C8"/>
    <mergeCell ref="B55:D55"/>
    <mergeCell ref="A59:D59"/>
    <mergeCell ref="A61:D61"/>
    <mergeCell ref="C63:D63"/>
    <mergeCell ref="A9:C9"/>
    <mergeCell ref="A10:C10"/>
    <mergeCell ref="B12:D12"/>
    <mergeCell ref="A43:D43"/>
    <mergeCell ref="A45:A46"/>
    <mergeCell ref="B45:D45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92B1-955A-433B-B4C3-EEAB76AFE6F7}">
  <dimension ref="A1:D63"/>
  <sheetViews>
    <sheetView topLeftCell="A50" zoomScaleNormal="100" workbookViewId="0">
      <selection activeCell="A61" sqref="A61:D63"/>
    </sheetView>
  </sheetViews>
  <sheetFormatPr baseColWidth="10" defaultColWidth="11.44140625" defaultRowHeight="15.6" x14ac:dyDescent="0.3"/>
  <cols>
    <col min="1" max="1" width="44.88671875" style="23" customWidth="1"/>
    <col min="2" max="2" width="26.33203125" style="23" customWidth="1"/>
    <col min="3" max="3" width="22.664062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8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45</v>
      </c>
      <c r="B8" s="152"/>
      <c r="C8" s="152"/>
      <c r="D8" s="20">
        <v>237634335</v>
      </c>
    </row>
    <row r="9" spans="1:4" x14ac:dyDescent="0.3">
      <c r="A9" s="152" t="s">
        <v>46</v>
      </c>
      <c r="B9" s="152"/>
      <c r="C9" s="152"/>
      <c r="D9" s="20">
        <v>237634335</v>
      </c>
    </row>
    <row r="10" spans="1:4" x14ac:dyDescent="0.3">
      <c r="A10" s="152" t="s">
        <v>49</v>
      </c>
      <c r="B10" s="152"/>
      <c r="C10" s="152"/>
      <c r="D10" s="20">
        <f>+SUM(D8:D9)</f>
        <v>475268670</v>
      </c>
    </row>
    <row r="11" spans="1:4" ht="3.75" customHeight="1" x14ac:dyDescent="0.3">
      <c r="A11" s="21"/>
      <c r="B11" s="22"/>
    </row>
    <row r="12" spans="1:4" x14ac:dyDescent="0.3">
      <c r="A12" s="24" t="s">
        <v>105</v>
      </c>
      <c r="B12" s="177" t="str">
        <f>+'RESULTADOS FINAL'!B12</f>
        <v>UT ALVARO FONNEGRA MAS DR</v>
      </c>
      <c r="C12" s="177"/>
      <c r="D12" s="177"/>
    </row>
    <row r="13" spans="1:4" ht="5.25" customHeight="1" x14ac:dyDescent="0.3">
      <c r="A13" s="25"/>
      <c r="B13" s="26"/>
      <c r="C13" s="26"/>
      <c r="D13" s="26"/>
    </row>
    <row r="14" spans="1:4" x14ac:dyDescent="0.3">
      <c r="A14" s="27" t="s">
        <v>51</v>
      </c>
      <c r="B14" s="28"/>
      <c r="C14" s="28"/>
      <c r="D14" s="18"/>
    </row>
    <row r="15" spans="1:4" ht="5.25" customHeight="1" x14ac:dyDescent="0.3">
      <c r="A15" s="29"/>
      <c r="B15" s="30"/>
      <c r="C15" s="30"/>
      <c r="D15" s="18"/>
    </row>
    <row r="16" spans="1:4" ht="41.4" x14ac:dyDescent="0.3">
      <c r="A16" s="31" t="s">
        <v>7</v>
      </c>
      <c r="B16" s="86" t="str">
        <f>+'RESULTADOS FINAL'!D12</f>
        <v>ÁLVARO FONNEGRA JARAMILLO</v>
      </c>
      <c r="C16" s="86" t="str">
        <f>+'RESULTADOS FINAL'!D13</f>
        <v>DANIEL ALEJANDRO RIAÑO GARCÍA</v>
      </c>
      <c r="D16" s="32" t="s">
        <v>52</v>
      </c>
    </row>
    <row r="17" spans="1:4" x14ac:dyDescent="0.3">
      <c r="A17" s="33" t="s">
        <v>53</v>
      </c>
      <c r="B17" s="87">
        <v>0.9</v>
      </c>
      <c r="C17" s="87">
        <v>0.1</v>
      </c>
      <c r="D17" s="34">
        <f>+B17+C17</f>
        <v>1</v>
      </c>
    </row>
    <row r="18" spans="1:4" x14ac:dyDescent="0.3">
      <c r="A18" s="35" t="s">
        <v>54</v>
      </c>
      <c r="B18" s="69" t="s">
        <v>106</v>
      </c>
      <c r="C18" s="69" t="s">
        <v>107</v>
      </c>
      <c r="D18" s="36"/>
    </row>
    <row r="19" spans="1:4" x14ac:dyDescent="0.3">
      <c r="A19" s="37" t="s">
        <v>55</v>
      </c>
      <c r="B19" s="70" t="s">
        <v>108</v>
      </c>
      <c r="C19" s="70" t="s">
        <v>108</v>
      </c>
      <c r="D19" s="38"/>
    </row>
    <row r="20" spans="1:4" x14ac:dyDescent="0.3">
      <c r="A20" s="35" t="s">
        <v>56</v>
      </c>
      <c r="B20" s="71">
        <v>45870</v>
      </c>
      <c r="C20" s="71" t="s">
        <v>109</v>
      </c>
      <c r="D20" s="39"/>
    </row>
    <row r="21" spans="1:4" x14ac:dyDescent="0.3">
      <c r="A21" s="35" t="s">
        <v>57</v>
      </c>
      <c r="B21" s="71">
        <v>45448</v>
      </c>
      <c r="C21" s="71">
        <v>45475</v>
      </c>
      <c r="D21" s="39"/>
    </row>
    <row r="22" spans="1:4" x14ac:dyDescent="0.3">
      <c r="A22" s="35" t="s">
        <v>58</v>
      </c>
      <c r="B22" s="71" t="s">
        <v>103</v>
      </c>
      <c r="C22" s="71" t="s">
        <v>110</v>
      </c>
      <c r="D22" s="39"/>
    </row>
    <row r="23" spans="1:4" ht="5.25" customHeight="1" x14ac:dyDescent="0.3">
      <c r="A23" s="40"/>
      <c r="B23" s="41"/>
      <c r="C23" s="88"/>
      <c r="D23" s="42"/>
    </row>
    <row r="24" spans="1:4" x14ac:dyDescent="0.3">
      <c r="A24" s="43" t="s">
        <v>59</v>
      </c>
      <c r="B24" s="75" t="s">
        <v>60</v>
      </c>
      <c r="C24" s="75" t="s">
        <v>93</v>
      </c>
      <c r="D24" s="75" t="s">
        <v>94</v>
      </c>
    </row>
    <row r="25" spans="1:4" x14ac:dyDescent="0.3">
      <c r="A25" s="35" t="s">
        <v>62</v>
      </c>
      <c r="B25" s="89">
        <v>626415030</v>
      </c>
      <c r="C25" s="44">
        <v>53213350</v>
      </c>
      <c r="D25" s="44">
        <f t="shared" ref="D25:D31" si="0">(B25*$B$17)+(C25*$C$17)</f>
        <v>569094862</v>
      </c>
    </row>
    <row r="26" spans="1:4" x14ac:dyDescent="0.3">
      <c r="A26" s="35" t="s">
        <v>63</v>
      </c>
      <c r="B26" s="89">
        <v>1319878979</v>
      </c>
      <c r="C26" s="44">
        <v>94213350</v>
      </c>
      <c r="D26" s="44">
        <f t="shared" si="0"/>
        <v>1197312416.1000001</v>
      </c>
    </row>
    <row r="27" spans="1:4" x14ac:dyDescent="0.3">
      <c r="A27" s="35" t="s">
        <v>64</v>
      </c>
      <c r="B27" s="89">
        <v>10450000</v>
      </c>
      <c r="C27" s="44">
        <v>17200000</v>
      </c>
      <c r="D27" s="44">
        <f t="shared" si="0"/>
        <v>11125000</v>
      </c>
    </row>
    <row r="28" spans="1:4" x14ac:dyDescent="0.3">
      <c r="A28" s="35" t="s">
        <v>65</v>
      </c>
      <c r="B28" s="89">
        <v>10450000</v>
      </c>
      <c r="C28" s="44">
        <v>17200000</v>
      </c>
      <c r="D28" s="44">
        <f t="shared" si="0"/>
        <v>11125000</v>
      </c>
    </row>
    <row r="29" spans="1:4" x14ac:dyDescent="0.3">
      <c r="A29" s="35" t="s">
        <v>66</v>
      </c>
      <c r="B29" s="89">
        <v>1309428979</v>
      </c>
      <c r="C29" s="44">
        <v>77013350</v>
      </c>
      <c r="D29" s="44">
        <f t="shared" si="0"/>
        <v>1186187416.1000001</v>
      </c>
    </row>
    <row r="30" spans="1:4" x14ac:dyDescent="0.3">
      <c r="A30" s="35" t="s">
        <v>67</v>
      </c>
      <c r="B30" s="89">
        <v>379192579</v>
      </c>
      <c r="C30" s="44">
        <v>24859180</v>
      </c>
      <c r="D30" s="44">
        <f t="shared" si="0"/>
        <v>343759239.10000002</v>
      </c>
    </row>
    <row r="31" spans="1:4" x14ac:dyDescent="0.3">
      <c r="A31" s="35" t="s">
        <v>68</v>
      </c>
      <c r="B31" s="89">
        <v>12415500</v>
      </c>
      <c r="C31" s="44">
        <v>0</v>
      </c>
      <c r="D31" s="44">
        <f t="shared" si="0"/>
        <v>11173950</v>
      </c>
    </row>
    <row r="32" spans="1:4" ht="3.75" customHeight="1" x14ac:dyDescent="0.3">
      <c r="B32" s="45"/>
      <c r="C32" s="45"/>
      <c r="D32" s="45"/>
    </row>
    <row r="33" spans="1:4" x14ac:dyDescent="0.3">
      <c r="A33" s="43" t="s">
        <v>69</v>
      </c>
      <c r="B33" s="90"/>
      <c r="C33" s="46"/>
      <c r="D33" s="46"/>
    </row>
    <row r="34" spans="1:4" x14ac:dyDescent="0.3">
      <c r="A34" s="35" t="s">
        <v>70</v>
      </c>
      <c r="B34" s="91">
        <f>+B25/B27</f>
        <v>59.94402200956938</v>
      </c>
      <c r="C34" s="91">
        <f>+C25/C27</f>
        <v>3.0937994186046511</v>
      </c>
      <c r="D34" s="47">
        <f>+D25/D27</f>
        <v>51.154594337078649</v>
      </c>
    </row>
    <row r="35" spans="1:4" x14ac:dyDescent="0.3">
      <c r="A35" s="35" t="s">
        <v>71</v>
      </c>
      <c r="B35" s="92">
        <f>+B28/B26</f>
        <v>7.9173925536092649E-3</v>
      </c>
      <c r="C35" s="92">
        <f t="shared" ref="C35" si="1">+C28/C26</f>
        <v>0.18256436057098066</v>
      </c>
      <c r="D35" s="48">
        <f>+D28/D26</f>
        <v>9.2916433926555336E-3</v>
      </c>
    </row>
    <row r="36" spans="1:4" x14ac:dyDescent="0.3">
      <c r="A36" s="35" t="s">
        <v>72</v>
      </c>
      <c r="B36" s="47">
        <f>+IFERROR(B30/B31,"INDETERMINADO")</f>
        <v>30.54186935685232</v>
      </c>
      <c r="C36" s="47" t="str">
        <f>+IFERROR(C30/C31,"INDETERMINADO")</f>
        <v>INDETERMINADO</v>
      </c>
      <c r="D36" s="47">
        <f>+IFERROR(D30/D31,"INDETERMINADO")</f>
        <v>30.764343772792973</v>
      </c>
    </row>
    <row r="37" spans="1:4" x14ac:dyDescent="0.3">
      <c r="A37" s="33" t="s">
        <v>73</v>
      </c>
      <c r="B37" s="93">
        <f>(B25-B27)</f>
        <v>615965030</v>
      </c>
      <c r="C37" s="93">
        <f t="shared" ref="C37" si="2">(C25-C27)</f>
        <v>36013350</v>
      </c>
      <c r="D37" s="49">
        <f>+(B37+C37)/(D10)</f>
        <v>1.3718101384633665</v>
      </c>
    </row>
    <row r="38" spans="1:4" x14ac:dyDescent="0.3">
      <c r="A38" s="33" t="s">
        <v>74</v>
      </c>
      <c r="B38" s="93">
        <f>+(B26-B28)</f>
        <v>1309428979</v>
      </c>
      <c r="C38" s="93">
        <f t="shared" ref="C38" si="3">+(C26-C28)</f>
        <v>77013350</v>
      </c>
      <c r="D38" s="49">
        <f>+(B38+C38)/(D10)</f>
        <v>2.9171759396637698</v>
      </c>
    </row>
    <row r="39" spans="1:4" x14ac:dyDescent="0.3">
      <c r="A39" s="43" t="s">
        <v>75</v>
      </c>
      <c r="B39" s="178"/>
      <c r="C39" s="179"/>
      <c r="D39" s="50"/>
    </row>
    <row r="40" spans="1:4" x14ac:dyDescent="0.3">
      <c r="A40" s="35" t="s">
        <v>76</v>
      </c>
      <c r="B40" s="94">
        <f t="shared" ref="B40:C40" si="4">+B30/B29</f>
        <v>0.28958621283117336</v>
      </c>
      <c r="C40" s="51">
        <f t="shared" si="4"/>
        <v>0.32279052917448731</v>
      </c>
      <c r="D40" s="51">
        <f>+D30/D29</f>
        <v>0.2898017922245601</v>
      </c>
    </row>
    <row r="41" spans="1:4" x14ac:dyDescent="0.3">
      <c r="A41" s="35" t="s">
        <v>77</v>
      </c>
      <c r="B41" s="95">
        <f t="shared" ref="B41:C41" si="5">+B30/B26</f>
        <v>0.28729344510607591</v>
      </c>
      <c r="C41" s="52">
        <f t="shared" si="5"/>
        <v>0.26386048261737854</v>
      </c>
      <c r="D41" s="52">
        <f>+D30/D26</f>
        <v>0.28710905731665698</v>
      </c>
    </row>
    <row r="42" spans="1:4" ht="5.25" customHeight="1" x14ac:dyDescent="0.3">
      <c r="B42" s="45"/>
      <c r="C42" s="45"/>
      <c r="D42" s="45"/>
    </row>
    <row r="43" spans="1:4" x14ac:dyDescent="0.3">
      <c r="A43" s="174" t="s">
        <v>78</v>
      </c>
      <c r="B43" s="174"/>
      <c r="C43" s="174"/>
      <c r="D43" s="174"/>
    </row>
    <row r="44" spans="1:4" ht="4.5" customHeight="1" x14ac:dyDescent="0.3">
      <c r="C44" s="53"/>
      <c r="D44" s="53"/>
    </row>
    <row r="45" spans="1:4" ht="15.75" customHeight="1" x14ac:dyDescent="0.3">
      <c r="A45" s="175" t="s">
        <v>79</v>
      </c>
      <c r="B45" s="176" t="str">
        <f>+B12</f>
        <v>UT ALVARO FONNEGRA MAS DR</v>
      </c>
      <c r="C45" s="176"/>
      <c r="D45" s="176"/>
    </row>
    <row r="46" spans="1:4" ht="46.8" x14ac:dyDescent="0.3">
      <c r="A46" s="175"/>
      <c r="B46" s="54" t="s">
        <v>80</v>
      </c>
      <c r="C46" s="55" t="s">
        <v>52</v>
      </c>
      <c r="D46" s="55" t="s">
        <v>81</v>
      </c>
    </row>
    <row r="47" spans="1:4" x14ac:dyDescent="0.3">
      <c r="A47" s="56" t="s">
        <v>82</v>
      </c>
      <c r="B47" s="57">
        <v>2</v>
      </c>
      <c r="C47" s="58">
        <f>+D34</f>
        <v>51.154594337078649</v>
      </c>
      <c r="D47" s="74" t="str">
        <f>IF(C47&gt;=B47,"HABILITADO","NO HABILITADO")</f>
        <v>HABILITADO</v>
      </c>
    </row>
    <row r="48" spans="1:4" x14ac:dyDescent="0.3">
      <c r="A48" s="56" t="s">
        <v>83</v>
      </c>
      <c r="B48" s="59">
        <v>0.5</v>
      </c>
      <c r="C48" s="60">
        <f>+D35</f>
        <v>9.2916433926555336E-3</v>
      </c>
      <c r="D48" s="74" t="str">
        <f>IF(C48&lt;=B48,"HABILITADO","NO HABILITADO")</f>
        <v>HABILITADO</v>
      </c>
    </row>
    <row r="49" spans="1:4" x14ac:dyDescent="0.3">
      <c r="A49" s="56" t="s">
        <v>84</v>
      </c>
      <c r="B49" s="61">
        <v>1.5</v>
      </c>
      <c r="C49" s="58">
        <f>+D36</f>
        <v>30.764343772792973</v>
      </c>
      <c r="D49" s="74" t="str">
        <f>+IF(C49=0,"HABILITADO",IF(C49&gt;=B49,"HABILITADO","NO HABILITADO"))</f>
        <v>HABILITADO</v>
      </c>
    </row>
    <row r="50" spans="1:4" x14ac:dyDescent="0.3">
      <c r="A50" s="35" t="s">
        <v>85</v>
      </c>
      <c r="B50" s="61">
        <v>0.57999999999999996</v>
      </c>
      <c r="C50" s="62">
        <f>+D37</f>
        <v>1.3718101384633665</v>
      </c>
      <c r="D50" s="74" t="str">
        <f>IF(C50&gt;B50,"HABILITADO","NO HABILITADO")</f>
        <v>HABILITADO</v>
      </c>
    </row>
    <row r="51" spans="1:4" x14ac:dyDescent="0.3">
      <c r="A51" s="35" t="s">
        <v>86</v>
      </c>
      <c r="B51" s="61">
        <v>0.24</v>
      </c>
      <c r="C51" s="62">
        <f>+D38</f>
        <v>2.9171759396637698</v>
      </c>
      <c r="D51" s="74" t="str">
        <f>IF(C51&gt;B51,"HABILITADO","NO HABILITADO")</f>
        <v>HABILITADO</v>
      </c>
    </row>
    <row r="52" spans="1:4" x14ac:dyDescent="0.3">
      <c r="A52" s="56" t="s">
        <v>87</v>
      </c>
      <c r="B52" s="61">
        <v>0.1</v>
      </c>
      <c r="C52" s="58">
        <f>+D40</f>
        <v>0.2898017922245601</v>
      </c>
      <c r="D52" s="74" t="str">
        <f>IF(C52&gt;=B52,"HABILITADO","NO HABILITADO")</f>
        <v>HABILITADO</v>
      </c>
    </row>
    <row r="53" spans="1:4" x14ac:dyDescent="0.3">
      <c r="A53" s="56" t="s">
        <v>88</v>
      </c>
      <c r="B53" s="61">
        <v>0.05</v>
      </c>
      <c r="C53" s="58">
        <f>+D41</f>
        <v>0.28710905731665698</v>
      </c>
      <c r="D53" s="74" t="str">
        <f>IF(C53&gt;=B53,"HABILITADO","NO HABILITADO")</f>
        <v>HABILITADO</v>
      </c>
    </row>
    <row r="54" spans="1:4" ht="4.5" customHeight="1" x14ac:dyDescent="0.3">
      <c r="C54" s="53"/>
      <c r="D54" s="53"/>
    </row>
    <row r="55" spans="1:4" ht="15.75" customHeight="1" x14ac:dyDescent="0.3">
      <c r="A55" s="63" t="s">
        <v>89</v>
      </c>
      <c r="B55" s="161" t="str">
        <f>IF(+AND(D47="HABILITADO",D48="HABILITADO",D49="HABILITADO",D50="HABILITADO",D51="HABILITADO",D52="HABILITADO",D53="HABILITADO"),"HABILITADO","NO HABILITADO")</f>
        <v>HABILITADO</v>
      </c>
      <c r="C55" s="162"/>
      <c r="D55" s="163"/>
    </row>
    <row r="56" spans="1:4" ht="4.5" customHeight="1" x14ac:dyDescent="0.3">
      <c r="C56" s="53"/>
      <c r="D56" s="53"/>
    </row>
    <row r="57" spans="1:4" x14ac:dyDescent="0.3">
      <c r="A57" s="64" t="s">
        <v>90</v>
      </c>
      <c r="B57" s="65"/>
      <c r="C57"/>
      <c r="D57"/>
    </row>
    <row r="58" spans="1:4" ht="4.5" customHeight="1" thickBot="1" x14ac:dyDescent="0.35">
      <c r="C58" s="53"/>
      <c r="D58" s="53"/>
    </row>
    <row r="59" spans="1:4" ht="33" customHeight="1" thickBot="1" x14ac:dyDescent="0.35">
      <c r="A59" s="164"/>
      <c r="B59" s="165"/>
      <c r="C59" s="165"/>
      <c r="D59" s="166"/>
    </row>
    <row r="60" spans="1:4" ht="16.2" thickBot="1" x14ac:dyDescent="0.35"/>
    <row r="61" spans="1:4" x14ac:dyDescent="0.3">
      <c r="A61" s="167" t="s">
        <v>40</v>
      </c>
      <c r="B61" s="168"/>
      <c r="C61" s="168"/>
      <c r="D61" s="169"/>
    </row>
    <row r="62" spans="1:4" ht="60" customHeight="1" x14ac:dyDescent="0.3">
      <c r="A62" s="120"/>
      <c r="B62" s="66"/>
      <c r="C62" s="66"/>
      <c r="D62" s="67"/>
    </row>
    <row r="63" spans="1:4" ht="32.25" customHeight="1" thickBot="1" x14ac:dyDescent="0.35">
      <c r="A63" s="84" t="s">
        <v>41</v>
      </c>
      <c r="B63" s="68"/>
      <c r="C63" s="189" t="s">
        <v>104</v>
      </c>
      <c r="D63" s="190"/>
    </row>
  </sheetData>
  <mergeCells count="16">
    <mergeCell ref="A1:D1"/>
    <mergeCell ref="A3:D3"/>
    <mergeCell ref="A4:D4"/>
    <mergeCell ref="A6:D6"/>
    <mergeCell ref="A8:C8"/>
    <mergeCell ref="B55:D55"/>
    <mergeCell ref="A59:D59"/>
    <mergeCell ref="A61:D61"/>
    <mergeCell ref="C63:D63"/>
    <mergeCell ref="A9:C9"/>
    <mergeCell ref="A10:C10"/>
    <mergeCell ref="B12:D12"/>
    <mergeCell ref="B39:C39"/>
    <mergeCell ref="A43:D43"/>
    <mergeCell ref="A45:A46"/>
    <mergeCell ref="B45:D45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43C79-D79E-4ED8-BF4F-C0E38EAB023C}">
  <dimension ref="A1:D63"/>
  <sheetViews>
    <sheetView topLeftCell="A53" zoomScaleNormal="100" workbookViewId="0">
      <selection activeCell="A61" sqref="A61:D63"/>
    </sheetView>
  </sheetViews>
  <sheetFormatPr baseColWidth="10" defaultColWidth="11.44140625" defaultRowHeight="15.6" x14ac:dyDescent="0.3"/>
  <cols>
    <col min="1" max="1" width="44.88671875" style="23" customWidth="1"/>
    <col min="2" max="2" width="27.5546875" style="23" customWidth="1"/>
    <col min="3" max="3" width="24.8867187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3.2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45</v>
      </c>
      <c r="B8" s="152"/>
      <c r="C8" s="152"/>
      <c r="D8" s="20">
        <v>237634335</v>
      </c>
    </row>
    <row r="9" spans="1:4" x14ac:dyDescent="0.3">
      <c r="A9" s="152" t="s">
        <v>46</v>
      </c>
      <c r="B9" s="152"/>
      <c r="C9" s="152"/>
      <c r="D9" s="20">
        <v>237634335</v>
      </c>
    </row>
    <row r="10" spans="1:4" x14ac:dyDescent="0.3">
      <c r="A10" s="152" t="s">
        <v>49</v>
      </c>
      <c r="B10" s="152"/>
      <c r="C10" s="152"/>
      <c r="D10" s="20">
        <f>+SUM(D8:D9)</f>
        <v>475268670</v>
      </c>
    </row>
    <row r="11" spans="1:4" ht="3.75" customHeight="1" x14ac:dyDescent="0.3">
      <c r="A11" s="21"/>
      <c r="B11" s="22"/>
    </row>
    <row r="12" spans="1:4" x14ac:dyDescent="0.3">
      <c r="A12" s="24" t="s">
        <v>111</v>
      </c>
      <c r="B12" s="171" t="str">
        <f>+'RESULTADOS FINAL'!B14</f>
        <v>IA INGENIERIA Y ARQUITECTURA DE COLOMBIA SAS</v>
      </c>
      <c r="C12" s="172"/>
      <c r="D12" s="173"/>
    </row>
    <row r="13" spans="1:4" ht="5.25" customHeight="1" x14ac:dyDescent="0.3">
      <c r="A13" s="25"/>
      <c r="B13" s="26"/>
      <c r="C13" s="26"/>
      <c r="D13" s="26"/>
    </row>
    <row r="14" spans="1:4" x14ac:dyDescent="0.3">
      <c r="A14" s="27" t="s">
        <v>51</v>
      </c>
      <c r="B14" s="28"/>
      <c r="C14" s="28"/>
      <c r="D14" s="18"/>
    </row>
    <row r="15" spans="1:4" ht="5.25" customHeight="1" x14ac:dyDescent="0.3">
      <c r="A15" s="29"/>
      <c r="B15" s="30"/>
      <c r="C15" s="30"/>
      <c r="D15" s="18"/>
    </row>
    <row r="16" spans="1:4" ht="51" customHeight="1" x14ac:dyDescent="0.3">
      <c r="A16" s="31" t="s">
        <v>7</v>
      </c>
      <c r="B16" s="72" t="str">
        <f>+'RESULTADOS FINAL'!B14</f>
        <v>IA INGENIERIA Y ARQUITECTURA DE COLOMBIA SAS</v>
      </c>
      <c r="C16" s="32" t="s">
        <v>52</v>
      </c>
      <c r="D16"/>
    </row>
    <row r="17" spans="1:4" x14ac:dyDescent="0.3">
      <c r="A17" s="33" t="s">
        <v>53</v>
      </c>
      <c r="B17" s="73">
        <v>1</v>
      </c>
      <c r="C17" s="34">
        <f>+B17</f>
        <v>1</v>
      </c>
      <c r="D17"/>
    </row>
    <row r="18" spans="1:4" x14ac:dyDescent="0.3">
      <c r="A18" s="35" t="s">
        <v>54</v>
      </c>
      <c r="B18" s="69" t="s">
        <v>112</v>
      </c>
      <c r="C18" s="36"/>
      <c r="D18"/>
    </row>
    <row r="19" spans="1:4" x14ac:dyDescent="0.3">
      <c r="A19" s="37" t="s">
        <v>55</v>
      </c>
      <c r="B19" s="70" t="s">
        <v>108</v>
      </c>
      <c r="C19" s="38"/>
      <c r="D19"/>
    </row>
    <row r="20" spans="1:4" x14ac:dyDescent="0.3">
      <c r="A20" s="35" t="s">
        <v>56</v>
      </c>
      <c r="B20" s="71" t="s">
        <v>113</v>
      </c>
      <c r="C20" s="39"/>
      <c r="D20"/>
    </row>
    <row r="21" spans="1:4" x14ac:dyDescent="0.3">
      <c r="A21" s="35" t="s">
        <v>57</v>
      </c>
      <c r="B21" s="71">
        <v>45327</v>
      </c>
      <c r="C21" s="39"/>
      <c r="D21"/>
    </row>
    <row r="22" spans="1:4" x14ac:dyDescent="0.3">
      <c r="A22" s="35" t="s">
        <v>58</v>
      </c>
      <c r="B22" s="71" t="s">
        <v>114</v>
      </c>
      <c r="C22" s="39"/>
      <c r="D22"/>
    </row>
    <row r="23" spans="1:4" ht="5.25" customHeight="1" x14ac:dyDescent="0.3">
      <c r="A23" s="40"/>
      <c r="B23" s="41"/>
      <c r="C23" s="42"/>
      <c r="D23"/>
    </row>
    <row r="24" spans="1:4" x14ac:dyDescent="0.3">
      <c r="A24" s="43" t="s">
        <v>59</v>
      </c>
      <c r="B24" s="85" t="s">
        <v>60</v>
      </c>
      <c r="C24" s="75" t="s">
        <v>61</v>
      </c>
      <c r="D24"/>
    </row>
    <row r="25" spans="1:4" x14ac:dyDescent="0.3">
      <c r="A25" s="35" t="s">
        <v>62</v>
      </c>
      <c r="B25" s="76">
        <v>384899612</v>
      </c>
      <c r="C25" s="44">
        <f>(B25*$B$17)</f>
        <v>384899612</v>
      </c>
      <c r="D25"/>
    </row>
    <row r="26" spans="1:4" x14ac:dyDescent="0.3">
      <c r="A26" s="35" t="s">
        <v>63</v>
      </c>
      <c r="B26" s="76">
        <v>445714168</v>
      </c>
      <c r="C26" s="44">
        <f t="shared" ref="C26:C31" si="0">(B26*$B$17)</f>
        <v>445714168</v>
      </c>
      <c r="D26"/>
    </row>
    <row r="27" spans="1:4" x14ac:dyDescent="0.3">
      <c r="A27" s="35" t="s">
        <v>64</v>
      </c>
      <c r="B27" s="76">
        <v>36557400</v>
      </c>
      <c r="C27" s="44">
        <f t="shared" si="0"/>
        <v>36557400</v>
      </c>
      <c r="D27"/>
    </row>
    <row r="28" spans="1:4" x14ac:dyDescent="0.3">
      <c r="A28" s="35" t="s">
        <v>65</v>
      </c>
      <c r="B28" s="76">
        <v>98865438</v>
      </c>
      <c r="C28" s="44">
        <f t="shared" si="0"/>
        <v>98865438</v>
      </c>
      <c r="D28"/>
    </row>
    <row r="29" spans="1:4" x14ac:dyDescent="0.3">
      <c r="A29" s="35" t="s">
        <v>66</v>
      </c>
      <c r="B29" s="76">
        <v>346848730</v>
      </c>
      <c r="C29" s="44">
        <f t="shared" si="0"/>
        <v>346848730</v>
      </c>
      <c r="D29"/>
    </row>
    <row r="30" spans="1:4" x14ac:dyDescent="0.3">
      <c r="A30" s="35" t="s">
        <v>67</v>
      </c>
      <c r="B30" s="76">
        <v>95306177</v>
      </c>
      <c r="C30" s="44">
        <f t="shared" si="0"/>
        <v>95306177</v>
      </c>
      <c r="D30"/>
    </row>
    <row r="31" spans="1:4" x14ac:dyDescent="0.3">
      <c r="A31" s="35" t="s">
        <v>68</v>
      </c>
      <c r="B31" s="76">
        <v>0</v>
      </c>
      <c r="C31" s="44">
        <f t="shared" si="0"/>
        <v>0</v>
      </c>
      <c r="D31"/>
    </row>
    <row r="32" spans="1:4" ht="3.75" customHeight="1" x14ac:dyDescent="0.3">
      <c r="B32" s="45"/>
      <c r="C32" s="45"/>
      <c r="D32"/>
    </row>
    <row r="33" spans="1:4" x14ac:dyDescent="0.3">
      <c r="A33" s="43" t="s">
        <v>69</v>
      </c>
      <c r="B33" s="77"/>
      <c r="C33" s="46"/>
      <c r="D33"/>
    </row>
    <row r="34" spans="1:4" x14ac:dyDescent="0.3">
      <c r="A34" s="35" t="s">
        <v>70</v>
      </c>
      <c r="B34" s="78">
        <f>+B25/B27</f>
        <v>10.528637485160322</v>
      </c>
      <c r="C34" s="47">
        <f>+C25/C27</f>
        <v>10.528637485160322</v>
      </c>
      <c r="D34"/>
    </row>
    <row r="35" spans="1:4" x14ac:dyDescent="0.3">
      <c r="A35" s="35" t="s">
        <v>71</v>
      </c>
      <c r="B35" s="79">
        <f>+B28/B26</f>
        <v>0.22181354127383268</v>
      </c>
      <c r="C35" s="48">
        <f>+C28/C26</f>
        <v>0.22181354127383268</v>
      </c>
      <c r="D35"/>
    </row>
    <row r="36" spans="1:4" x14ac:dyDescent="0.3">
      <c r="A36" s="35" t="s">
        <v>72</v>
      </c>
      <c r="B36" s="78" t="str">
        <f>+IFERROR(B30/B31,"INDETERMINADO")</f>
        <v>INDETERMINADO</v>
      </c>
      <c r="C36" s="47" t="str">
        <f>+IFERROR(C30/C31,"INDETERMINADO")</f>
        <v>INDETERMINADO</v>
      </c>
      <c r="D36"/>
    </row>
    <row r="37" spans="1:4" x14ac:dyDescent="0.3">
      <c r="A37" s="33" t="s">
        <v>73</v>
      </c>
      <c r="B37" s="80">
        <f>(B25-B27)</f>
        <v>348342212</v>
      </c>
      <c r="C37" s="49">
        <f>+(B37)/D10</f>
        <v>0.73293746040529029</v>
      </c>
      <c r="D37"/>
    </row>
    <row r="38" spans="1:4" x14ac:dyDescent="0.3">
      <c r="A38" s="33" t="s">
        <v>74</v>
      </c>
      <c r="B38" s="80">
        <f>+(B26-B28)</f>
        <v>346848730</v>
      </c>
      <c r="C38" s="49">
        <f>+(B38)/D10</f>
        <v>0.72979506517860726</v>
      </c>
      <c r="D38"/>
    </row>
    <row r="39" spans="1:4" x14ac:dyDescent="0.3">
      <c r="A39" s="43" t="s">
        <v>75</v>
      </c>
      <c r="B39" s="81"/>
      <c r="C39" s="50"/>
      <c r="D39"/>
    </row>
    <row r="40" spans="1:4" x14ac:dyDescent="0.3">
      <c r="A40" s="35" t="s">
        <v>76</v>
      </c>
      <c r="B40" s="82">
        <f t="shared" ref="B40" si="1">+B30/B29</f>
        <v>0.27477735611140913</v>
      </c>
      <c r="C40" s="51">
        <f>+C30/C29</f>
        <v>0.27477735611140913</v>
      </c>
      <c r="D40"/>
    </row>
    <row r="41" spans="1:4" x14ac:dyDescent="0.3">
      <c r="A41" s="35" t="s">
        <v>77</v>
      </c>
      <c r="B41" s="83">
        <f t="shared" ref="B41" si="2">+B30/B26</f>
        <v>0.21382801769047646</v>
      </c>
      <c r="C41" s="52">
        <f>+C30/C26</f>
        <v>0.21382801769047646</v>
      </c>
      <c r="D41"/>
    </row>
    <row r="42" spans="1:4" ht="5.25" customHeight="1" x14ac:dyDescent="0.3">
      <c r="B42" s="45"/>
      <c r="C42" s="45"/>
      <c r="D42" s="45"/>
    </row>
    <row r="43" spans="1:4" x14ac:dyDescent="0.3">
      <c r="A43" s="174" t="s">
        <v>78</v>
      </c>
      <c r="B43" s="174"/>
      <c r="C43" s="174"/>
      <c r="D43" s="174"/>
    </row>
    <row r="44" spans="1:4" ht="4.5" customHeight="1" x14ac:dyDescent="0.3">
      <c r="C44" s="53"/>
      <c r="D44" s="53"/>
    </row>
    <row r="45" spans="1:4" ht="15.75" customHeight="1" x14ac:dyDescent="0.3">
      <c r="A45" s="175" t="s">
        <v>79</v>
      </c>
      <c r="B45" s="176" t="str">
        <f>+B12</f>
        <v>IA INGENIERIA Y ARQUITECTURA DE COLOMBIA SAS</v>
      </c>
      <c r="C45" s="176"/>
      <c r="D45" s="176"/>
    </row>
    <row r="46" spans="1:4" ht="46.8" x14ac:dyDescent="0.3">
      <c r="A46" s="175"/>
      <c r="B46" s="54" t="s">
        <v>80</v>
      </c>
      <c r="C46" s="55" t="s">
        <v>52</v>
      </c>
      <c r="D46" s="55" t="s">
        <v>81</v>
      </c>
    </row>
    <row r="47" spans="1:4" x14ac:dyDescent="0.3">
      <c r="A47" s="56" t="s">
        <v>82</v>
      </c>
      <c r="B47" s="57">
        <v>2</v>
      </c>
      <c r="C47" s="58">
        <f>+C34</f>
        <v>10.528637485160322</v>
      </c>
      <c r="D47" s="74" t="str">
        <f>IF(C47&gt;=B47,"HABILITADO","NO HABILITADO")</f>
        <v>HABILITADO</v>
      </c>
    </row>
    <row r="48" spans="1:4" x14ac:dyDescent="0.3">
      <c r="A48" s="56" t="s">
        <v>83</v>
      </c>
      <c r="B48" s="59">
        <v>0.5</v>
      </c>
      <c r="C48" s="60">
        <f>+C35</f>
        <v>0.22181354127383268</v>
      </c>
      <c r="D48" s="74" t="str">
        <f>IF(C48&lt;=B48,"HABILITADO","NO HABILITADO")</f>
        <v>HABILITADO</v>
      </c>
    </row>
    <row r="49" spans="1:4" x14ac:dyDescent="0.3">
      <c r="A49" s="56" t="s">
        <v>84</v>
      </c>
      <c r="B49" s="61">
        <v>1.5</v>
      </c>
      <c r="C49" s="58" t="str">
        <f>+C36</f>
        <v>INDETERMINADO</v>
      </c>
      <c r="D49" s="74" t="str">
        <f>+IF(C49=0,"HABILITADO",IF(C49&gt;=B49,"HABILITADO","NO HABILITADO"))</f>
        <v>HABILITADO</v>
      </c>
    </row>
    <row r="50" spans="1:4" x14ac:dyDescent="0.3">
      <c r="A50" s="35" t="s">
        <v>85</v>
      </c>
      <c r="B50" s="61">
        <v>0.57999999999999996</v>
      </c>
      <c r="C50" s="62">
        <f>+C37</f>
        <v>0.73293746040529029</v>
      </c>
      <c r="D50" s="74" t="str">
        <f>IF(C50&gt;B50,"HABILITADO","NO HABILITADO")</f>
        <v>HABILITADO</v>
      </c>
    </row>
    <row r="51" spans="1:4" x14ac:dyDescent="0.3">
      <c r="A51" s="35" t="s">
        <v>86</v>
      </c>
      <c r="B51" s="61">
        <v>0.24</v>
      </c>
      <c r="C51" s="62">
        <f>+C38</f>
        <v>0.72979506517860726</v>
      </c>
      <c r="D51" s="74" t="str">
        <f>IF(C51&gt;B51,"HABILITADO","NO HABILITADO")</f>
        <v>HABILITADO</v>
      </c>
    </row>
    <row r="52" spans="1:4" x14ac:dyDescent="0.3">
      <c r="A52" s="56" t="s">
        <v>87</v>
      </c>
      <c r="B52" s="61">
        <v>0.15</v>
      </c>
      <c r="C52" s="58">
        <f>+C40</f>
        <v>0.27477735611140913</v>
      </c>
      <c r="D52" s="74" t="str">
        <f>IF(C52&gt;=B52,"HABILITADO","NO HABILITADO")</f>
        <v>HABILITADO</v>
      </c>
    </row>
    <row r="53" spans="1:4" x14ac:dyDescent="0.3">
      <c r="A53" s="56" t="s">
        <v>88</v>
      </c>
      <c r="B53" s="61">
        <v>7.0000000000000007E-2</v>
      </c>
      <c r="C53" s="58">
        <f>+C41</f>
        <v>0.21382801769047646</v>
      </c>
      <c r="D53" s="74" t="str">
        <f>IF(C53&gt;=B53,"HABILITADO","NO HABILITADO")</f>
        <v>HABILITADO</v>
      </c>
    </row>
    <row r="54" spans="1:4" ht="4.5" customHeight="1" x14ac:dyDescent="0.3">
      <c r="C54" s="53"/>
      <c r="D54" s="53"/>
    </row>
    <row r="55" spans="1:4" ht="15.75" customHeight="1" x14ac:dyDescent="0.3">
      <c r="A55" s="63" t="s">
        <v>89</v>
      </c>
      <c r="B55" s="161" t="str">
        <f>IF(+AND(D47="HABILITADO",D48="HABILITADO",D49="HABILITADO",D50="HABILITADO",D51="HABILITADO",D52="HABILITADO",D53="HABILITADO"),"HABILITADO","NO HABILITADO")</f>
        <v>HABILITADO</v>
      </c>
      <c r="C55" s="162"/>
      <c r="D55" s="163"/>
    </row>
    <row r="56" spans="1:4" ht="4.5" customHeight="1" x14ac:dyDescent="0.3">
      <c r="C56" s="53"/>
      <c r="D56" s="53"/>
    </row>
    <row r="57" spans="1:4" x14ac:dyDescent="0.3">
      <c r="A57" s="64" t="s">
        <v>90</v>
      </c>
      <c r="B57" s="65"/>
      <c r="C57"/>
      <c r="D57"/>
    </row>
    <row r="58" spans="1:4" ht="4.5" customHeight="1" thickBot="1" x14ac:dyDescent="0.35">
      <c r="C58" s="53"/>
      <c r="D58" s="53"/>
    </row>
    <row r="59" spans="1:4" ht="33" customHeight="1" thickBot="1" x14ac:dyDescent="0.35">
      <c r="A59" s="164"/>
      <c r="B59" s="165"/>
      <c r="C59" s="165"/>
      <c r="D59" s="166"/>
    </row>
    <row r="60" spans="1:4" ht="16.2" thickBot="1" x14ac:dyDescent="0.35"/>
    <row r="61" spans="1:4" x14ac:dyDescent="0.3">
      <c r="A61" s="167" t="s">
        <v>40</v>
      </c>
      <c r="B61" s="168"/>
      <c r="C61" s="168"/>
      <c r="D61" s="169"/>
    </row>
    <row r="62" spans="1:4" ht="60" customHeight="1" x14ac:dyDescent="0.3">
      <c r="A62" s="120"/>
      <c r="B62" s="66"/>
      <c r="C62" s="66"/>
      <c r="D62" s="67"/>
    </row>
    <row r="63" spans="1:4" ht="32.25" customHeight="1" thickBot="1" x14ac:dyDescent="0.35">
      <c r="A63" s="84" t="s">
        <v>41</v>
      </c>
      <c r="B63" s="68"/>
      <c r="C63" s="189" t="s">
        <v>104</v>
      </c>
      <c r="D63" s="190"/>
    </row>
  </sheetData>
  <mergeCells count="15">
    <mergeCell ref="A1:D1"/>
    <mergeCell ref="A3:D3"/>
    <mergeCell ref="A4:D4"/>
    <mergeCell ref="A6:D6"/>
    <mergeCell ref="A8:C8"/>
    <mergeCell ref="B55:D55"/>
    <mergeCell ref="A59:D59"/>
    <mergeCell ref="A61:D61"/>
    <mergeCell ref="C63:D63"/>
    <mergeCell ref="A9:C9"/>
    <mergeCell ref="A10:C10"/>
    <mergeCell ref="B12:D12"/>
    <mergeCell ref="A43:D43"/>
    <mergeCell ref="A45:A46"/>
    <mergeCell ref="B45:D45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12DB-15B6-48FC-9F9E-648D7DCBD423}">
  <dimension ref="A1:D62"/>
  <sheetViews>
    <sheetView topLeftCell="A56" zoomScaleNormal="100" workbookViewId="0">
      <selection activeCell="A60" sqref="A60:D62"/>
    </sheetView>
  </sheetViews>
  <sheetFormatPr baseColWidth="10" defaultColWidth="11.44140625" defaultRowHeight="15.6" x14ac:dyDescent="0.3"/>
  <cols>
    <col min="1" max="1" width="44.88671875" style="23" customWidth="1"/>
    <col min="2" max="2" width="23.44140625" style="23" customWidth="1"/>
    <col min="3" max="3" width="24.8867187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92.25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09"/>
      <c r="B8" s="109"/>
      <c r="C8" s="109" t="s">
        <v>47</v>
      </c>
      <c r="D8" s="20">
        <v>482738680</v>
      </c>
    </row>
    <row r="9" spans="1:4" x14ac:dyDescent="0.3">
      <c r="A9" s="152" t="s">
        <v>49</v>
      </c>
      <c r="B9" s="152"/>
      <c r="C9" s="152"/>
      <c r="D9" s="20">
        <f>+SUM(D8:D8)</f>
        <v>482738680</v>
      </c>
    </row>
    <row r="10" spans="1:4" ht="3.75" customHeight="1" x14ac:dyDescent="0.3">
      <c r="A10" s="21"/>
      <c r="B10" s="22"/>
    </row>
    <row r="11" spans="1:4" x14ac:dyDescent="0.3">
      <c r="A11" s="24" t="s">
        <v>115</v>
      </c>
      <c r="B11" s="171" t="str">
        <f>+'RESULTADOS FINAL'!B15</f>
        <v>ARDILA VALENCIA ESTRUCTURAS S.A.S. - AVE</v>
      </c>
      <c r="C11" s="172"/>
      <c r="D11" s="173"/>
    </row>
    <row r="12" spans="1:4" ht="5.25" customHeight="1" x14ac:dyDescent="0.3">
      <c r="A12" s="25"/>
      <c r="B12" s="26"/>
      <c r="C12" s="26"/>
      <c r="D12" s="26"/>
    </row>
    <row r="13" spans="1:4" x14ac:dyDescent="0.3">
      <c r="A13" s="27" t="s">
        <v>51</v>
      </c>
      <c r="B13" s="28"/>
      <c r="C13" s="28"/>
      <c r="D13" s="18"/>
    </row>
    <row r="14" spans="1:4" ht="5.25" customHeight="1" x14ac:dyDescent="0.3">
      <c r="A14" s="29"/>
      <c r="B14" s="30"/>
      <c r="C14" s="30"/>
      <c r="D14" s="18"/>
    </row>
    <row r="15" spans="1:4" ht="46.8" x14ac:dyDescent="0.3">
      <c r="A15" s="31" t="s">
        <v>7</v>
      </c>
      <c r="B15" s="72" t="str">
        <f>+B11</f>
        <v>ARDILA VALENCIA ESTRUCTURAS S.A.S. - AVE</v>
      </c>
      <c r="C15" s="32" t="s">
        <v>52</v>
      </c>
      <c r="D15"/>
    </row>
    <row r="16" spans="1:4" x14ac:dyDescent="0.3">
      <c r="A16" s="33" t="s">
        <v>53</v>
      </c>
      <c r="B16" s="73">
        <v>1</v>
      </c>
      <c r="C16" s="34">
        <f>+B16</f>
        <v>1</v>
      </c>
      <c r="D16"/>
    </row>
    <row r="17" spans="1:4" x14ac:dyDescent="0.3">
      <c r="A17" s="35" t="s">
        <v>54</v>
      </c>
      <c r="B17" s="69" t="s">
        <v>116</v>
      </c>
      <c r="C17" s="36"/>
      <c r="D17"/>
    </row>
    <row r="18" spans="1:4" x14ac:dyDescent="0.3">
      <c r="A18" s="37" t="s">
        <v>55</v>
      </c>
      <c r="B18" s="70" t="s">
        <v>117</v>
      </c>
      <c r="C18" s="38"/>
      <c r="D18"/>
    </row>
    <row r="19" spans="1:4" x14ac:dyDescent="0.3">
      <c r="A19" s="35" t="s">
        <v>56</v>
      </c>
      <c r="B19" s="71" t="s">
        <v>118</v>
      </c>
      <c r="C19" s="39"/>
      <c r="D19"/>
    </row>
    <row r="20" spans="1:4" x14ac:dyDescent="0.3">
      <c r="A20" s="35" t="s">
        <v>57</v>
      </c>
      <c r="B20" s="71">
        <v>45539</v>
      </c>
      <c r="C20" s="39"/>
      <c r="D20"/>
    </row>
    <row r="21" spans="1:4" x14ac:dyDescent="0.3">
      <c r="A21" s="35" t="s">
        <v>58</v>
      </c>
      <c r="B21" s="71" t="s">
        <v>119</v>
      </c>
      <c r="C21" s="39"/>
      <c r="D21"/>
    </row>
    <row r="22" spans="1:4" ht="5.25" customHeight="1" x14ac:dyDescent="0.3">
      <c r="A22" s="40"/>
      <c r="B22" s="41"/>
      <c r="C22" s="42"/>
      <c r="D22"/>
    </row>
    <row r="23" spans="1:4" x14ac:dyDescent="0.3">
      <c r="A23" s="43" t="s">
        <v>59</v>
      </c>
      <c r="B23" s="85" t="s">
        <v>60</v>
      </c>
      <c r="C23" s="75" t="s">
        <v>61</v>
      </c>
      <c r="D23"/>
    </row>
    <row r="24" spans="1:4" x14ac:dyDescent="0.3">
      <c r="A24" s="35" t="s">
        <v>62</v>
      </c>
      <c r="B24" s="76">
        <v>682411611</v>
      </c>
      <c r="C24" s="44">
        <f>(B24*$B$16)</f>
        <v>682411611</v>
      </c>
      <c r="D24"/>
    </row>
    <row r="25" spans="1:4" x14ac:dyDescent="0.3">
      <c r="A25" s="35" t="s">
        <v>63</v>
      </c>
      <c r="B25" s="76">
        <v>844809177</v>
      </c>
      <c r="C25" s="44">
        <f t="shared" ref="C25:C30" si="0">(B25*$B$16)</f>
        <v>844809177</v>
      </c>
      <c r="D25" s="116"/>
    </row>
    <row r="26" spans="1:4" x14ac:dyDescent="0.3">
      <c r="A26" s="35" t="s">
        <v>64</v>
      </c>
      <c r="B26" s="76">
        <v>156490740</v>
      </c>
      <c r="C26" s="44">
        <f t="shared" si="0"/>
        <v>156490740</v>
      </c>
      <c r="D26"/>
    </row>
    <row r="27" spans="1:4" x14ac:dyDescent="0.3">
      <c r="A27" s="35" t="s">
        <v>65</v>
      </c>
      <c r="B27" s="76">
        <v>216218882</v>
      </c>
      <c r="C27" s="44">
        <f t="shared" si="0"/>
        <v>216218882</v>
      </c>
      <c r="D27"/>
    </row>
    <row r="28" spans="1:4" x14ac:dyDescent="0.3">
      <c r="A28" s="35" t="s">
        <v>66</v>
      </c>
      <c r="B28" s="76">
        <v>628590295</v>
      </c>
      <c r="C28" s="44">
        <f t="shared" si="0"/>
        <v>628590295</v>
      </c>
      <c r="D28"/>
    </row>
    <row r="29" spans="1:4" x14ac:dyDescent="0.3">
      <c r="A29" s="35" t="s">
        <v>67</v>
      </c>
      <c r="B29" s="76">
        <v>130860019</v>
      </c>
      <c r="C29" s="44">
        <f t="shared" si="0"/>
        <v>130860019</v>
      </c>
      <c r="D29"/>
    </row>
    <row r="30" spans="1:4" x14ac:dyDescent="0.3">
      <c r="A30" s="35" t="s">
        <v>68</v>
      </c>
      <c r="B30" s="76">
        <v>2015282</v>
      </c>
      <c r="C30" s="44">
        <f t="shared" si="0"/>
        <v>2015282</v>
      </c>
      <c r="D30"/>
    </row>
    <row r="31" spans="1:4" ht="3.75" customHeight="1" x14ac:dyDescent="0.3">
      <c r="B31" s="45"/>
      <c r="C31" s="45"/>
      <c r="D31"/>
    </row>
    <row r="32" spans="1:4" x14ac:dyDescent="0.3">
      <c r="A32" s="43" t="s">
        <v>69</v>
      </c>
      <c r="B32" s="77"/>
      <c r="C32" s="46"/>
      <c r="D32"/>
    </row>
    <row r="33" spans="1:4" x14ac:dyDescent="0.3">
      <c r="A33" s="35" t="s">
        <v>70</v>
      </c>
      <c r="B33" s="78">
        <f>+B24/B26</f>
        <v>4.3607155988910273</v>
      </c>
      <c r="C33" s="47">
        <f>+C24/C26</f>
        <v>4.3607155988910273</v>
      </c>
      <c r="D33"/>
    </row>
    <row r="34" spans="1:4" x14ac:dyDescent="0.3">
      <c r="A34" s="35" t="s">
        <v>71</v>
      </c>
      <c r="B34" s="79">
        <f>+B27/B25</f>
        <v>0.25593813122131842</v>
      </c>
      <c r="C34" s="48">
        <f>+C27/C25</f>
        <v>0.25593813122131842</v>
      </c>
      <c r="D34"/>
    </row>
    <row r="35" spans="1:4" x14ac:dyDescent="0.3">
      <c r="A35" s="35" t="s">
        <v>72</v>
      </c>
      <c r="B35" s="78">
        <f>+IFERROR(B29/B30,"INDETERMINADO")</f>
        <v>64.933849952512844</v>
      </c>
      <c r="C35" s="47">
        <f>+IFERROR(C29/C30,"INDETERMINADO")</f>
        <v>64.933849952512844</v>
      </c>
      <c r="D35"/>
    </row>
    <row r="36" spans="1:4" x14ac:dyDescent="0.3">
      <c r="A36" s="33" t="s">
        <v>73</v>
      </c>
      <c r="B36" s="80">
        <f>(B24-B26)</f>
        <v>525920871</v>
      </c>
      <c r="C36" s="49">
        <f>+(B36)/D9</f>
        <v>1.0894525191144824</v>
      </c>
      <c r="D36"/>
    </row>
    <row r="37" spans="1:4" x14ac:dyDescent="0.3">
      <c r="A37" s="33" t="s">
        <v>74</v>
      </c>
      <c r="B37" s="80">
        <f>+(B25-B27)</f>
        <v>628590295</v>
      </c>
      <c r="C37" s="49">
        <f>+(B37)/D9</f>
        <v>1.3021336823475591</v>
      </c>
      <c r="D37"/>
    </row>
    <row r="38" spans="1:4" x14ac:dyDescent="0.3">
      <c r="A38" s="43" t="s">
        <v>75</v>
      </c>
      <c r="B38" s="81"/>
      <c r="C38" s="50"/>
      <c r="D38"/>
    </row>
    <row r="39" spans="1:4" x14ac:dyDescent="0.3">
      <c r="A39" s="35" t="s">
        <v>76</v>
      </c>
      <c r="B39" s="82">
        <f t="shared" ref="B39" si="1">+B29/B28</f>
        <v>0.20818014538388632</v>
      </c>
      <c r="C39" s="51">
        <f>+C29/C28</f>
        <v>0.20818014538388632</v>
      </c>
      <c r="D39"/>
    </row>
    <row r="40" spans="1:4" x14ac:dyDescent="0.3">
      <c r="A40" s="35" t="s">
        <v>77</v>
      </c>
      <c r="B40" s="83">
        <f t="shared" ref="B40" si="2">+B29/B25</f>
        <v>0.15489890801695208</v>
      </c>
      <c r="C40" s="52">
        <f>+C29/C25</f>
        <v>0.15489890801695208</v>
      </c>
      <c r="D40"/>
    </row>
    <row r="41" spans="1:4" ht="5.25" customHeight="1" x14ac:dyDescent="0.3">
      <c r="B41" s="45"/>
      <c r="C41" s="45"/>
      <c r="D41" s="45"/>
    </row>
    <row r="42" spans="1:4" x14ac:dyDescent="0.3">
      <c r="A42" s="174" t="s">
        <v>78</v>
      </c>
      <c r="B42" s="174"/>
      <c r="C42" s="174"/>
      <c r="D42" s="174"/>
    </row>
    <row r="43" spans="1:4" ht="4.5" customHeight="1" x14ac:dyDescent="0.3">
      <c r="C43" s="53"/>
      <c r="D43" s="53"/>
    </row>
    <row r="44" spans="1:4" ht="15.75" customHeight="1" x14ac:dyDescent="0.3">
      <c r="A44" s="175" t="s">
        <v>79</v>
      </c>
      <c r="B44" s="176" t="str">
        <f>+B11</f>
        <v>ARDILA VALENCIA ESTRUCTURAS S.A.S. - AVE</v>
      </c>
      <c r="C44" s="176"/>
      <c r="D44" s="176"/>
    </row>
    <row r="45" spans="1:4" ht="46.8" x14ac:dyDescent="0.3">
      <c r="A45" s="175"/>
      <c r="B45" s="54" t="s">
        <v>80</v>
      </c>
      <c r="C45" s="55" t="s">
        <v>52</v>
      </c>
      <c r="D45" s="55" t="s">
        <v>81</v>
      </c>
    </row>
    <row r="46" spans="1:4" x14ac:dyDescent="0.3">
      <c r="A46" s="56" t="s">
        <v>82</v>
      </c>
      <c r="B46" s="57">
        <v>2</v>
      </c>
      <c r="C46" s="58">
        <f>+C33</f>
        <v>4.3607155988910273</v>
      </c>
      <c r="D46" s="74" t="str">
        <f>IF(C46&gt;=B46,"HABILITADO","NO HABILITADO")</f>
        <v>HABILITADO</v>
      </c>
    </row>
    <row r="47" spans="1:4" x14ac:dyDescent="0.3">
      <c r="A47" s="56" t="s">
        <v>83</v>
      </c>
      <c r="B47" s="59">
        <v>0.5</v>
      </c>
      <c r="C47" s="60">
        <f>+C34</f>
        <v>0.25593813122131842</v>
      </c>
      <c r="D47" s="74" t="str">
        <f>IF(C47&lt;=B47,"HABILITADO","NO HABILITADO")</f>
        <v>HABILITADO</v>
      </c>
    </row>
    <row r="48" spans="1:4" x14ac:dyDescent="0.3">
      <c r="A48" s="56" t="s">
        <v>84</v>
      </c>
      <c r="B48" s="61">
        <v>1.5</v>
      </c>
      <c r="C48" s="58">
        <f>+C35</f>
        <v>64.933849952512844</v>
      </c>
      <c r="D48" s="74" t="str">
        <f>+IF(C48=0,"HABILITADO",IF(C48&gt;=B48,"HABILITADO","NO HABILITADO"))</f>
        <v>HABILITADO</v>
      </c>
    </row>
    <row r="49" spans="1:4" x14ac:dyDescent="0.3">
      <c r="A49" s="35" t="s">
        <v>85</v>
      </c>
      <c r="B49" s="61">
        <v>0.57999999999999996</v>
      </c>
      <c r="C49" s="62">
        <f>+C36</f>
        <v>1.0894525191144824</v>
      </c>
      <c r="D49" s="74" t="str">
        <f>IF(C49&gt;B49,"HABILITADO","NO HABILITADO")</f>
        <v>HABILITADO</v>
      </c>
    </row>
    <row r="50" spans="1:4" x14ac:dyDescent="0.3">
      <c r="A50" s="35" t="s">
        <v>86</v>
      </c>
      <c r="B50" s="61">
        <v>0.24</v>
      </c>
      <c r="C50" s="62">
        <f>+C37</f>
        <v>1.3021336823475591</v>
      </c>
      <c r="D50" s="74" t="str">
        <f>IF(C50&gt;B50,"HABILITADO","NO HABILITADO")</f>
        <v>HABILITADO</v>
      </c>
    </row>
    <row r="51" spans="1:4" x14ac:dyDescent="0.3">
      <c r="A51" s="56" t="s">
        <v>87</v>
      </c>
      <c r="B51" s="61">
        <v>0.1</v>
      </c>
      <c r="C51" s="58">
        <f>+C39</f>
        <v>0.20818014538388632</v>
      </c>
      <c r="D51" s="74" t="str">
        <f>IF(C51&gt;=B51,"HABILITADO","NO HABILITADO")</f>
        <v>HABILITADO</v>
      </c>
    </row>
    <row r="52" spans="1:4" x14ac:dyDescent="0.3">
      <c r="A52" s="56" t="s">
        <v>88</v>
      </c>
      <c r="B52" s="61">
        <v>0.05</v>
      </c>
      <c r="C52" s="58">
        <f>+C40</f>
        <v>0.15489890801695208</v>
      </c>
      <c r="D52" s="74" t="str">
        <f>IF(C52&gt;=B52,"HABILITADO","NO HABILITADO")</f>
        <v>HABILITADO</v>
      </c>
    </row>
    <row r="53" spans="1:4" ht="4.5" customHeight="1" x14ac:dyDescent="0.3">
      <c r="C53" s="53"/>
      <c r="D53" s="53"/>
    </row>
    <row r="54" spans="1:4" ht="15.75" customHeight="1" x14ac:dyDescent="0.3">
      <c r="A54" s="63" t="s">
        <v>89</v>
      </c>
      <c r="B54" s="161" t="str">
        <f>IF(+AND(D46="HABILITADO",D47="HABILITADO",D48="HABILITADO",D49="HABILITADO",D50="HABILITADO",D51="HABILITADO",D52="HABILITADO"),"HABILITADO","NO HABILITADO")</f>
        <v>HABILITADO</v>
      </c>
      <c r="C54" s="162"/>
      <c r="D54" s="163"/>
    </row>
    <row r="55" spans="1:4" ht="4.5" customHeight="1" x14ac:dyDescent="0.3">
      <c r="C55" s="53"/>
      <c r="D55" s="53"/>
    </row>
    <row r="56" spans="1:4" x14ac:dyDescent="0.3">
      <c r="A56" s="64" t="s">
        <v>90</v>
      </c>
      <c r="B56" s="65"/>
      <c r="C56"/>
      <c r="D56"/>
    </row>
    <row r="57" spans="1:4" ht="4.5" customHeight="1" thickBot="1" x14ac:dyDescent="0.35">
      <c r="C57" s="53"/>
      <c r="D57" s="53"/>
    </row>
    <row r="58" spans="1:4" ht="33" customHeight="1" thickBot="1" x14ac:dyDescent="0.35">
      <c r="A58" s="164"/>
      <c r="B58" s="165"/>
      <c r="C58" s="165"/>
      <c r="D58" s="166"/>
    </row>
    <row r="59" spans="1:4" ht="16.2" thickBot="1" x14ac:dyDescent="0.35"/>
    <row r="60" spans="1:4" x14ac:dyDescent="0.3">
      <c r="A60" s="167" t="s">
        <v>40</v>
      </c>
      <c r="B60" s="168"/>
      <c r="C60" s="168"/>
      <c r="D60" s="169"/>
    </row>
    <row r="61" spans="1:4" ht="60" customHeight="1" x14ac:dyDescent="0.3">
      <c r="A61" s="120"/>
      <c r="B61" s="66"/>
      <c r="C61" s="66"/>
      <c r="D61" s="67"/>
    </row>
    <row r="62" spans="1:4" ht="32.25" customHeight="1" x14ac:dyDescent="0.3">
      <c r="A62" s="84" t="s">
        <v>41</v>
      </c>
      <c r="B62" s="68"/>
      <c r="C62" s="132" t="s">
        <v>120</v>
      </c>
      <c r="D62" s="170"/>
    </row>
  </sheetData>
  <mergeCells count="13">
    <mergeCell ref="A1:D1"/>
    <mergeCell ref="A3:D3"/>
    <mergeCell ref="A4:D4"/>
    <mergeCell ref="A6:D6"/>
    <mergeCell ref="B54:D54"/>
    <mergeCell ref="A58:D58"/>
    <mergeCell ref="A60:D60"/>
    <mergeCell ref="C62:D62"/>
    <mergeCell ref="A9:C9"/>
    <mergeCell ref="B11:D11"/>
    <mergeCell ref="A42:D42"/>
    <mergeCell ref="A44:A45"/>
    <mergeCell ref="B44:D44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D0029-DF3D-435A-8433-3DF5043BB922}">
  <dimension ref="A1:E64"/>
  <sheetViews>
    <sheetView topLeftCell="A53" zoomScaleNormal="100" workbookViewId="0">
      <selection activeCell="A62" sqref="A62:D64"/>
    </sheetView>
  </sheetViews>
  <sheetFormatPr baseColWidth="10" defaultColWidth="11.44140625" defaultRowHeight="15.6" x14ac:dyDescent="0.3"/>
  <cols>
    <col min="1" max="1" width="44.88671875" style="23" customWidth="1"/>
    <col min="2" max="2" width="26.33203125" style="23" customWidth="1"/>
    <col min="3" max="3" width="22.6640625" style="23" customWidth="1"/>
    <col min="4" max="4" width="24.109375" style="23" bestFit="1" customWidth="1"/>
    <col min="5" max="5" width="12.33203125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90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44</v>
      </c>
      <c r="B8" s="152"/>
      <c r="C8" s="152"/>
      <c r="D8" s="20">
        <v>482738680</v>
      </c>
    </row>
    <row r="9" spans="1:4" x14ac:dyDescent="0.3">
      <c r="A9" s="109"/>
      <c r="B9" s="109"/>
      <c r="C9" s="109" t="s">
        <v>47</v>
      </c>
      <c r="D9" s="20">
        <v>482738680</v>
      </c>
    </row>
    <row r="10" spans="1:4" x14ac:dyDescent="0.3">
      <c r="A10" s="109"/>
      <c r="B10" s="109"/>
      <c r="C10" s="109" t="s">
        <v>48</v>
      </c>
      <c r="D10" s="20">
        <v>482738680</v>
      </c>
    </row>
    <row r="11" spans="1:4" x14ac:dyDescent="0.3">
      <c r="A11" s="152" t="s">
        <v>49</v>
      </c>
      <c r="B11" s="152"/>
      <c r="C11" s="152"/>
      <c r="D11" s="20">
        <f>+SUM(D8:D10)</f>
        <v>1448216040</v>
      </c>
    </row>
    <row r="12" spans="1:4" ht="3.75" customHeight="1" x14ac:dyDescent="0.3">
      <c r="A12" s="21"/>
      <c r="B12" s="22"/>
    </row>
    <row r="13" spans="1:4" x14ac:dyDescent="0.3">
      <c r="A13" s="24" t="s">
        <v>121</v>
      </c>
      <c r="B13" s="177" t="str">
        <f>+'RESULTADOS FINAL'!B16</f>
        <v>CONSORCIO CONSTRUGAVI SENA 003</v>
      </c>
      <c r="C13" s="177"/>
      <c r="D13" s="177"/>
    </row>
    <row r="14" spans="1:4" ht="5.25" customHeight="1" x14ac:dyDescent="0.3">
      <c r="A14" s="25"/>
      <c r="B14" s="26"/>
      <c r="C14" s="26"/>
      <c r="D14" s="26"/>
    </row>
    <row r="15" spans="1:4" x14ac:dyDescent="0.3">
      <c r="A15" s="27" t="s">
        <v>51</v>
      </c>
      <c r="B15" s="28"/>
      <c r="C15" s="28"/>
      <c r="D15" s="18"/>
    </row>
    <row r="16" spans="1:4" ht="5.25" customHeight="1" x14ac:dyDescent="0.3">
      <c r="A16" s="29"/>
      <c r="B16" s="30"/>
      <c r="C16" s="30"/>
      <c r="D16" s="18"/>
    </row>
    <row r="17" spans="1:5" ht="41.4" x14ac:dyDescent="0.3">
      <c r="A17" s="31" t="s">
        <v>7</v>
      </c>
      <c r="B17" s="86" t="str">
        <f>+'RESULTADOS FINAL'!D16</f>
        <v>GAVINCO INGENIEROS CONSULTORES S.A.S</v>
      </c>
      <c r="C17" s="86" t="str">
        <f>+'RESULTADOS FINAL'!D17</f>
        <v>CONSTRUMAVE S.A.S</v>
      </c>
      <c r="D17" s="32" t="s">
        <v>52</v>
      </c>
    </row>
    <row r="18" spans="1:5" x14ac:dyDescent="0.3">
      <c r="A18" s="33" t="s">
        <v>53</v>
      </c>
      <c r="B18" s="87">
        <v>0.9</v>
      </c>
      <c r="C18" s="87">
        <v>0.1</v>
      </c>
      <c r="D18" s="34">
        <f>+B18+C18</f>
        <v>1</v>
      </c>
    </row>
    <row r="19" spans="1:5" x14ac:dyDescent="0.3">
      <c r="A19" s="35" t="s">
        <v>54</v>
      </c>
      <c r="B19" s="69" t="s">
        <v>122</v>
      </c>
      <c r="C19" s="69" t="s">
        <v>123</v>
      </c>
      <c r="D19" s="36"/>
    </row>
    <row r="20" spans="1:5" x14ac:dyDescent="0.3">
      <c r="A20" s="37" t="s">
        <v>55</v>
      </c>
      <c r="B20" s="70" t="s">
        <v>108</v>
      </c>
      <c r="C20" s="70" t="s">
        <v>108</v>
      </c>
      <c r="D20" s="38"/>
    </row>
    <row r="21" spans="1:5" x14ac:dyDescent="0.3">
      <c r="A21" s="35" t="s">
        <v>56</v>
      </c>
      <c r="B21" s="71">
        <v>45717</v>
      </c>
      <c r="C21" s="71" t="s">
        <v>124</v>
      </c>
      <c r="D21" s="39"/>
    </row>
    <row r="22" spans="1:5" x14ac:dyDescent="0.3">
      <c r="A22" s="35" t="s">
        <v>57</v>
      </c>
      <c r="B22" s="71" t="s">
        <v>125</v>
      </c>
      <c r="C22" s="71" t="s">
        <v>126</v>
      </c>
      <c r="D22" s="39"/>
    </row>
    <row r="23" spans="1:5" x14ac:dyDescent="0.3">
      <c r="A23" s="35" t="s">
        <v>58</v>
      </c>
      <c r="B23" s="71" t="s">
        <v>119</v>
      </c>
      <c r="C23" s="71" t="s">
        <v>119</v>
      </c>
      <c r="D23" s="39"/>
    </row>
    <row r="24" spans="1:5" ht="5.25" customHeight="1" x14ac:dyDescent="0.3">
      <c r="A24" s="40"/>
      <c r="B24" s="41"/>
      <c r="C24" s="88"/>
      <c r="D24" s="42"/>
    </row>
    <row r="25" spans="1:5" x14ac:dyDescent="0.3">
      <c r="A25" s="43" t="s">
        <v>59</v>
      </c>
      <c r="B25" s="75" t="s">
        <v>60</v>
      </c>
      <c r="C25" s="75" t="s">
        <v>93</v>
      </c>
      <c r="D25" s="75" t="s">
        <v>94</v>
      </c>
    </row>
    <row r="26" spans="1:5" x14ac:dyDescent="0.3">
      <c r="A26" s="35" t="s">
        <v>62</v>
      </c>
      <c r="B26" s="89">
        <v>12830978401</v>
      </c>
      <c r="C26" s="44">
        <v>1938308576</v>
      </c>
      <c r="D26" s="44">
        <f t="shared" ref="D26:D31" si="0">(B26*$B$18)+(C26*$C$18)</f>
        <v>11741711418.5</v>
      </c>
      <c r="E26" s="116"/>
    </row>
    <row r="27" spans="1:5" x14ac:dyDescent="0.3">
      <c r="A27" s="35" t="s">
        <v>63</v>
      </c>
      <c r="B27" s="89">
        <v>14671587094</v>
      </c>
      <c r="C27" s="44">
        <v>1938308576</v>
      </c>
      <c r="D27" s="44">
        <f t="shared" si="0"/>
        <v>13398259242.200001</v>
      </c>
    </row>
    <row r="28" spans="1:5" x14ac:dyDescent="0.3">
      <c r="A28" s="35" t="s">
        <v>64</v>
      </c>
      <c r="B28" s="89">
        <v>4048493859</v>
      </c>
      <c r="C28" s="44">
        <v>516968421</v>
      </c>
      <c r="D28" s="44">
        <f t="shared" si="0"/>
        <v>3695341315.1999998</v>
      </c>
    </row>
    <row r="29" spans="1:5" x14ac:dyDescent="0.3">
      <c r="A29" s="35" t="s">
        <v>65</v>
      </c>
      <c r="B29" s="89">
        <v>6378756943</v>
      </c>
      <c r="C29" s="44">
        <v>765763790</v>
      </c>
      <c r="D29" s="44">
        <f>(B29*$B$18)+(C29*$C$18)</f>
        <v>5817457627.6999998</v>
      </c>
      <c r="E29" s="116"/>
    </row>
    <row r="30" spans="1:5" x14ac:dyDescent="0.3">
      <c r="A30" s="35" t="s">
        <v>66</v>
      </c>
      <c r="B30" s="89">
        <v>8292830151</v>
      </c>
      <c r="C30" s="44">
        <v>1172544786</v>
      </c>
      <c r="D30" s="44">
        <f t="shared" si="0"/>
        <v>7580801614.500001</v>
      </c>
    </row>
    <row r="31" spans="1:5" x14ac:dyDescent="0.3">
      <c r="A31" s="35" t="s">
        <v>67</v>
      </c>
      <c r="B31" s="89">
        <v>4242495493</v>
      </c>
      <c r="C31" s="44">
        <v>218973508</v>
      </c>
      <c r="D31" s="44">
        <f t="shared" si="0"/>
        <v>3840143294.5000005</v>
      </c>
    </row>
    <row r="32" spans="1:5" x14ac:dyDescent="0.3">
      <c r="A32" s="35" t="s">
        <v>68</v>
      </c>
      <c r="B32" s="89">
        <v>797177344</v>
      </c>
      <c r="C32" s="44">
        <v>0</v>
      </c>
      <c r="D32" s="44">
        <f>(B32*$B$18)+(C32*$C$18)</f>
        <v>717459609.60000002</v>
      </c>
    </row>
    <row r="33" spans="1:4" ht="3.75" customHeight="1" x14ac:dyDescent="0.3">
      <c r="B33" s="45"/>
      <c r="C33" s="45"/>
      <c r="D33" s="45"/>
    </row>
    <row r="34" spans="1:4" x14ac:dyDescent="0.3">
      <c r="A34" s="43" t="s">
        <v>69</v>
      </c>
      <c r="B34" s="90"/>
      <c r="C34" s="46"/>
      <c r="D34" s="46"/>
    </row>
    <row r="35" spans="1:4" x14ac:dyDescent="0.3">
      <c r="A35" s="35" t="s">
        <v>70</v>
      </c>
      <c r="B35" s="91">
        <f>+B26/B28</f>
        <v>3.1693214434489279</v>
      </c>
      <c r="C35" s="91">
        <f>+C26/C28</f>
        <v>3.7493751982966868</v>
      </c>
      <c r="D35" s="47">
        <f>+D26/D28</f>
        <v>3.1774362411945467</v>
      </c>
    </row>
    <row r="36" spans="1:4" x14ac:dyDescent="0.3">
      <c r="A36" s="35" t="s">
        <v>71</v>
      </c>
      <c r="B36" s="92">
        <f>+B29/B27</f>
        <v>0.4347693880785819</v>
      </c>
      <c r="C36" s="92">
        <f t="shared" ref="C36" si="1">+C29/C27</f>
        <v>0.3950680502999539</v>
      </c>
      <c r="D36" s="48">
        <f>+D29/D27</f>
        <v>0.43419503403673287</v>
      </c>
    </row>
    <row r="37" spans="1:4" x14ac:dyDescent="0.3">
      <c r="A37" s="35" t="s">
        <v>72</v>
      </c>
      <c r="B37" s="47">
        <f>+IFERROR(B31/B32,"INDETERMINADO")</f>
        <v>5.3218967208882448</v>
      </c>
      <c r="C37" s="47" t="str">
        <f>+IFERROR(C31/C32,"INDETERMINADO")</f>
        <v>INDETERMINADO</v>
      </c>
      <c r="D37" s="47">
        <f>+IFERROR(D31/D32,"INDETERMINADO")</f>
        <v>5.3524173948146956</v>
      </c>
    </row>
    <row r="38" spans="1:4" x14ac:dyDescent="0.3">
      <c r="A38" s="33" t="s">
        <v>73</v>
      </c>
      <c r="B38" s="93">
        <f>(B26-B28)</f>
        <v>8782484542</v>
      </c>
      <c r="C38" s="93">
        <f t="shared" ref="C38" si="2">(C26-C28)</f>
        <v>1421340155</v>
      </c>
      <c r="D38" s="49">
        <f>+(B38+C38)/(D11)</f>
        <v>7.0457890364202846</v>
      </c>
    </row>
    <row r="39" spans="1:4" x14ac:dyDescent="0.3">
      <c r="A39" s="33" t="s">
        <v>74</v>
      </c>
      <c r="B39" s="93">
        <f>+(B27-B29)</f>
        <v>8292830151</v>
      </c>
      <c r="C39" s="93">
        <f t="shared" ref="C39" si="3">+(C27-C29)</f>
        <v>1172544786</v>
      </c>
      <c r="D39" s="49">
        <f>+(B39+C39)/(D11)</f>
        <v>6.5358859973681831</v>
      </c>
    </row>
    <row r="40" spans="1:4" x14ac:dyDescent="0.3">
      <c r="A40" s="43" t="s">
        <v>75</v>
      </c>
      <c r="B40" s="178"/>
      <c r="C40" s="179"/>
      <c r="D40" s="50"/>
    </row>
    <row r="41" spans="1:4" x14ac:dyDescent="0.3">
      <c r="A41" s="35" t="s">
        <v>76</v>
      </c>
      <c r="B41" s="94">
        <f t="shared" ref="B41:C41" si="4">+B31/B30</f>
        <v>0.51158596230123132</v>
      </c>
      <c r="C41" s="51">
        <f t="shared" si="4"/>
        <v>0.18675065602142382</v>
      </c>
      <c r="D41" s="51">
        <f>+D31/D30</f>
        <v>0.50656163949137734</v>
      </c>
    </row>
    <row r="42" spans="1:4" x14ac:dyDescent="0.3">
      <c r="A42" s="35" t="s">
        <v>77</v>
      </c>
      <c r="B42" s="95">
        <f t="shared" ref="B42:C42" si="5">+B31/B27</f>
        <v>0.28916404652193245</v>
      </c>
      <c r="C42" s="52">
        <f t="shared" si="5"/>
        <v>0.11297143845480256</v>
      </c>
      <c r="D42" s="52">
        <f>+D31/D27</f>
        <v>0.28661509119071554</v>
      </c>
    </row>
    <row r="43" spans="1:4" ht="5.25" customHeight="1" x14ac:dyDescent="0.3">
      <c r="B43" s="45"/>
      <c r="C43" s="45"/>
      <c r="D43" s="45"/>
    </row>
    <row r="44" spans="1:4" x14ac:dyDescent="0.3">
      <c r="A44" s="174" t="s">
        <v>78</v>
      </c>
      <c r="B44" s="174"/>
      <c r="C44" s="174"/>
      <c r="D44" s="174"/>
    </row>
    <row r="45" spans="1:4" ht="4.5" customHeight="1" x14ac:dyDescent="0.3">
      <c r="C45" s="53"/>
      <c r="D45" s="53"/>
    </row>
    <row r="46" spans="1:4" ht="15.75" customHeight="1" x14ac:dyDescent="0.3">
      <c r="A46" s="175" t="s">
        <v>79</v>
      </c>
      <c r="B46" s="176" t="str">
        <f>+B13</f>
        <v>CONSORCIO CONSTRUGAVI SENA 003</v>
      </c>
      <c r="C46" s="176"/>
      <c r="D46" s="176"/>
    </row>
    <row r="47" spans="1:4" ht="46.8" x14ac:dyDescent="0.3">
      <c r="A47" s="175"/>
      <c r="B47" s="54" t="s">
        <v>80</v>
      </c>
      <c r="C47" s="55" t="s">
        <v>52</v>
      </c>
      <c r="D47" s="55" t="s">
        <v>81</v>
      </c>
    </row>
    <row r="48" spans="1:4" x14ac:dyDescent="0.3">
      <c r="A48" s="56" t="s">
        <v>82</v>
      </c>
      <c r="B48" s="57">
        <v>2</v>
      </c>
      <c r="C48" s="58">
        <f>+D35</f>
        <v>3.1774362411945467</v>
      </c>
      <c r="D48" s="74" t="str">
        <f>IF(C48&gt;=B48,"HABILITADO","NO HABILITADO")</f>
        <v>HABILITADO</v>
      </c>
    </row>
    <row r="49" spans="1:4" x14ac:dyDescent="0.3">
      <c r="A49" s="56" t="s">
        <v>83</v>
      </c>
      <c r="B49" s="59">
        <v>0.5</v>
      </c>
      <c r="C49" s="60">
        <f>+D36</f>
        <v>0.43419503403673287</v>
      </c>
      <c r="D49" s="74" t="str">
        <f>IF(C49&lt;=B49,"HABILITADO","NO HABILITADO")</f>
        <v>HABILITADO</v>
      </c>
    </row>
    <row r="50" spans="1:4" x14ac:dyDescent="0.3">
      <c r="A50" s="56" t="s">
        <v>84</v>
      </c>
      <c r="B50" s="61">
        <v>1.5</v>
      </c>
      <c r="C50" s="58">
        <f>+D37</f>
        <v>5.3524173948146956</v>
      </c>
      <c r="D50" s="74" t="str">
        <f>+IF(C50=0,"HABILITADO",IF(C50&gt;=B50,"HABILITADO","NO HABILITADO"))</f>
        <v>HABILITADO</v>
      </c>
    </row>
    <row r="51" spans="1:4" x14ac:dyDescent="0.3">
      <c r="A51" s="35" t="s">
        <v>85</v>
      </c>
      <c r="B51" s="61">
        <v>0.57999999999999996</v>
      </c>
      <c r="C51" s="62">
        <f>+D38</f>
        <v>7.0457890364202846</v>
      </c>
      <c r="D51" s="74" t="str">
        <f>IF(C51&gt;B51,"HABILITADO","NO HABILITADO")</f>
        <v>HABILITADO</v>
      </c>
    </row>
    <row r="52" spans="1:4" x14ac:dyDescent="0.3">
      <c r="A52" s="35" t="s">
        <v>86</v>
      </c>
      <c r="B52" s="61">
        <v>0.24</v>
      </c>
      <c r="C52" s="62">
        <f>+D39</f>
        <v>6.5358859973681831</v>
      </c>
      <c r="D52" s="74" t="str">
        <f>IF(C52&gt;B52,"HABILITADO","NO HABILITADO")</f>
        <v>HABILITADO</v>
      </c>
    </row>
    <row r="53" spans="1:4" x14ac:dyDescent="0.3">
      <c r="A53" s="56" t="s">
        <v>87</v>
      </c>
      <c r="B53" s="61">
        <v>0.15</v>
      </c>
      <c r="C53" s="58">
        <f>+D41</f>
        <v>0.50656163949137734</v>
      </c>
      <c r="D53" s="74" t="str">
        <f>IF(C53&gt;=B53,"HABILITADO","NO HABILITADO")</f>
        <v>HABILITADO</v>
      </c>
    </row>
    <row r="54" spans="1:4" x14ac:dyDescent="0.3">
      <c r="A54" s="56" t="s">
        <v>88</v>
      </c>
      <c r="B54" s="61">
        <v>7.0000000000000007E-2</v>
      </c>
      <c r="C54" s="58">
        <f>+D42</f>
        <v>0.28661509119071554</v>
      </c>
      <c r="D54" s="74" t="str">
        <f>IF(C54&gt;=B54,"HABILITADO","NO HABILITADO")</f>
        <v>HABILITADO</v>
      </c>
    </row>
    <row r="55" spans="1:4" ht="4.5" customHeight="1" x14ac:dyDescent="0.3">
      <c r="C55" s="53"/>
      <c r="D55" s="53"/>
    </row>
    <row r="56" spans="1:4" ht="15.75" customHeight="1" x14ac:dyDescent="0.3">
      <c r="A56" s="63" t="s">
        <v>89</v>
      </c>
      <c r="B56" s="161" t="str">
        <f>IF(+AND(D48="HABILITADO",D49="HABILITADO",D50="HABILITADO",D51="HABILITADO",D52="HABILITADO",D53="HABILITADO",D54="HABILITADO"),"HABILITADO","NO HABILITADO")</f>
        <v>HABILITADO</v>
      </c>
      <c r="C56" s="162"/>
      <c r="D56" s="163"/>
    </row>
    <row r="57" spans="1:4" ht="4.5" customHeight="1" x14ac:dyDescent="0.3">
      <c r="C57" s="53"/>
      <c r="D57" s="53"/>
    </row>
    <row r="58" spans="1:4" x14ac:dyDescent="0.3">
      <c r="A58" s="64" t="s">
        <v>90</v>
      </c>
      <c r="B58" s="65"/>
      <c r="C58"/>
      <c r="D58"/>
    </row>
    <row r="59" spans="1:4" ht="4.5" customHeight="1" thickBot="1" x14ac:dyDescent="0.35">
      <c r="C59" s="53"/>
      <c r="D59" s="53"/>
    </row>
    <row r="60" spans="1:4" ht="33" customHeight="1" thickBot="1" x14ac:dyDescent="0.35">
      <c r="A60" s="164"/>
      <c r="B60" s="165"/>
      <c r="C60" s="165"/>
      <c r="D60" s="166"/>
    </row>
    <row r="61" spans="1:4" ht="16.2" thickBot="1" x14ac:dyDescent="0.35"/>
    <row r="62" spans="1:4" x14ac:dyDescent="0.3">
      <c r="A62" s="167" t="s">
        <v>40</v>
      </c>
      <c r="B62" s="168"/>
      <c r="C62" s="168"/>
      <c r="D62" s="169"/>
    </row>
    <row r="63" spans="1:4" ht="60" customHeight="1" x14ac:dyDescent="0.3">
      <c r="A63" s="120"/>
      <c r="B63" s="66"/>
      <c r="C63" s="66"/>
      <c r="D63" s="67"/>
    </row>
    <row r="64" spans="1:4" ht="32.25" customHeight="1" thickBot="1" x14ac:dyDescent="0.35">
      <c r="A64" s="84" t="s">
        <v>41</v>
      </c>
      <c r="B64" s="68"/>
      <c r="C64" s="132" t="s">
        <v>120</v>
      </c>
      <c r="D64" s="170"/>
    </row>
  </sheetData>
  <mergeCells count="15">
    <mergeCell ref="A1:D1"/>
    <mergeCell ref="A3:D3"/>
    <mergeCell ref="A4:D4"/>
    <mergeCell ref="A6:D6"/>
    <mergeCell ref="A8:C8"/>
    <mergeCell ref="B56:D56"/>
    <mergeCell ref="A60:D60"/>
    <mergeCell ref="A62:D62"/>
    <mergeCell ref="C64:D64"/>
    <mergeCell ref="A11:C11"/>
    <mergeCell ref="B13:D13"/>
    <mergeCell ref="B40:C40"/>
    <mergeCell ref="A44:D44"/>
    <mergeCell ref="A46:A47"/>
    <mergeCell ref="B46:D46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52606-4986-49C8-ADB2-F4FAC4C52EFF}">
  <dimension ref="A1:D62"/>
  <sheetViews>
    <sheetView topLeftCell="A52" zoomScaleNormal="100" workbookViewId="0">
      <selection activeCell="A60" sqref="A60:D62"/>
    </sheetView>
  </sheetViews>
  <sheetFormatPr baseColWidth="10" defaultColWidth="11.44140625" defaultRowHeight="15.6" x14ac:dyDescent="0.3"/>
  <cols>
    <col min="1" max="1" width="44.88671875" style="23" customWidth="1"/>
    <col min="2" max="2" width="23.44140625" style="23" customWidth="1"/>
    <col min="3" max="3" width="24.8867187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3.2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09"/>
      <c r="B8" s="109"/>
      <c r="C8" s="109" t="s">
        <v>47</v>
      </c>
      <c r="D8" s="20">
        <v>482738680</v>
      </c>
    </row>
    <row r="9" spans="1:4" x14ac:dyDescent="0.3">
      <c r="A9" s="152" t="s">
        <v>49</v>
      </c>
      <c r="B9" s="152"/>
      <c r="C9" s="152"/>
      <c r="D9" s="20">
        <f>+SUM(D8:D8)</f>
        <v>482738680</v>
      </c>
    </row>
    <row r="10" spans="1:4" ht="3.75" customHeight="1" x14ac:dyDescent="0.3">
      <c r="A10" s="21"/>
      <c r="B10" s="22"/>
    </row>
    <row r="11" spans="1:4" x14ac:dyDescent="0.3">
      <c r="A11" s="24" t="s">
        <v>127</v>
      </c>
      <c r="B11" s="171" t="str">
        <f>+'RESULTADOS FINAL'!B18</f>
        <v>TOTALL INC SAS BIC</v>
      </c>
      <c r="C11" s="172"/>
      <c r="D11" s="173"/>
    </row>
    <row r="12" spans="1:4" ht="5.25" customHeight="1" x14ac:dyDescent="0.3">
      <c r="A12" s="25"/>
      <c r="B12" s="26"/>
      <c r="C12" s="26"/>
      <c r="D12" s="26"/>
    </row>
    <row r="13" spans="1:4" x14ac:dyDescent="0.3">
      <c r="A13" s="27" t="s">
        <v>51</v>
      </c>
      <c r="B13" s="28"/>
      <c r="C13" s="28"/>
      <c r="D13" s="18"/>
    </row>
    <row r="14" spans="1:4" ht="5.25" customHeight="1" x14ac:dyDescent="0.3">
      <c r="A14" s="29"/>
      <c r="B14" s="30"/>
      <c r="C14" s="30"/>
      <c r="D14" s="18"/>
    </row>
    <row r="15" spans="1:4" ht="41.4" x14ac:dyDescent="0.3">
      <c r="A15" s="31" t="s">
        <v>7</v>
      </c>
      <c r="B15" s="72" t="str">
        <f>+B11</f>
        <v>TOTALL INC SAS BIC</v>
      </c>
      <c r="C15" s="32" t="s">
        <v>52</v>
      </c>
      <c r="D15"/>
    </row>
    <row r="16" spans="1:4" x14ac:dyDescent="0.3">
      <c r="A16" s="33" t="s">
        <v>53</v>
      </c>
      <c r="B16" s="73">
        <v>1</v>
      </c>
      <c r="C16" s="34">
        <f>+B16</f>
        <v>1</v>
      </c>
      <c r="D16"/>
    </row>
    <row r="17" spans="1:4" x14ac:dyDescent="0.3">
      <c r="A17" s="35" t="s">
        <v>54</v>
      </c>
      <c r="B17" s="69" t="s">
        <v>128</v>
      </c>
      <c r="C17" s="36"/>
      <c r="D17"/>
    </row>
    <row r="18" spans="1:4" x14ac:dyDescent="0.3">
      <c r="A18" s="37" t="s">
        <v>55</v>
      </c>
      <c r="B18" s="70" t="s">
        <v>108</v>
      </c>
      <c r="C18" s="38"/>
      <c r="D18"/>
    </row>
    <row r="19" spans="1:4" x14ac:dyDescent="0.3">
      <c r="A19" s="35" t="s">
        <v>56</v>
      </c>
      <c r="B19" s="71" t="s">
        <v>129</v>
      </c>
      <c r="C19" s="39"/>
      <c r="D19"/>
    </row>
    <row r="20" spans="1:4" x14ac:dyDescent="0.3">
      <c r="A20" s="35" t="s">
        <v>57</v>
      </c>
      <c r="B20" s="71" t="s">
        <v>130</v>
      </c>
      <c r="C20" s="39"/>
      <c r="D20"/>
    </row>
    <row r="21" spans="1:4" x14ac:dyDescent="0.3">
      <c r="A21" s="35" t="s">
        <v>58</v>
      </c>
      <c r="B21" s="71" t="s">
        <v>119</v>
      </c>
      <c r="C21" s="39"/>
      <c r="D21"/>
    </row>
    <row r="22" spans="1:4" ht="5.25" customHeight="1" x14ac:dyDescent="0.3">
      <c r="A22" s="40"/>
      <c r="B22" s="41"/>
      <c r="C22" s="42"/>
      <c r="D22"/>
    </row>
    <row r="23" spans="1:4" x14ac:dyDescent="0.3">
      <c r="A23" s="43" t="s">
        <v>59</v>
      </c>
      <c r="B23" s="85" t="s">
        <v>60</v>
      </c>
      <c r="C23" s="75" t="s">
        <v>61</v>
      </c>
      <c r="D23"/>
    </row>
    <row r="24" spans="1:4" x14ac:dyDescent="0.3">
      <c r="A24" s="35" t="s">
        <v>62</v>
      </c>
      <c r="B24" s="76">
        <v>1482932074</v>
      </c>
      <c r="C24" s="44">
        <f>(B24*$B$16)</f>
        <v>1482932074</v>
      </c>
      <c r="D24"/>
    </row>
    <row r="25" spans="1:4" x14ac:dyDescent="0.3">
      <c r="A25" s="35" t="s">
        <v>63</v>
      </c>
      <c r="B25" s="76">
        <v>1482932074</v>
      </c>
      <c r="C25" s="44">
        <f t="shared" ref="C25:C30" si="0">(B25*$B$16)</f>
        <v>1482932074</v>
      </c>
      <c r="D25"/>
    </row>
    <row r="26" spans="1:4" x14ac:dyDescent="0.3">
      <c r="A26" s="35" t="s">
        <v>64</v>
      </c>
      <c r="B26" s="76">
        <v>141329000</v>
      </c>
      <c r="C26" s="44">
        <f t="shared" si="0"/>
        <v>141329000</v>
      </c>
      <c r="D26"/>
    </row>
    <row r="27" spans="1:4" x14ac:dyDescent="0.3">
      <c r="A27" s="35" t="s">
        <v>65</v>
      </c>
      <c r="B27" s="76">
        <v>141329000</v>
      </c>
      <c r="C27" s="44">
        <f>(B27*$B$16)</f>
        <v>141329000</v>
      </c>
      <c r="D27"/>
    </row>
    <row r="28" spans="1:4" x14ac:dyDescent="0.3">
      <c r="A28" s="35" t="s">
        <v>66</v>
      </c>
      <c r="B28" s="76">
        <v>1341603074</v>
      </c>
      <c r="C28" s="44">
        <f>(B28*$B$16)</f>
        <v>1341603074</v>
      </c>
      <c r="D28"/>
    </row>
    <row r="29" spans="1:4" x14ac:dyDescent="0.3">
      <c r="A29" s="35" t="s">
        <v>67</v>
      </c>
      <c r="B29" s="76">
        <v>554886899</v>
      </c>
      <c r="C29" s="44">
        <f t="shared" si="0"/>
        <v>554886899</v>
      </c>
      <c r="D29"/>
    </row>
    <row r="30" spans="1:4" x14ac:dyDescent="0.3">
      <c r="A30" s="35" t="s">
        <v>68</v>
      </c>
      <c r="B30" s="76">
        <v>1000000</v>
      </c>
      <c r="C30" s="44">
        <f t="shared" si="0"/>
        <v>1000000</v>
      </c>
      <c r="D30"/>
    </row>
    <row r="31" spans="1:4" ht="3.75" customHeight="1" x14ac:dyDescent="0.3">
      <c r="B31" s="45"/>
      <c r="C31" s="45"/>
      <c r="D31"/>
    </row>
    <row r="32" spans="1:4" x14ac:dyDescent="0.3">
      <c r="A32" s="43" t="s">
        <v>69</v>
      </c>
      <c r="B32" s="77"/>
      <c r="C32" s="46"/>
      <c r="D32"/>
    </row>
    <row r="33" spans="1:4" x14ac:dyDescent="0.3">
      <c r="A33" s="35" t="s">
        <v>70</v>
      </c>
      <c r="B33" s="78">
        <f>+B24/B26</f>
        <v>10.492765631965131</v>
      </c>
      <c r="C33" s="47">
        <f>+C24/C26</f>
        <v>10.492765631965131</v>
      </c>
      <c r="D33"/>
    </row>
    <row r="34" spans="1:4" x14ac:dyDescent="0.3">
      <c r="A34" s="35" t="s">
        <v>71</v>
      </c>
      <c r="B34" s="79">
        <f>+B27/B25</f>
        <v>9.5303758329796567E-2</v>
      </c>
      <c r="C34" s="48">
        <f>+C27/C25</f>
        <v>9.5303758329796567E-2</v>
      </c>
      <c r="D34"/>
    </row>
    <row r="35" spans="1:4" x14ac:dyDescent="0.3">
      <c r="A35" s="35" t="s">
        <v>72</v>
      </c>
      <c r="B35" s="78">
        <f>+IFERROR(B29/B30,"INDETERMINADO")</f>
        <v>554.88689899999997</v>
      </c>
      <c r="C35" s="47">
        <f>+IFERROR(C29/C30,"INDETERMINADO")</f>
        <v>554.88689899999997</v>
      </c>
      <c r="D35"/>
    </row>
    <row r="36" spans="1:4" x14ac:dyDescent="0.3">
      <c r="A36" s="33" t="s">
        <v>73</v>
      </c>
      <c r="B36" s="80">
        <f>(B24-B26)</f>
        <v>1341603074</v>
      </c>
      <c r="C36" s="49">
        <f>+(B36)/D9</f>
        <v>2.7791497337648603</v>
      </c>
      <c r="D36"/>
    </row>
    <row r="37" spans="1:4" x14ac:dyDescent="0.3">
      <c r="A37" s="33" t="s">
        <v>74</v>
      </c>
      <c r="B37" s="80">
        <f>+(B25-B27)</f>
        <v>1341603074</v>
      </c>
      <c r="C37" s="49">
        <f>+(B37)/D9</f>
        <v>2.7791497337648603</v>
      </c>
      <c r="D37"/>
    </row>
    <row r="38" spans="1:4" x14ac:dyDescent="0.3">
      <c r="A38" s="43" t="s">
        <v>75</v>
      </c>
      <c r="B38" s="81"/>
      <c r="C38" s="50"/>
      <c r="D38"/>
    </row>
    <row r="39" spans="1:4" x14ac:dyDescent="0.3">
      <c r="A39" s="35" t="s">
        <v>76</v>
      </c>
      <c r="B39" s="82">
        <f>+B29/B28</f>
        <v>0.41359990130732216</v>
      </c>
      <c r="C39" s="51">
        <f>+C29/C28</f>
        <v>0.41359990130732216</v>
      </c>
      <c r="D39"/>
    </row>
    <row r="40" spans="1:4" x14ac:dyDescent="0.3">
      <c r="A40" s="35" t="s">
        <v>77</v>
      </c>
      <c r="B40" s="83">
        <f t="shared" ref="B40" si="1">+B29/B25</f>
        <v>0.3741822762679014</v>
      </c>
      <c r="C40" s="52">
        <f>+C29/C25</f>
        <v>0.3741822762679014</v>
      </c>
      <c r="D40"/>
    </row>
    <row r="41" spans="1:4" ht="5.25" customHeight="1" x14ac:dyDescent="0.3">
      <c r="B41" s="45"/>
      <c r="C41" s="45"/>
      <c r="D41" s="45"/>
    </row>
    <row r="42" spans="1:4" x14ac:dyDescent="0.3">
      <c r="A42" s="174" t="s">
        <v>78</v>
      </c>
      <c r="B42" s="174"/>
      <c r="C42" s="174"/>
      <c r="D42" s="174"/>
    </row>
    <row r="43" spans="1:4" ht="4.5" customHeight="1" x14ac:dyDescent="0.3">
      <c r="C43" s="53"/>
      <c r="D43" s="53"/>
    </row>
    <row r="44" spans="1:4" ht="15.75" customHeight="1" x14ac:dyDescent="0.3">
      <c r="A44" s="175" t="s">
        <v>79</v>
      </c>
      <c r="B44" s="176" t="str">
        <f>+B11</f>
        <v>TOTALL INC SAS BIC</v>
      </c>
      <c r="C44" s="176"/>
      <c r="D44" s="176"/>
    </row>
    <row r="45" spans="1:4" ht="46.8" x14ac:dyDescent="0.3">
      <c r="A45" s="175"/>
      <c r="B45" s="54" t="s">
        <v>80</v>
      </c>
      <c r="C45" s="55" t="s">
        <v>52</v>
      </c>
      <c r="D45" s="55" t="s">
        <v>81</v>
      </c>
    </row>
    <row r="46" spans="1:4" x14ac:dyDescent="0.3">
      <c r="A46" s="56" t="s">
        <v>82</v>
      </c>
      <c r="B46" s="57">
        <v>2</v>
      </c>
      <c r="C46" s="58">
        <f>+C33</f>
        <v>10.492765631965131</v>
      </c>
      <c r="D46" s="74" t="str">
        <f>IF(C46&gt;=B46,"HABILITADO","NO HABILITADO")</f>
        <v>HABILITADO</v>
      </c>
    </row>
    <row r="47" spans="1:4" x14ac:dyDescent="0.3">
      <c r="A47" s="56" t="s">
        <v>83</v>
      </c>
      <c r="B47" s="59">
        <v>0.5</v>
      </c>
      <c r="C47" s="60">
        <f>+C34</f>
        <v>9.5303758329796567E-2</v>
      </c>
      <c r="D47" s="74" t="str">
        <f>IF(C47&lt;=B47,"HABILITADO","NO HABILITADO")</f>
        <v>HABILITADO</v>
      </c>
    </row>
    <row r="48" spans="1:4" x14ac:dyDescent="0.3">
      <c r="A48" s="56" t="s">
        <v>84</v>
      </c>
      <c r="B48" s="61">
        <v>1.5</v>
      </c>
      <c r="C48" s="58">
        <f>+C35</f>
        <v>554.88689899999997</v>
      </c>
      <c r="D48" s="74" t="str">
        <f>+IF(C48=0,"HABILITADO",IF(C48&gt;=B48,"HABILITADO","NO HABILITADO"))</f>
        <v>HABILITADO</v>
      </c>
    </row>
    <row r="49" spans="1:4" x14ac:dyDescent="0.3">
      <c r="A49" s="35" t="s">
        <v>85</v>
      </c>
      <c r="B49" s="61">
        <v>0.57999999999999996</v>
      </c>
      <c r="C49" s="62">
        <f>+C36</f>
        <v>2.7791497337648603</v>
      </c>
      <c r="D49" s="74" t="str">
        <f>IF(C49&gt;B49,"HABILITADO","NO HABILITADO")</f>
        <v>HABILITADO</v>
      </c>
    </row>
    <row r="50" spans="1:4" x14ac:dyDescent="0.3">
      <c r="A50" s="35" t="s">
        <v>86</v>
      </c>
      <c r="B50" s="61">
        <v>0.24</v>
      </c>
      <c r="C50" s="62">
        <f>+C37</f>
        <v>2.7791497337648603</v>
      </c>
      <c r="D50" s="74" t="str">
        <f>IF(C50&gt;B50,"HABILITADO","NO HABILITADO")</f>
        <v>HABILITADO</v>
      </c>
    </row>
    <row r="51" spans="1:4" x14ac:dyDescent="0.3">
      <c r="A51" s="56" t="s">
        <v>87</v>
      </c>
      <c r="B51" s="61">
        <v>0.1</v>
      </c>
      <c r="C51" s="58">
        <f>+C39</f>
        <v>0.41359990130732216</v>
      </c>
      <c r="D51" s="74" t="str">
        <f>IF(C51&gt;=B51,"HABILITADO","NO HABILITADO")</f>
        <v>HABILITADO</v>
      </c>
    </row>
    <row r="52" spans="1:4" x14ac:dyDescent="0.3">
      <c r="A52" s="56" t="s">
        <v>88</v>
      </c>
      <c r="B52" s="61">
        <v>0.05</v>
      </c>
      <c r="C52" s="58">
        <f>+C40</f>
        <v>0.3741822762679014</v>
      </c>
      <c r="D52" s="74" t="str">
        <f>IF(C52&gt;=B52,"HABILITADO","NO HABILITADO")</f>
        <v>HABILITADO</v>
      </c>
    </row>
    <row r="53" spans="1:4" ht="4.5" customHeight="1" x14ac:dyDescent="0.3">
      <c r="C53" s="53"/>
      <c r="D53" s="53"/>
    </row>
    <row r="54" spans="1:4" ht="15.75" customHeight="1" x14ac:dyDescent="0.3">
      <c r="A54" s="63" t="s">
        <v>89</v>
      </c>
      <c r="B54" s="161" t="str">
        <f>IF(+AND(D46="HABILITADO",D47="HABILITADO",D48="HABILITADO",D49="HABILITADO",D50="HABILITADO",D51="HABILITADO",D52="HABILITADO"),"HABILITADO","NO HABILITADO")</f>
        <v>HABILITADO</v>
      </c>
      <c r="C54" s="162"/>
      <c r="D54" s="163"/>
    </row>
    <row r="55" spans="1:4" ht="4.5" customHeight="1" x14ac:dyDescent="0.3">
      <c r="C55" s="53"/>
      <c r="D55" s="53"/>
    </row>
    <row r="56" spans="1:4" x14ac:dyDescent="0.3">
      <c r="A56" s="64" t="s">
        <v>90</v>
      </c>
      <c r="B56" s="65"/>
      <c r="C56"/>
      <c r="D56"/>
    </row>
    <row r="57" spans="1:4" ht="4.5" customHeight="1" thickBot="1" x14ac:dyDescent="0.35">
      <c r="C57" s="53"/>
      <c r="D57" s="53"/>
    </row>
    <row r="58" spans="1:4" ht="33" customHeight="1" thickBot="1" x14ac:dyDescent="0.35">
      <c r="A58" s="164"/>
      <c r="B58" s="165"/>
      <c r="C58" s="165"/>
      <c r="D58" s="166"/>
    </row>
    <row r="59" spans="1:4" ht="16.2" thickBot="1" x14ac:dyDescent="0.35"/>
    <row r="60" spans="1:4" x14ac:dyDescent="0.3">
      <c r="A60" s="167" t="s">
        <v>40</v>
      </c>
      <c r="B60" s="168"/>
      <c r="C60" s="168"/>
      <c r="D60" s="169"/>
    </row>
    <row r="61" spans="1:4" ht="60" customHeight="1" x14ac:dyDescent="0.3">
      <c r="A61" s="120"/>
      <c r="B61" s="66"/>
      <c r="C61" s="66"/>
      <c r="D61" s="67"/>
    </row>
    <row r="62" spans="1:4" ht="32.25" customHeight="1" x14ac:dyDescent="0.3">
      <c r="A62" s="84" t="s">
        <v>41</v>
      </c>
      <c r="B62" s="68"/>
      <c r="C62" s="189" t="s">
        <v>131</v>
      </c>
      <c r="D62" s="190"/>
    </row>
  </sheetData>
  <mergeCells count="13">
    <mergeCell ref="A1:D1"/>
    <mergeCell ref="A3:D3"/>
    <mergeCell ref="A4:D4"/>
    <mergeCell ref="A6:D6"/>
    <mergeCell ref="B54:D54"/>
    <mergeCell ref="A58:D58"/>
    <mergeCell ref="A60:D60"/>
    <mergeCell ref="C62:D62"/>
    <mergeCell ref="A9:C9"/>
    <mergeCell ref="B11:D11"/>
    <mergeCell ref="A42:D42"/>
    <mergeCell ref="A44:A45"/>
    <mergeCell ref="B44:D44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BBCBF-BC74-425E-8B51-FEC7D2397913}">
  <dimension ref="A1:D63"/>
  <sheetViews>
    <sheetView topLeftCell="A53" zoomScaleNormal="100" workbookViewId="0">
      <selection activeCell="A61" sqref="A61:D63"/>
    </sheetView>
  </sheetViews>
  <sheetFormatPr baseColWidth="10" defaultColWidth="11.44140625" defaultRowHeight="15.6" x14ac:dyDescent="0.3"/>
  <cols>
    <col min="1" max="1" width="44.88671875" style="23" customWidth="1"/>
    <col min="2" max="2" width="26.33203125" style="23" customWidth="1"/>
    <col min="3" max="3" width="24.8867187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3.2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45</v>
      </c>
      <c r="B8" s="152"/>
      <c r="C8" s="152"/>
      <c r="D8" s="20">
        <v>237634335</v>
      </c>
    </row>
    <row r="9" spans="1:4" x14ac:dyDescent="0.3">
      <c r="A9" s="152" t="s">
        <v>46</v>
      </c>
      <c r="B9" s="152"/>
      <c r="C9" s="152"/>
      <c r="D9" s="20">
        <v>237634335</v>
      </c>
    </row>
    <row r="10" spans="1:4" x14ac:dyDescent="0.3">
      <c r="A10" s="152" t="s">
        <v>49</v>
      </c>
      <c r="B10" s="152"/>
      <c r="C10" s="152"/>
      <c r="D10" s="20">
        <f>+SUM(D8:D9)</f>
        <v>475268670</v>
      </c>
    </row>
    <row r="11" spans="1:4" ht="3.75" customHeight="1" x14ac:dyDescent="0.3">
      <c r="A11" s="21"/>
      <c r="B11" s="22"/>
    </row>
    <row r="12" spans="1:4" x14ac:dyDescent="0.3">
      <c r="A12" s="24" t="s">
        <v>132</v>
      </c>
      <c r="B12" s="171" t="str">
        <f>+'RESULTADOS FINAL'!B19</f>
        <v>JAM INGENIERIA Y MEDIO AMBIENTE S.A.S</v>
      </c>
      <c r="C12" s="172"/>
      <c r="D12" s="173"/>
    </row>
    <row r="13" spans="1:4" ht="5.25" customHeight="1" x14ac:dyDescent="0.3">
      <c r="A13" s="25"/>
      <c r="B13" s="26"/>
      <c r="C13" s="26"/>
      <c r="D13" s="26"/>
    </row>
    <row r="14" spans="1:4" x14ac:dyDescent="0.3">
      <c r="A14" s="27" t="s">
        <v>51</v>
      </c>
      <c r="B14" s="28"/>
      <c r="C14" s="28"/>
      <c r="D14" s="18"/>
    </row>
    <row r="15" spans="1:4" ht="5.25" customHeight="1" x14ac:dyDescent="0.3">
      <c r="A15" s="29"/>
      <c r="B15" s="30"/>
      <c r="C15" s="30"/>
      <c r="D15" s="18"/>
    </row>
    <row r="16" spans="1:4" ht="41.4" x14ac:dyDescent="0.3">
      <c r="A16" s="31" t="s">
        <v>7</v>
      </c>
      <c r="B16" s="72" t="str">
        <f>+B12</f>
        <v>JAM INGENIERIA Y MEDIO AMBIENTE S.A.S</v>
      </c>
      <c r="C16" s="32" t="s">
        <v>52</v>
      </c>
      <c r="D16"/>
    </row>
    <row r="17" spans="1:4" x14ac:dyDescent="0.3">
      <c r="A17" s="33" t="s">
        <v>53</v>
      </c>
      <c r="B17" s="73">
        <v>1</v>
      </c>
      <c r="C17" s="34">
        <f>+B17</f>
        <v>1</v>
      </c>
      <c r="D17"/>
    </row>
    <row r="18" spans="1:4" x14ac:dyDescent="0.3">
      <c r="A18" s="35" t="s">
        <v>54</v>
      </c>
      <c r="B18" s="69" t="s">
        <v>133</v>
      </c>
      <c r="C18" s="36"/>
      <c r="D18"/>
    </row>
    <row r="19" spans="1:4" x14ac:dyDescent="0.3">
      <c r="A19" s="37" t="s">
        <v>55</v>
      </c>
      <c r="B19" s="70" t="s">
        <v>108</v>
      </c>
      <c r="C19" s="38"/>
      <c r="D19"/>
    </row>
    <row r="20" spans="1:4" x14ac:dyDescent="0.3">
      <c r="A20" s="35" t="s">
        <v>56</v>
      </c>
      <c r="B20" s="71" t="s">
        <v>134</v>
      </c>
      <c r="C20" s="39"/>
      <c r="D20"/>
    </row>
    <row r="21" spans="1:4" x14ac:dyDescent="0.3">
      <c r="A21" s="35" t="s">
        <v>57</v>
      </c>
      <c r="B21" s="71" t="s">
        <v>135</v>
      </c>
      <c r="C21" s="39"/>
      <c r="D21"/>
    </row>
    <row r="22" spans="1:4" x14ac:dyDescent="0.3">
      <c r="A22" s="35" t="s">
        <v>58</v>
      </c>
      <c r="B22" s="71" t="s">
        <v>136</v>
      </c>
      <c r="C22" s="39"/>
      <c r="D22"/>
    </row>
    <row r="23" spans="1:4" ht="5.25" customHeight="1" x14ac:dyDescent="0.3">
      <c r="A23" s="40"/>
      <c r="B23" s="41"/>
      <c r="C23" s="42"/>
      <c r="D23"/>
    </row>
    <row r="24" spans="1:4" x14ac:dyDescent="0.3">
      <c r="A24" s="43" t="s">
        <v>59</v>
      </c>
      <c r="B24" s="85" t="s">
        <v>60</v>
      </c>
      <c r="C24" s="75" t="s">
        <v>61</v>
      </c>
      <c r="D24"/>
    </row>
    <row r="25" spans="1:4" x14ac:dyDescent="0.3">
      <c r="A25" s="35" t="s">
        <v>62</v>
      </c>
      <c r="B25" s="76">
        <v>4808392174</v>
      </c>
      <c r="C25" s="44">
        <f>(B25*$B$17)</f>
        <v>4808392174</v>
      </c>
      <c r="D25"/>
    </row>
    <row r="26" spans="1:4" x14ac:dyDescent="0.3">
      <c r="A26" s="35" t="s">
        <v>63</v>
      </c>
      <c r="B26" s="76">
        <v>6597253440</v>
      </c>
      <c r="C26" s="44">
        <f t="shared" ref="C26:C31" si="0">(B26*$B$17)</f>
        <v>6597253440</v>
      </c>
      <c r="D26"/>
    </row>
    <row r="27" spans="1:4" x14ac:dyDescent="0.3">
      <c r="A27" s="35" t="s">
        <v>64</v>
      </c>
      <c r="B27" s="76">
        <v>963422079</v>
      </c>
      <c r="C27" s="44">
        <f t="shared" si="0"/>
        <v>963422079</v>
      </c>
      <c r="D27"/>
    </row>
    <row r="28" spans="1:4" x14ac:dyDescent="0.3">
      <c r="A28" s="35" t="s">
        <v>65</v>
      </c>
      <c r="B28" s="76">
        <v>2251510375</v>
      </c>
      <c r="C28" s="44">
        <f t="shared" si="0"/>
        <v>2251510375</v>
      </c>
      <c r="D28"/>
    </row>
    <row r="29" spans="1:4" x14ac:dyDescent="0.3">
      <c r="A29" s="35" t="s">
        <v>66</v>
      </c>
      <c r="B29" s="76">
        <v>4345743065</v>
      </c>
      <c r="C29" s="44">
        <f t="shared" si="0"/>
        <v>4345743065</v>
      </c>
      <c r="D29"/>
    </row>
    <row r="30" spans="1:4" x14ac:dyDescent="0.3">
      <c r="A30" s="35" t="s">
        <v>67</v>
      </c>
      <c r="B30" s="76">
        <v>741625117</v>
      </c>
      <c r="C30" s="44">
        <f t="shared" si="0"/>
        <v>741625117</v>
      </c>
      <c r="D30"/>
    </row>
    <row r="31" spans="1:4" x14ac:dyDescent="0.3">
      <c r="A31" s="35" t="s">
        <v>68</v>
      </c>
      <c r="B31" s="76">
        <v>34681060</v>
      </c>
      <c r="C31" s="44">
        <f t="shared" si="0"/>
        <v>34681060</v>
      </c>
      <c r="D31"/>
    </row>
    <row r="32" spans="1:4" ht="3.75" customHeight="1" x14ac:dyDescent="0.3">
      <c r="B32" s="45"/>
      <c r="C32" s="45"/>
      <c r="D32"/>
    </row>
    <row r="33" spans="1:4" x14ac:dyDescent="0.3">
      <c r="A33" s="43" t="s">
        <v>69</v>
      </c>
      <c r="B33" s="77"/>
      <c r="C33" s="46"/>
      <c r="D33"/>
    </row>
    <row r="34" spans="1:4" x14ac:dyDescent="0.3">
      <c r="A34" s="35" t="s">
        <v>70</v>
      </c>
      <c r="B34" s="78">
        <f>+B25/B27</f>
        <v>4.9909507772449544</v>
      </c>
      <c r="C34" s="47">
        <f>+C25/C27</f>
        <v>4.9909507772449544</v>
      </c>
      <c r="D34"/>
    </row>
    <row r="35" spans="1:4" x14ac:dyDescent="0.3">
      <c r="A35" s="35" t="s">
        <v>71</v>
      </c>
      <c r="B35" s="79">
        <f>+B28/B26</f>
        <v>0.34127995770918873</v>
      </c>
      <c r="C35" s="48">
        <f>+C28/C26</f>
        <v>0.34127995770918873</v>
      </c>
      <c r="D35"/>
    </row>
    <row r="36" spans="1:4" x14ac:dyDescent="0.3">
      <c r="A36" s="35" t="s">
        <v>72</v>
      </c>
      <c r="B36" s="78">
        <f>+IFERROR(B30/B31,"INDETERMINADO")</f>
        <v>21.384153685037308</v>
      </c>
      <c r="C36" s="47">
        <f>+IFERROR(C30/C31,"INDETERMINADO")</f>
        <v>21.384153685037308</v>
      </c>
      <c r="D36"/>
    </row>
    <row r="37" spans="1:4" x14ac:dyDescent="0.3">
      <c r="A37" s="33" t="s">
        <v>73</v>
      </c>
      <c r="B37" s="80">
        <f>(B25-B27)</f>
        <v>3844970095</v>
      </c>
      <c r="C37" s="49">
        <f>+(B37)/D10</f>
        <v>8.0900979544896146</v>
      </c>
      <c r="D37"/>
    </row>
    <row r="38" spans="1:4" x14ac:dyDescent="0.3">
      <c r="A38" s="33" t="s">
        <v>74</v>
      </c>
      <c r="B38" s="80">
        <f>+(B26-B28)</f>
        <v>4345743065</v>
      </c>
      <c r="C38" s="49">
        <f>+(B38)/D10</f>
        <v>9.1437608647757074</v>
      </c>
      <c r="D38"/>
    </row>
    <row r="39" spans="1:4" x14ac:dyDescent="0.3">
      <c r="A39" s="43" t="s">
        <v>75</v>
      </c>
      <c r="B39" s="81"/>
      <c r="C39" s="50"/>
      <c r="D39"/>
    </row>
    <row r="40" spans="1:4" x14ac:dyDescent="0.3">
      <c r="A40" s="35" t="s">
        <v>76</v>
      </c>
      <c r="B40" s="82">
        <f t="shared" ref="B40" si="1">+B30/B29</f>
        <v>0.17065553713309556</v>
      </c>
      <c r="C40" s="51">
        <f>+C30/C29</f>
        <v>0.17065553713309556</v>
      </c>
      <c r="D40"/>
    </row>
    <row r="41" spans="1:4" x14ac:dyDescent="0.3">
      <c r="A41" s="35" t="s">
        <v>77</v>
      </c>
      <c r="B41" s="83">
        <f t="shared" ref="B41" si="2">+B30/B26</f>
        <v>0.11241422263747382</v>
      </c>
      <c r="C41" s="52">
        <f>+C30/C26</f>
        <v>0.11241422263747382</v>
      </c>
      <c r="D41"/>
    </row>
    <row r="42" spans="1:4" ht="5.25" customHeight="1" x14ac:dyDescent="0.3">
      <c r="B42" s="45"/>
      <c r="C42" s="45"/>
      <c r="D42" s="45"/>
    </row>
    <row r="43" spans="1:4" x14ac:dyDescent="0.3">
      <c r="A43" s="174" t="s">
        <v>78</v>
      </c>
      <c r="B43" s="174"/>
      <c r="C43" s="174"/>
      <c r="D43" s="174"/>
    </row>
    <row r="44" spans="1:4" ht="4.5" customHeight="1" x14ac:dyDescent="0.3">
      <c r="C44" s="53"/>
      <c r="D44" s="53"/>
    </row>
    <row r="45" spans="1:4" ht="15.75" customHeight="1" x14ac:dyDescent="0.3">
      <c r="A45" s="175" t="s">
        <v>79</v>
      </c>
      <c r="B45" s="176" t="str">
        <f>+B12</f>
        <v>JAM INGENIERIA Y MEDIO AMBIENTE S.A.S</v>
      </c>
      <c r="C45" s="176"/>
      <c r="D45" s="176"/>
    </row>
    <row r="46" spans="1:4" ht="46.8" x14ac:dyDescent="0.3">
      <c r="A46" s="175"/>
      <c r="B46" s="54" t="s">
        <v>80</v>
      </c>
      <c r="C46" s="55" t="s">
        <v>52</v>
      </c>
      <c r="D46" s="55" t="s">
        <v>81</v>
      </c>
    </row>
    <row r="47" spans="1:4" x14ac:dyDescent="0.3">
      <c r="A47" s="56" t="s">
        <v>82</v>
      </c>
      <c r="B47" s="57">
        <v>2</v>
      </c>
      <c r="C47" s="58">
        <f>+C34</f>
        <v>4.9909507772449544</v>
      </c>
      <c r="D47" s="74" t="str">
        <f>IF(C47&gt;=B47,"HABILITADO","NO HABILITADO")</f>
        <v>HABILITADO</v>
      </c>
    </row>
    <row r="48" spans="1:4" x14ac:dyDescent="0.3">
      <c r="A48" s="56" t="s">
        <v>83</v>
      </c>
      <c r="B48" s="59">
        <v>0.5</v>
      </c>
      <c r="C48" s="60">
        <f>+C35</f>
        <v>0.34127995770918873</v>
      </c>
      <c r="D48" s="74" t="str">
        <f>IF(C48&lt;=B48,"HABILITADO","NO HABILITADO")</f>
        <v>HABILITADO</v>
      </c>
    </row>
    <row r="49" spans="1:4" x14ac:dyDescent="0.3">
      <c r="A49" s="56" t="s">
        <v>84</v>
      </c>
      <c r="B49" s="61">
        <v>1.5</v>
      </c>
      <c r="C49" s="58">
        <f>+C36</f>
        <v>21.384153685037308</v>
      </c>
      <c r="D49" s="74" t="str">
        <f>+IF(C49=0,"HABILITADO",IF(C49&gt;=B49,"HABILITADO","NO HABILITADO"))</f>
        <v>HABILITADO</v>
      </c>
    </row>
    <row r="50" spans="1:4" x14ac:dyDescent="0.3">
      <c r="A50" s="35" t="s">
        <v>85</v>
      </c>
      <c r="B50" s="61">
        <v>0.57999999999999996</v>
      </c>
      <c r="C50" s="62">
        <f>+C37</f>
        <v>8.0900979544896146</v>
      </c>
      <c r="D50" s="74" t="str">
        <f>IF(C50&gt;B50,"HABILITADO","NO HABILITADO")</f>
        <v>HABILITADO</v>
      </c>
    </row>
    <row r="51" spans="1:4" x14ac:dyDescent="0.3">
      <c r="A51" s="35" t="s">
        <v>86</v>
      </c>
      <c r="B51" s="61">
        <v>0.24</v>
      </c>
      <c r="C51" s="62">
        <f>+C38</f>
        <v>9.1437608647757074</v>
      </c>
      <c r="D51" s="74" t="str">
        <f>IF(C51&gt;B51,"HABILITADO","NO HABILITADO")</f>
        <v>HABILITADO</v>
      </c>
    </row>
    <row r="52" spans="1:4" x14ac:dyDescent="0.3">
      <c r="A52" s="56" t="s">
        <v>87</v>
      </c>
      <c r="B52" s="61">
        <v>0.15</v>
      </c>
      <c r="C52" s="58">
        <f>+C40</f>
        <v>0.17065553713309556</v>
      </c>
      <c r="D52" s="74" t="str">
        <f>IF(C52&gt;=B52,"HABILITADO","NO HABILITADO")</f>
        <v>HABILITADO</v>
      </c>
    </row>
    <row r="53" spans="1:4" x14ac:dyDescent="0.3">
      <c r="A53" s="56" t="s">
        <v>88</v>
      </c>
      <c r="B53" s="61">
        <v>7.0000000000000007E-2</v>
      </c>
      <c r="C53" s="58">
        <f>+C41</f>
        <v>0.11241422263747382</v>
      </c>
      <c r="D53" s="74" t="str">
        <f>IF(C53&gt;=B53,"HABILITADO","NO HABILITADO")</f>
        <v>HABILITADO</v>
      </c>
    </row>
    <row r="54" spans="1:4" ht="4.5" customHeight="1" x14ac:dyDescent="0.3">
      <c r="C54" s="53"/>
      <c r="D54" s="53"/>
    </row>
    <row r="55" spans="1:4" ht="15.75" customHeight="1" x14ac:dyDescent="0.3">
      <c r="A55" s="63" t="s">
        <v>89</v>
      </c>
      <c r="B55" s="161" t="str">
        <f>IF(+AND(D47="HABILITADO",D48="HABILITADO",D49="HABILITADO",D50="HABILITADO",D51="HABILITADO",D52="HABILITADO",D53="HABILITADO"),"HABILITADO","NO HABILITADO")</f>
        <v>HABILITADO</v>
      </c>
      <c r="C55" s="162"/>
      <c r="D55" s="163"/>
    </row>
    <row r="56" spans="1:4" ht="4.5" customHeight="1" x14ac:dyDescent="0.3">
      <c r="C56" s="53"/>
      <c r="D56" s="53"/>
    </row>
    <row r="57" spans="1:4" x14ac:dyDescent="0.3">
      <c r="A57" s="64" t="s">
        <v>90</v>
      </c>
      <c r="B57" s="65"/>
      <c r="C57"/>
      <c r="D57"/>
    </row>
    <row r="58" spans="1:4" ht="4.5" customHeight="1" thickBot="1" x14ac:dyDescent="0.35">
      <c r="C58" s="53"/>
      <c r="D58" s="53"/>
    </row>
    <row r="59" spans="1:4" ht="33" customHeight="1" thickBot="1" x14ac:dyDescent="0.35">
      <c r="A59" s="164"/>
      <c r="B59" s="165"/>
      <c r="C59" s="165"/>
      <c r="D59" s="166"/>
    </row>
    <row r="60" spans="1:4" ht="16.2" thickBot="1" x14ac:dyDescent="0.35"/>
    <row r="61" spans="1:4" x14ac:dyDescent="0.3">
      <c r="A61" s="167" t="s">
        <v>40</v>
      </c>
      <c r="B61" s="168"/>
      <c r="C61" s="168"/>
      <c r="D61" s="169"/>
    </row>
    <row r="62" spans="1:4" ht="60" customHeight="1" x14ac:dyDescent="0.3">
      <c r="A62" s="120"/>
      <c r="B62" s="66"/>
      <c r="C62" s="66"/>
      <c r="D62" s="67"/>
    </row>
    <row r="63" spans="1:4" ht="32.25" customHeight="1" thickBot="1" x14ac:dyDescent="0.35">
      <c r="A63" s="84" t="s">
        <v>41</v>
      </c>
      <c r="B63" s="68"/>
      <c r="C63" s="132" t="s">
        <v>137</v>
      </c>
      <c r="D63" s="170"/>
    </row>
  </sheetData>
  <mergeCells count="15">
    <mergeCell ref="A1:D1"/>
    <mergeCell ref="A3:D3"/>
    <mergeCell ref="A4:D4"/>
    <mergeCell ref="A6:D6"/>
    <mergeCell ref="A8:C8"/>
    <mergeCell ref="B55:D55"/>
    <mergeCell ref="A59:D59"/>
    <mergeCell ref="A61:D61"/>
    <mergeCell ref="C63:D63"/>
    <mergeCell ref="A9:C9"/>
    <mergeCell ref="A10:C10"/>
    <mergeCell ref="B12:D12"/>
    <mergeCell ref="A43:D43"/>
    <mergeCell ref="A45:A46"/>
    <mergeCell ref="B45:D45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70402-6CAA-4D3C-A527-11F2EEAC5227}">
  <dimension ref="A1:D62"/>
  <sheetViews>
    <sheetView topLeftCell="A52" zoomScaleNormal="100" workbookViewId="0">
      <selection activeCell="A60" sqref="A60:D62"/>
    </sheetView>
  </sheetViews>
  <sheetFormatPr baseColWidth="10" defaultColWidth="11.44140625" defaultRowHeight="15.6" x14ac:dyDescent="0.3"/>
  <cols>
    <col min="1" max="1" width="44.88671875" style="23" customWidth="1"/>
    <col min="2" max="2" width="23.44140625" style="23" customWidth="1"/>
    <col min="3" max="3" width="24.88671875" style="23" customWidth="1"/>
    <col min="4" max="4" width="20.33203125" style="23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86.4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44</v>
      </c>
      <c r="B8" s="152"/>
      <c r="C8" s="152"/>
      <c r="D8" s="20">
        <v>482738680</v>
      </c>
    </row>
    <row r="9" spans="1:4" x14ac:dyDescent="0.3">
      <c r="A9" s="152" t="s">
        <v>49</v>
      </c>
      <c r="B9" s="152"/>
      <c r="C9" s="152"/>
      <c r="D9" s="20">
        <f>+SUM(D8:D8)</f>
        <v>482738680</v>
      </c>
    </row>
    <row r="10" spans="1:4" ht="3.75" customHeight="1" x14ac:dyDescent="0.3">
      <c r="A10" s="21"/>
      <c r="B10" s="22"/>
    </row>
    <row r="11" spans="1:4" x14ac:dyDescent="0.3">
      <c r="A11" s="24" t="s">
        <v>138</v>
      </c>
      <c r="B11" s="171" t="str">
        <f>+'RESULTADOS FINAL'!B20</f>
        <v>GB10 CONSULTORES S.A.S.</v>
      </c>
      <c r="C11" s="172"/>
      <c r="D11" s="173"/>
    </row>
    <row r="12" spans="1:4" ht="5.25" customHeight="1" x14ac:dyDescent="0.3">
      <c r="A12" s="25"/>
      <c r="B12" s="26"/>
      <c r="C12" s="26"/>
      <c r="D12" s="26"/>
    </row>
    <row r="13" spans="1:4" x14ac:dyDescent="0.3">
      <c r="A13" s="27" t="s">
        <v>51</v>
      </c>
      <c r="B13" s="28"/>
      <c r="C13" s="28"/>
      <c r="D13" s="18"/>
    </row>
    <row r="14" spans="1:4" ht="5.25" customHeight="1" x14ac:dyDescent="0.3">
      <c r="A14" s="29"/>
      <c r="B14" s="30"/>
      <c r="C14" s="30"/>
      <c r="D14" s="18"/>
    </row>
    <row r="15" spans="1:4" ht="41.4" x14ac:dyDescent="0.3">
      <c r="A15" s="31" t="s">
        <v>7</v>
      </c>
      <c r="B15" s="72" t="str">
        <f>+B11</f>
        <v>GB10 CONSULTORES S.A.S.</v>
      </c>
      <c r="C15" s="32" t="s">
        <v>52</v>
      </c>
      <c r="D15"/>
    </row>
    <row r="16" spans="1:4" x14ac:dyDescent="0.3">
      <c r="A16" s="33" t="s">
        <v>53</v>
      </c>
      <c r="B16" s="73">
        <v>1</v>
      </c>
      <c r="C16" s="34">
        <f>+B16</f>
        <v>1</v>
      </c>
      <c r="D16"/>
    </row>
    <row r="17" spans="1:4" x14ac:dyDescent="0.3">
      <c r="A17" s="35" t="s">
        <v>54</v>
      </c>
      <c r="B17" s="69" t="s">
        <v>139</v>
      </c>
      <c r="C17" s="36"/>
      <c r="D17"/>
    </row>
    <row r="18" spans="1:4" x14ac:dyDescent="0.3">
      <c r="A18" s="37" t="s">
        <v>55</v>
      </c>
      <c r="B18" s="70" t="s">
        <v>140</v>
      </c>
      <c r="C18" s="38"/>
      <c r="D18"/>
    </row>
    <row r="19" spans="1:4" x14ac:dyDescent="0.3">
      <c r="A19" s="35" t="s">
        <v>56</v>
      </c>
      <c r="B19" s="71" t="s">
        <v>141</v>
      </c>
      <c r="C19" s="39"/>
      <c r="D19"/>
    </row>
    <row r="20" spans="1:4" x14ac:dyDescent="0.3">
      <c r="A20" s="35" t="s">
        <v>57</v>
      </c>
      <c r="B20" s="71">
        <v>45508</v>
      </c>
      <c r="C20" s="39"/>
      <c r="D20"/>
    </row>
    <row r="21" spans="1:4" x14ac:dyDescent="0.3">
      <c r="A21" s="35" t="s">
        <v>58</v>
      </c>
      <c r="B21" s="71" t="s">
        <v>119</v>
      </c>
      <c r="C21" s="39"/>
      <c r="D21"/>
    </row>
    <row r="22" spans="1:4" ht="5.25" customHeight="1" x14ac:dyDescent="0.3">
      <c r="A22" s="40"/>
      <c r="B22" s="41"/>
      <c r="C22" s="42"/>
      <c r="D22"/>
    </row>
    <row r="23" spans="1:4" x14ac:dyDescent="0.3">
      <c r="A23" s="43" t="s">
        <v>59</v>
      </c>
      <c r="B23" s="85" t="s">
        <v>60</v>
      </c>
      <c r="C23" s="75" t="s">
        <v>61</v>
      </c>
      <c r="D23"/>
    </row>
    <row r="24" spans="1:4" x14ac:dyDescent="0.3">
      <c r="A24" s="35" t="s">
        <v>62</v>
      </c>
      <c r="B24" s="118">
        <v>981888687.50999999</v>
      </c>
      <c r="C24" s="119">
        <f>(B24*$B$16)</f>
        <v>981888687.50999999</v>
      </c>
      <c r="D24"/>
    </row>
    <row r="25" spans="1:4" x14ac:dyDescent="0.3">
      <c r="A25" s="35" t="s">
        <v>63</v>
      </c>
      <c r="B25" s="118">
        <v>984602124.50999999</v>
      </c>
      <c r="C25" s="119">
        <f t="shared" ref="C25:C30" si="0">(B25*$B$16)</f>
        <v>984602124.50999999</v>
      </c>
      <c r="D25"/>
    </row>
    <row r="26" spans="1:4" x14ac:dyDescent="0.3">
      <c r="A26" s="35" t="s">
        <v>64</v>
      </c>
      <c r="B26" s="118">
        <v>111579646.5</v>
      </c>
      <c r="C26" s="119">
        <f t="shared" si="0"/>
        <v>111579646.5</v>
      </c>
      <c r="D26"/>
    </row>
    <row r="27" spans="1:4" x14ac:dyDescent="0.3">
      <c r="A27" s="35" t="s">
        <v>65</v>
      </c>
      <c r="B27" s="118">
        <v>111579646.5</v>
      </c>
      <c r="C27" s="119">
        <f t="shared" si="0"/>
        <v>111579646.5</v>
      </c>
      <c r="D27"/>
    </row>
    <row r="28" spans="1:4" x14ac:dyDescent="0.3">
      <c r="A28" s="35" t="s">
        <v>66</v>
      </c>
      <c r="B28" s="118">
        <v>873022478.00999999</v>
      </c>
      <c r="C28" s="119">
        <f t="shared" si="0"/>
        <v>873022478.00999999</v>
      </c>
      <c r="D28"/>
    </row>
    <row r="29" spans="1:4" x14ac:dyDescent="0.3">
      <c r="A29" s="35" t="s">
        <v>67</v>
      </c>
      <c r="B29" s="118">
        <v>169596711</v>
      </c>
      <c r="C29" s="119">
        <f t="shared" si="0"/>
        <v>169596711</v>
      </c>
      <c r="D29"/>
    </row>
    <row r="30" spans="1:4" x14ac:dyDescent="0.3">
      <c r="A30" s="35" t="s">
        <v>68</v>
      </c>
      <c r="B30" s="118">
        <v>0</v>
      </c>
      <c r="C30" s="119">
        <f t="shared" si="0"/>
        <v>0</v>
      </c>
      <c r="D30"/>
    </row>
    <row r="31" spans="1:4" ht="3.75" customHeight="1" x14ac:dyDescent="0.3">
      <c r="B31" s="45"/>
      <c r="C31" s="45"/>
      <c r="D31"/>
    </row>
    <row r="32" spans="1:4" x14ac:dyDescent="0.3">
      <c r="A32" s="43" t="s">
        <v>69</v>
      </c>
      <c r="B32" s="77"/>
      <c r="C32" s="46"/>
      <c r="D32"/>
    </row>
    <row r="33" spans="1:4" x14ac:dyDescent="0.3">
      <c r="A33" s="35" t="s">
        <v>70</v>
      </c>
      <c r="B33" s="78">
        <f>+B24/B26</f>
        <v>8.7998906459163226</v>
      </c>
      <c r="C33" s="47">
        <f>+C24/C26</f>
        <v>8.7998906459163226</v>
      </c>
      <c r="D33"/>
    </row>
    <row r="34" spans="1:4" x14ac:dyDescent="0.3">
      <c r="A34" s="35" t="s">
        <v>71</v>
      </c>
      <c r="B34" s="79">
        <f>+B27/B25</f>
        <v>0.113324604652391</v>
      </c>
      <c r="C34" s="48">
        <f>+C27/C25</f>
        <v>0.113324604652391</v>
      </c>
      <c r="D34"/>
    </row>
    <row r="35" spans="1:4" x14ac:dyDescent="0.3">
      <c r="A35" s="35" t="s">
        <v>72</v>
      </c>
      <c r="B35" s="78" t="str">
        <f>+IFERROR(B29/B30,"INDETERMINADO")</f>
        <v>INDETERMINADO</v>
      </c>
      <c r="C35" s="47" t="str">
        <f>+IFERROR(C29/C30,"INDETERMINADO")</f>
        <v>INDETERMINADO</v>
      </c>
      <c r="D35"/>
    </row>
    <row r="36" spans="1:4" x14ac:dyDescent="0.3">
      <c r="A36" s="33" t="s">
        <v>73</v>
      </c>
      <c r="B36" s="80">
        <f>(B24-B26)</f>
        <v>870309041.00999999</v>
      </c>
      <c r="C36" s="49">
        <f>+(B36)/D9</f>
        <v>1.8028574818367569</v>
      </c>
      <c r="D36"/>
    </row>
    <row r="37" spans="1:4" x14ac:dyDescent="0.3">
      <c r="A37" s="33" t="s">
        <v>74</v>
      </c>
      <c r="B37" s="80">
        <f>+(B25-B27)</f>
        <v>873022478.00999999</v>
      </c>
      <c r="C37" s="49">
        <f>+(B37)/D9</f>
        <v>1.8084784049415721</v>
      </c>
      <c r="D37"/>
    </row>
    <row r="38" spans="1:4" x14ac:dyDescent="0.3">
      <c r="A38" s="43" t="s">
        <v>75</v>
      </c>
      <c r="B38" s="81"/>
      <c r="C38" s="50"/>
      <c r="D38"/>
    </row>
    <row r="39" spans="1:4" x14ac:dyDescent="0.3">
      <c r="A39" s="35" t="s">
        <v>76</v>
      </c>
      <c r="B39" s="82">
        <f t="shared" ref="B39" si="1">+B29/B28</f>
        <v>0.19426385376306127</v>
      </c>
      <c r="C39" s="51">
        <f>+C29/C28</f>
        <v>0.19426385376306127</v>
      </c>
      <c r="D39"/>
    </row>
    <row r="40" spans="1:4" x14ac:dyDescent="0.3">
      <c r="A40" s="35" t="s">
        <v>77</v>
      </c>
      <c r="B40" s="83">
        <f t="shared" ref="B40" si="2">+B29/B25</f>
        <v>0.17224897933711245</v>
      </c>
      <c r="C40" s="52">
        <f>+C29/C25</f>
        <v>0.17224897933711245</v>
      </c>
      <c r="D40"/>
    </row>
    <row r="41" spans="1:4" ht="5.25" customHeight="1" x14ac:dyDescent="0.3">
      <c r="B41" s="45"/>
      <c r="C41" s="45"/>
      <c r="D41" s="45"/>
    </row>
    <row r="42" spans="1:4" x14ac:dyDescent="0.3">
      <c r="A42" s="174" t="s">
        <v>78</v>
      </c>
      <c r="B42" s="174"/>
      <c r="C42" s="174"/>
      <c r="D42" s="174"/>
    </row>
    <row r="43" spans="1:4" ht="4.5" customHeight="1" x14ac:dyDescent="0.3">
      <c r="C43" s="53"/>
      <c r="D43" s="53"/>
    </row>
    <row r="44" spans="1:4" ht="15.75" customHeight="1" x14ac:dyDescent="0.3">
      <c r="A44" s="175" t="s">
        <v>79</v>
      </c>
      <c r="B44" s="176" t="str">
        <f>+B11</f>
        <v>GB10 CONSULTORES S.A.S.</v>
      </c>
      <c r="C44" s="176"/>
      <c r="D44" s="176"/>
    </row>
    <row r="45" spans="1:4" ht="46.8" x14ac:dyDescent="0.3">
      <c r="A45" s="175"/>
      <c r="B45" s="54" t="s">
        <v>80</v>
      </c>
      <c r="C45" s="55" t="s">
        <v>52</v>
      </c>
      <c r="D45" s="55" t="s">
        <v>81</v>
      </c>
    </row>
    <row r="46" spans="1:4" x14ac:dyDescent="0.3">
      <c r="A46" s="56" t="s">
        <v>82</v>
      </c>
      <c r="B46" s="57">
        <v>2</v>
      </c>
      <c r="C46" s="58">
        <f>+C33</f>
        <v>8.7998906459163226</v>
      </c>
      <c r="D46" s="74" t="str">
        <f>IF(C46&gt;=B46,"HABILITADO","NO HABILITADO")</f>
        <v>HABILITADO</v>
      </c>
    </row>
    <row r="47" spans="1:4" x14ac:dyDescent="0.3">
      <c r="A47" s="56" t="s">
        <v>83</v>
      </c>
      <c r="B47" s="59">
        <v>0.5</v>
      </c>
      <c r="C47" s="60">
        <f>+C34</f>
        <v>0.113324604652391</v>
      </c>
      <c r="D47" s="74" t="str">
        <f>IF(C47&lt;=B47,"HABILITADO","NO HABILITADO")</f>
        <v>HABILITADO</v>
      </c>
    </row>
    <row r="48" spans="1:4" x14ac:dyDescent="0.3">
      <c r="A48" s="56" t="s">
        <v>84</v>
      </c>
      <c r="B48" s="61">
        <v>1.5</v>
      </c>
      <c r="C48" s="58" t="str">
        <f>+C35</f>
        <v>INDETERMINADO</v>
      </c>
      <c r="D48" s="74" t="str">
        <f>+IF(C48=0,"HABILITADO",IF(C48&gt;=B48,"HABILITADO","NO HABILITADO"))</f>
        <v>HABILITADO</v>
      </c>
    </row>
    <row r="49" spans="1:4" x14ac:dyDescent="0.3">
      <c r="A49" s="35" t="s">
        <v>85</v>
      </c>
      <c r="B49" s="61">
        <v>0.57999999999999996</v>
      </c>
      <c r="C49" s="62">
        <f>+C36</f>
        <v>1.8028574818367569</v>
      </c>
      <c r="D49" s="74" t="str">
        <f>IF(C49&gt;B49,"HABILITADO","NO HABILITADO")</f>
        <v>HABILITADO</v>
      </c>
    </row>
    <row r="50" spans="1:4" x14ac:dyDescent="0.3">
      <c r="A50" s="35" t="s">
        <v>86</v>
      </c>
      <c r="B50" s="61">
        <v>0.24</v>
      </c>
      <c r="C50" s="62">
        <f>+C37</f>
        <v>1.8084784049415721</v>
      </c>
      <c r="D50" s="74" t="str">
        <f>IF(C50&gt;B50,"HABILITADO","NO HABILITADO")</f>
        <v>HABILITADO</v>
      </c>
    </row>
    <row r="51" spans="1:4" x14ac:dyDescent="0.3">
      <c r="A51" s="56" t="s">
        <v>87</v>
      </c>
      <c r="B51" s="61">
        <v>0.15</v>
      </c>
      <c r="C51" s="58">
        <f>+C39</f>
        <v>0.19426385376306127</v>
      </c>
      <c r="D51" s="74" t="str">
        <f>IF(C51&gt;=B51,"HABILITADO","NO HABILITADO")</f>
        <v>HABILITADO</v>
      </c>
    </row>
    <row r="52" spans="1:4" x14ac:dyDescent="0.3">
      <c r="A52" s="56" t="s">
        <v>88</v>
      </c>
      <c r="B52" s="61">
        <v>7.0000000000000007E-2</v>
      </c>
      <c r="C52" s="58">
        <f>+C40</f>
        <v>0.17224897933711245</v>
      </c>
      <c r="D52" s="74" t="str">
        <f>IF(C52&gt;=B52,"HABILITADO","NO HABILITADO")</f>
        <v>HABILITADO</v>
      </c>
    </row>
    <row r="53" spans="1:4" ht="4.5" customHeight="1" x14ac:dyDescent="0.3">
      <c r="C53" s="53"/>
      <c r="D53" s="53"/>
    </row>
    <row r="54" spans="1:4" ht="15.75" customHeight="1" x14ac:dyDescent="0.3">
      <c r="A54" s="63" t="s">
        <v>89</v>
      </c>
      <c r="B54" s="161" t="str">
        <f>IF(+AND(D46="HABILITADO",D47="HABILITADO",D48="HABILITADO",D49="HABILITADO",D50="HABILITADO",D51="HABILITADO",D52="HABILITADO"),"HABILITADO","NO HABILITADO")</f>
        <v>HABILITADO</v>
      </c>
      <c r="C54" s="162"/>
      <c r="D54" s="163"/>
    </row>
    <row r="55" spans="1:4" ht="4.5" customHeight="1" x14ac:dyDescent="0.3">
      <c r="C55" s="53"/>
      <c r="D55" s="53"/>
    </row>
    <row r="56" spans="1:4" x14ac:dyDescent="0.3">
      <c r="A56" s="64" t="s">
        <v>90</v>
      </c>
      <c r="B56" s="65"/>
      <c r="C56"/>
      <c r="D56"/>
    </row>
    <row r="57" spans="1:4" ht="4.5" customHeight="1" thickBot="1" x14ac:dyDescent="0.35">
      <c r="C57" s="53"/>
      <c r="D57" s="53"/>
    </row>
    <row r="58" spans="1:4" ht="33" customHeight="1" thickBot="1" x14ac:dyDescent="0.35">
      <c r="A58" s="164"/>
      <c r="B58" s="165"/>
      <c r="C58" s="165"/>
      <c r="D58" s="166"/>
    </row>
    <row r="59" spans="1:4" ht="16.2" thickBot="1" x14ac:dyDescent="0.35"/>
    <row r="60" spans="1:4" x14ac:dyDescent="0.3">
      <c r="A60" s="167" t="s">
        <v>40</v>
      </c>
      <c r="B60" s="168"/>
      <c r="C60" s="168"/>
      <c r="D60" s="169"/>
    </row>
    <row r="61" spans="1:4" ht="60" customHeight="1" x14ac:dyDescent="0.3">
      <c r="A61" s="120"/>
      <c r="B61" s="66"/>
      <c r="C61" s="66"/>
      <c r="D61" s="67"/>
    </row>
    <row r="62" spans="1:4" ht="32.25" customHeight="1" thickBot="1" x14ac:dyDescent="0.35">
      <c r="A62" s="84" t="s">
        <v>41</v>
      </c>
      <c r="B62" s="68"/>
      <c r="C62" s="189" t="s">
        <v>137</v>
      </c>
      <c r="D62" s="190"/>
    </row>
  </sheetData>
  <mergeCells count="14">
    <mergeCell ref="A1:D1"/>
    <mergeCell ref="A3:D3"/>
    <mergeCell ref="A4:D4"/>
    <mergeCell ref="A6:D6"/>
    <mergeCell ref="A8:C8"/>
    <mergeCell ref="B54:D54"/>
    <mergeCell ref="A58:D58"/>
    <mergeCell ref="A60:D60"/>
    <mergeCell ref="C62:D62"/>
    <mergeCell ref="A9:C9"/>
    <mergeCell ref="B11:D11"/>
    <mergeCell ref="A42:D42"/>
    <mergeCell ref="A44:A45"/>
    <mergeCell ref="B44:D44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E4F9-A4A7-49CD-9B5A-7E8E60DC6F3B}">
  <dimension ref="A1:D66"/>
  <sheetViews>
    <sheetView topLeftCell="A58" zoomScaleNormal="100" workbookViewId="0">
      <selection activeCell="A64" sqref="A64:D66"/>
    </sheetView>
  </sheetViews>
  <sheetFormatPr baseColWidth="10" defaultColWidth="11.44140625" defaultRowHeight="15.6" x14ac:dyDescent="0.3"/>
  <cols>
    <col min="1" max="1" width="44.88671875" style="23" customWidth="1"/>
    <col min="2" max="2" width="26.33203125" style="23" customWidth="1"/>
    <col min="3" max="3" width="22.664062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91.5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44</v>
      </c>
      <c r="B8" s="152"/>
      <c r="C8" s="152"/>
      <c r="D8" s="20">
        <v>482738680</v>
      </c>
    </row>
    <row r="9" spans="1:4" x14ac:dyDescent="0.3">
      <c r="A9" s="152" t="s">
        <v>45</v>
      </c>
      <c r="B9" s="152"/>
      <c r="C9" s="152"/>
      <c r="D9" s="20">
        <v>237634335</v>
      </c>
    </row>
    <row r="10" spans="1:4" x14ac:dyDescent="0.3">
      <c r="A10" s="152" t="s">
        <v>46</v>
      </c>
      <c r="B10" s="152"/>
      <c r="C10" s="152"/>
      <c r="D10" s="20">
        <v>237634335</v>
      </c>
    </row>
    <row r="11" spans="1:4" x14ac:dyDescent="0.3">
      <c r="A11" s="109"/>
      <c r="B11" s="109"/>
      <c r="C11" s="109" t="s">
        <v>47</v>
      </c>
      <c r="D11" s="20">
        <v>482738680</v>
      </c>
    </row>
    <row r="12" spans="1:4" x14ac:dyDescent="0.3">
      <c r="A12" s="109"/>
      <c r="B12" s="109"/>
      <c r="C12" s="109" t="s">
        <v>48</v>
      </c>
      <c r="D12" s="20">
        <v>482738680</v>
      </c>
    </row>
    <row r="13" spans="1:4" x14ac:dyDescent="0.3">
      <c r="A13" s="152" t="s">
        <v>49</v>
      </c>
      <c r="B13" s="152"/>
      <c r="C13" s="152"/>
      <c r="D13" s="20">
        <f>+SUM(D8:D12)</f>
        <v>1923484710</v>
      </c>
    </row>
    <row r="14" spans="1:4" ht="3.75" customHeight="1" x14ac:dyDescent="0.3">
      <c r="A14" s="21"/>
      <c r="B14" s="22"/>
    </row>
    <row r="15" spans="1:4" x14ac:dyDescent="0.3">
      <c r="A15" s="24" t="s">
        <v>142</v>
      </c>
      <c r="B15" s="177" t="str">
        <f>+'RESULTADOS FINAL'!B21</f>
        <v>CONSORCIO ARQ SENA</v>
      </c>
      <c r="C15" s="177"/>
      <c r="D15" s="177"/>
    </row>
    <row r="16" spans="1:4" ht="5.25" customHeight="1" x14ac:dyDescent="0.3">
      <c r="A16" s="25"/>
      <c r="B16" s="26"/>
      <c r="C16" s="26"/>
      <c r="D16" s="26"/>
    </row>
    <row r="17" spans="1:4" x14ac:dyDescent="0.3">
      <c r="A17" s="27" t="s">
        <v>51</v>
      </c>
      <c r="B17" s="28"/>
      <c r="C17" s="28"/>
      <c r="D17" s="18"/>
    </row>
    <row r="18" spans="1:4" ht="5.25" customHeight="1" x14ac:dyDescent="0.3">
      <c r="A18" s="29"/>
      <c r="B18" s="30"/>
      <c r="C18" s="30"/>
      <c r="D18" s="18"/>
    </row>
    <row r="19" spans="1:4" ht="41.4" x14ac:dyDescent="0.3">
      <c r="A19" s="31" t="s">
        <v>7</v>
      </c>
      <c r="B19" s="86" t="str">
        <f>+'RESULTADOS FINAL'!D21</f>
        <v>ARQ SAS</v>
      </c>
      <c r="C19" s="86" t="str">
        <f>+'RESULTADOS FINAL'!D22</f>
        <v>ARQ CONSULTORIA SAS BIC</v>
      </c>
      <c r="D19" s="32" t="s">
        <v>52</v>
      </c>
    </row>
    <row r="20" spans="1:4" x14ac:dyDescent="0.3">
      <c r="A20" s="33" t="s">
        <v>53</v>
      </c>
      <c r="B20" s="87">
        <v>0.6</v>
      </c>
      <c r="C20" s="87">
        <v>0.4</v>
      </c>
      <c r="D20" s="34">
        <f>+B20+C20</f>
        <v>1</v>
      </c>
    </row>
    <row r="21" spans="1:4" x14ac:dyDescent="0.3">
      <c r="A21" s="35" t="s">
        <v>54</v>
      </c>
      <c r="B21" s="69" t="s">
        <v>143</v>
      </c>
      <c r="C21" s="69" t="s">
        <v>144</v>
      </c>
      <c r="D21" s="36"/>
    </row>
    <row r="22" spans="1:4" x14ac:dyDescent="0.3">
      <c r="A22" s="37" t="s">
        <v>55</v>
      </c>
      <c r="B22" s="70" t="s">
        <v>117</v>
      </c>
      <c r="C22" s="70" t="s">
        <v>117</v>
      </c>
      <c r="D22" s="38"/>
    </row>
    <row r="23" spans="1:4" x14ac:dyDescent="0.3">
      <c r="A23" s="35" t="s">
        <v>56</v>
      </c>
      <c r="B23" s="71">
        <v>45673</v>
      </c>
      <c r="C23" s="71" t="s">
        <v>145</v>
      </c>
      <c r="D23" s="39"/>
    </row>
    <row r="24" spans="1:4" x14ac:dyDescent="0.3">
      <c r="A24" s="35" t="s">
        <v>57</v>
      </c>
      <c r="B24" s="71">
        <v>45422</v>
      </c>
      <c r="C24" s="71" t="s">
        <v>146</v>
      </c>
      <c r="D24" s="39"/>
    </row>
    <row r="25" spans="1:4" x14ac:dyDescent="0.3">
      <c r="A25" s="35" t="s">
        <v>58</v>
      </c>
      <c r="B25" s="71">
        <v>45291</v>
      </c>
      <c r="C25" s="71" t="s">
        <v>147</v>
      </c>
      <c r="D25" s="39"/>
    </row>
    <row r="26" spans="1:4" ht="5.25" customHeight="1" x14ac:dyDescent="0.3">
      <c r="A26" s="40"/>
      <c r="B26" s="41"/>
      <c r="C26" s="88"/>
      <c r="D26" s="42"/>
    </row>
    <row r="27" spans="1:4" x14ac:dyDescent="0.3">
      <c r="A27" s="43" t="s">
        <v>59</v>
      </c>
      <c r="B27" s="75" t="s">
        <v>60</v>
      </c>
      <c r="C27" s="75" t="s">
        <v>93</v>
      </c>
      <c r="D27" s="75" t="s">
        <v>94</v>
      </c>
    </row>
    <row r="28" spans="1:4" x14ac:dyDescent="0.3">
      <c r="A28" s="35" t="s">
        <v>62</v>
      </c>
      <c r="B28" s="89">
        <v>10796952340</v>
      </c>
      <c r="C28" s="44">
        <v>1000000000</v>
      </c>
      <c r="D28" s="44">
        <f t="shared" ref="D28:D34" si="0">(B28*$B$20)+(C28*$C$20)</f>
        <v>6878171404</v>
      </c>
    </row>
    <row r="29" spans="1:4" x14ac:dyDescent="0.3">
      <c r="A29" s="35" t="s">
        <v>63</v>
      </c>
      <c r="B29" s="89">
        <v>10913241120</v>
      </c>
      <c r="C29" s="44">
        <v>1000000000</v>
      </c>
      <c r="D29" s="44">
        <f t="shared" si="0"/>
        <v>6947944672</v>
      </c>
    </row>
    <row r="30" spans="1:4" x14ac:dyDescent="0.3">
      <c r="A30" s="35" t="s">
        <v>64</v>
      </c>
      <c r="B30" s="89">
        <v>1028626675</v>
      </c>
      <c r="C30" s="44">
        <v>0</v>
      </c>
      <c r="D30" s="44">
        <f t="shared" si="0"/>
        <v>617176005</v>
      </c>
    </row>
    <row r="31" spans="1:4" x14ac:dyDescent="0.3">
      <c r="A31" s="35" t="s">
        <v>65</v>
      </c>
      <c r="B31" s="89">
        <v>2876745914</v>
      </c>
      <c r="C31" s="44">
        <v>0</v>
      </c>
      <c r="D31" s="44">
        <f t="shared" si="0"/>
        <v>1726047548.3999999</v>
      </c>
    </row>
    <row r="32" spans="1:4" x14ac:dyDescent="0.3">
      <c r="A32" s="35" t="s">
        <v>66</v>
      </c>
      <c r="B32" s="89">
        <v>8036495206</v>
      </c>
      <c r="C32" s="44">
        <v>1000000000</v>
      </c>
      <c r="D32" s="44">
        <f t="shared" si="0"/>
        <v>5221897123.5999994</v>
      </c>
    </row>
    <row r="33" spans="1:4" x14ac:dyDescent="0.3">
      <c r="A33" s="35" t="s">
        <v>67</v>
      </c>
      <c r="B33" s="89">
        <v>1578635726</v>
      </c>
      <c r="C33" s="44">
        <v>0</v>
      </c>
      <c r="D33" s="44">
        <f t="shared" si="0"/>
        <v>947181435.60000002</v>
      </c>
    </row>
    <row r="34" spans="1:4" x14ac:dyDescent="0.3">
      <c r="A34" s="35" t="s">
        <v>68</v>
      </c>
      <c r="B34" s="89">
        <v>3914000</v>
      </c>
      <c r="C34" s="44">
        <v>0</v>
      </c>
      <c r="D34" s="44">
        <f t="shared" si="0"/>
        <v>2348400</v>
      </c>
    </row>
    <row r="35" spans="1:4" ht="3.75" customHeight="1" x14ac:dyDescent="0.3">
      <c r="B35" s="45"/>
      <c r="C35" s="45"/>
      <c r="D35" s="45"/>
    </row>
    <row r="36" spans="1:4" x14ac:dyDescent="0.3">
      <c r="A36" s="43" t="s">
        <v>69</v>
      </c>
      <c r="B36" s="90"/>
      <c r="C36" s="46"/>
      <c r="D36" s="46"/>
    </row>
    <row r="37" spans="1:4" x14ac:dyDescent="0.3">
      <c r="A37" s="35" t="s">
        <v>70</v>
      </c>
      <c r="B37" s="91">
        <f>+B28/B30</f>
        <v>10.496473212694003</v>
      </c>
      <c r="C37" s="115" t="str">
        <f>+IFERROR(C28/C30,"INDETERMINADO")</f>
        <v>INDETERMINADO</v>
      </c>
      <c r="D37" s="47">
        <f>+D28/D30</f>
        <v>11.144586549504627</v>
      </c>
    </row>
    <row r="38" spans="1:4" x14ac:dyDescent="0.3">
      <c r="A38" s="35" t="s">
        <v>71</v>
      </c>
      <c r="B38" s="92">
        <f>+B31/B29</f>
        <v>0.26360142531149355</v>
      </c>
      <c r="C38" s="92">
        <f t="shared" ref="C38" si="1">+C31/C29</f>
        <v>0</v>
      </c>
      <c r="D38" s="48">
        <f>+D31/D29</f>
        <v>0.24842563231050435</v>
      </c>
    </row>
    <row r="39" spans="1:4" x14ac:dyDescent="0.3">
      <c r="A39" s="35" t="s">
        <v>72</v>
      </c>
      <c r="B39" s="47">
        <f>+IFERROR(B33/B34,"INDETERMINADO")</f>
        <v>403.33053806847215</v>
      </c>
      <c r="C39" s="47" t="str">
        <f>+IFERROR(C33/C34,"INDETERMINADO")</f>
        <v>INDETERMINADO</v>
      </c>
      <c r="D39" s="47">
        <f>+IFERROR(D33/D34,"INDETERMINADO")</f>
        <v>403.33053806847215</v>
      </c>
    </row>
    <row r="40" spans="1:4" x14ac:dyDescent="0.3">
      <c r="A40" s="33" t="s">
        <v>73</v>
      </c>
      <c r="B40" s="93">
        <f>(B28-B30)</f>
        <v>9768325665</v>
      </c>
      <c r="C40" s="93">
        <f t="shared" ref="C40" si="2">(C28-C30)</f>
        <v>1000000000</v>
      </c>
      <c r="D40" s="49">
        <f>+(B40+C40)/(D13)</f>
        <v>5.5983422218105385</v>
      </c>
    </row>
    <row r="41" spans="1:4" x14ac:dyDescent="0.3">
      <c r="A41" s="33" t="s">
        <v>74</v>
      </c>
      <c r="B41" s="93">
        <f>+(B29-B31)</f>
        <v>8036495206</v>
      </c>
      <c r="C41" s="93">
        <f t="shared" ref="C41" si="3">+(C29-C31)</f>
        <v>1000000000</v>
      </c>
      <c r="D41" s="49">
        <f>+(B41+C41)/(D13)</f>
        <v>4.6979813039428837</v>
      </c>
    </row>
    <row r="42" spans="1:4" x14ac:dyDescent="0.3">
      <c r="A42" s="43" t="s">
        <v>75</v>
      </c>
      <c r="B42" s="178"/>
      <c r="C42" s="179"/>
      <c r="D42" s="50"/>
    </row>
    <row r="43" spans="1:4" x14ac:dyDescent="0.3">
      <c r="A43" s="35" t="s">
        <v>76</v>
      </c>
      <c r="B43" s="94">
        <f t="shared" ref="B43:C43" si="4">+B33/B32</f>
        <v>0.1964333562746855</v>
      </c>
      <c r="C43" s="51">
        <f t="shared" si="4"/>
        <v>0</v>
      </c>
      <c r="D43" s="51">
        <f>+D33/D32</f>
        <v>0.18138646035734401</v>
      </c>
    </row>
    <row r="44" spans="1:4" x14ac:dyDescent="0.3">
      <c r="A44" s="35" t="s">
        <v>77</v>
      </c>
      <c r="B44" s="95">
        <f t="shared" ref="B44:C44" si="5">+B33/B29</f>
        <v>0.144653243581958</v>
      </c>
      <c r="C44" s="52">
        <f t="shared" si="5"/>
        <v>0</v>
      </c>
      <c r="D44" s="52">
        <f>+D33/D29</f>
        <v>0.13632541425050657</v>
      </c>
    </row>
    <row r="45" spans="1:4" ht="5.25" customHeight="1" x14ac:dyDescent="0.3">
      <c r="B45" s="45"/>
      <c r="C45" s="45"/>
      <c r="D45" s="45"/>
    </row>
    <row r="46" spans="1:4" x14ac:dyDescent="0.3">
      <c r="A46" s="174" t="s">
        <v>78</v>
      </c>
      <c r="B46" s="174"/>
      <c r="C46" s="174"/>
      <c r="D46" s="174"/>
    </row>
    <row r="47" spans="1:4" ht="4.5" customHeight="1" x14ac:dyDescent="0.3">
      <c r="C47" s="53"/>
      <c r="D47" s="53"/>
    </row>
    <row r="48" spans="1:4" ht="15.75" customHeight="1" x14ac:dyDescent="0.3">
      <c r="A48" s="175" t="s">
        <v>79</v>
      </c>
      <c r="B48" s="176" t="str">
        <f>+B15</f>
        <v>CONSORCIO ARQ SENA</v>
      </c>
      <c r="C48" s="176"/>
      <c r="D48" s="176"/>
    </row>
    <row r="49" spans="1:4" ht="46.8" x14ac:dyDescent="0.3">
      <c r="A49" s="175"/>
      <c r="B49" s="54" t="s">
        <v>80</v>
      </c>
      <c r="C49" s="55" t="s">
        <v>52</v>
      </c>
      <c r="D49" s="55" t="s">
        <v>81</v>
      </c>
    </row>
    <row r="50" spans="1:4" x14ac:dyDescent="0.3">
      <c r="A50" s="56" t="s">
        <v>82</v>
      </c>
      <c r="B50" s="57">
        <v>2</v>
      </c>
      <c r="C50" s="58">
        <f>+D37</f>
        <v>11.144586549504627</v>
      </c>
      <c r="D50" s="74" t="str">
        <f>IF(C50&gt;=B50,"HABILITADO","NO HABILITADO")</f>
        <v>HABILITADO</v>
      </c>
    </row>
    <row r="51" spans="1:4" x14ac:dyDescent="0.3">
      <c r="A51" s="56" t="s">
        <v>83</v>
      </c>
      <c r="B51" s="59">
        <v>0.5</v>
      </c>
      <c r="C51" s="60">
        <f>+D38</f>
        <v>0.24842563231050435</v>
      </c>
      <c r="D51" s="74" t="str">
        <f>IF(C51&lt;=B51,"HABILITADO","NO HABILITADO")</f>
        <v>HABILITADO</v>
      </c>
    </row>
    <row r="52" spans="1:4" x14ac:dyDescent="0.3">
      <c r="A52" s="56" t="s">
        <v>84</v>
      </c>
      <c r="B52" s="61">
        <v>1.5</v>
      </c>
      <c r="C52" s="58">
        <f>+D39</f>
        <v>403.33053806847215</v>
      </c>
      <c r="D52" s="74" t="str">
        <f>+IF(C52=0,"HABILITADO",IF(C52&gt;=B52,"HABILITADO","NO HABILITADO"))</f>
        <v>HABILITADO</v>
      </c>
    </row>
    <row r="53" spans="1:4" x14ac:dyDescent="0.3">
      <c r="A53" s="35" t="s">
        <v>85</v>
      </c>
      <c r="B53" s="61">
        <v>0.57999999999999996</v>
      </c>
      <c r="C53" s="62">
        <f>+D40</f>
        <v>5.5983422218105385</v>
      </c>
      <c r="D53" s="74" t="str">
        <f>IF(C53&gt;B53,"HABILITADO","NO HABILITADO")</f>
        <v>HABILITADO</v>
      </c>
    </row>
    <row r="54" spans="1:4" x14ac:dyDescent="0.3">
      <c r="A54" s="35" t="s">
        <v>86</v>
      </c>
      <c r="B54" s="61">
        <v>0.24</v>
      </c>
      <c r="C54" s="62">
        <f>+D41</f>
        <v>4.6979813039428837</v>
      </c>
      <c r="D54" s="74" t="str">
        <f>IF(C54&gt;B54,"HABILITADO","NO HABILITADO")</f>
        <v>HABILITADO</v>
      </c>
    </row>
    <row r="55" spans="1:4" x14ac:dyDescent="0.3">
      <c r="A55" s="56" t="s">
        <v>87</v>
      </c>
      <c r="B55" s="61">
        <v>0.1</v>
      </c>
      <c r="C55" s="61">
        <v>0.1</v>
      </c>
      <c r="D55" s="74" t="str">
        <f>IF(C55&gt;=B55,"HABILITADO","NO HABILITADO")</f>
        <v>HABILITADO</v>
      </c>
    </row>
    <row r="56" spans="1:4" x14ac:dyDescent="0.3">
      <c r="A56" s="56" t="s">
        <v>88</v>
      </c>
      <c r="B56" s="61">
        <v>0.05</v>
      </c>
      <c r="C56" s="61">
        <v>0.05</v>
      </c>
      <c r="D56" s="74" t="str">
        <f>IF(C56&gt;=B56,"HABILITADO","NO HABILITADO")</f>
        <v>HABILITADO</v>
      </c>
    </row>
    <row r="57" spans="1:4" ht="4.5" customHeight="1" x14ac:dyDescent="0.3">
      <c r="C57" s="53"/>
      <c r="D57" s="53"/>
    </row>
    <row r="58" spans="1:4" ht="15.75" customHeight="1" x14ac:dyDescent="0.3">
      <c r="A58" s="63" t="s">
        <v>89</v>
      </c>
      <c r="B58" s="161" t="str">
        <f>IF(+AND(D50="HABILITADO",D51="HABILITADO",D52="HABILITADO",D53="HABILITADO",D54="HABILITADO",D55="HABILITADO",D56="HABILITADO"),"HABILITADO","NO HABILITADO")</f>
        <v>HABILITADO</v>
      </c>
      <c r="C58" s="162"/>
      <c r="D58" s="163"/>
    </row>
    <row r="59" spans="1:4" ht="4.5" customHeight="1" x14ac:dyDescent="0.3">
      <c r="C59" s="53"/>
      <c r="D59" s="53"/>
    </row>
    <row r="60" spans="1:4" x14ac:dyDescent="0.3">
      <c r="A60" s="64" t="s">
        <v>90</v>
      </c>
      <c r="B60" s="65"/>
      <c r="C60"/>
      <c r="D60"/>
    </row>
    <row r="61" spans="1:4" ht="4.5" customHeight="1" x14ac:dyDescent="0.3">
      <c r="C61" s="53"/>
      <c r="D61" s="53"/>
    </row>
    <row r="62" spans="1:4" ht="33" customHeight="1" x14ac:dyDescent="0.3">
      <c r="A62" s="164"/>
      <c r="B62" s="165"/>
      <c r="C62" s="165"/>
      <c r="D62" s="166"/>
    </row>
    <row r="64" spans="1:4" x14ac:dyDescent="0.3">
      <c r="A64" s="167" t="s">
        <v>40</v>
      </c>
      <c r="B64" s="168"/>
      <c r="C64" s="168"/>
      <c r="D64" s="169"/>
    </row>
    <row r="65" spans="1:4" ht="60" customHeight="1" x14ac:dyDescent="0.3">
      <c r="A65" s="120"/>
      <c r="B65" s="66"/>
      <c r="C65" s="66"/>
      <c r="D65" s="67"/>
    </row>
    <row r="66" spans="1:4" ht="32.25" customHeight="1" x14ac:dyDescent="0.3">
      <c r="A66" s="84" t="s">
        <v>41</v>
      </c>
      <c r="B66" s="68"/>
      <c r="C66" s="189" t="s">
        <v>148</v>
      </c>
      <c r="D66" s="190"/>
    </row>
  </sheetData>
  <mergeCells count="17">
    <mergeCell ref="B58:D58"/>
    <mergeCell ref="A62:D62"/>
    <mergeCell ref="A64:D64"/>
    <mergeCell ref="C66:D66"/>
    <mergeCell ref="A10:C10"/>
    <mergeCell ref="A13:C13"/>
    <mergeCell ref="B15:D15"/>
    <mergeCell ref="B42:C42"/>
    <mergeCell ref="A46:D46"/>
    <mergeCell ref="A48:A49"/>
    <mergeCell ref="B48:D48"/>
    <mergeCell ref="A9:C9"/>
    <mergeCell ref="A1:D1"/>
    <mergeCell ref="A3:D3"/>
    <mergeCell ref="A4:D4"/>
    <mergeCell ref="A6:D6"/>
    <mergeCell ref="A8:C8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99DBB-3B44-4A6A-93D3-A5BFDCF62DAE}">
  <dimension ref="A1:D65"/>
  <sheetViews>
    <sheetView tabSelected="1" topLeftCell="A61" zoomScaleNormal="100" workbookViewId="0">
      <selection activeCell="F64" sqref="F64"/>
    </sheetView>
  </sheetViews>
  <sheetFormatPr baseColWidth="10" defaultColWidth="11.44140625" defaultRowHeight="15.6" x14ac:dyDescent="0.3"/>
  <cols>
    <col min="1" max="1" width="44.88671875" style="23" customWidth="1"/>
    <col min="2" max="2" width="26.33203125" style="23" customWidth="1"/>
    <col min="3" max="3" width="22.6640625" style="23" customWidth="1"/>
    <col min="4" max="4" width="24.109375" style="23" bestFit="1" customWidth="1"/>
  </cols>
  <sheetData>
    <row r="1" spans="1:4" ht="45" customHeight="1" x14ac:dyDescent="0.3">
      <c r="A1" s="153" t="s">
        <v>42</v>
      </c>
      <c r="B1" s="154"/>
      <c r="C1" s="154"/>
      <c r="D1" s="155"/>
    </row>
    <row r="2" spans="1:4" ht="3" customHeight="1" x14ac:dyDescent="0.3">
      <c r="A2" s="16"/>
      <c r="B2" s="16"/>
      <c r="C2" s="16"/>
      <c r="D2" s="16"/>
    </row>
    <row r="3" spans="1:4" ht="15.75" customHeight="1" x14ac:dyDescent="0.3">
      <c r="A3" s="156" t="str">
        <f>+'RESULTADOS FINAL'!A4</f>
        <v xml:space="preserve">PROCESO No. CM-DG-DAF-0003-2024 </v>
      </c>
      <c r="B3" s="157"/>
      <c r="C3" s="157"/>
      <c r="D3" s="158"/>
    </row>
    <row r="4" spans="1:4" ht="78" customHeight="1" x14ac:dyDescent="0.3">
      <c r="A4" s="159" t="str">
        <f>+'RESULTADOS FINAL'!A6</f>
        <v>INTERVENTORÍA INTEGRAL TÉCNICA, ADMINISTRATIVA, FINANCIERA, JURÍDICA, CONTABLE Y AMBIENTAL PARA LAS CONSULTORÍAS DE DISEÑOS Y ESTUDIOS TÉCNICOS, TRÁMITES Y OBTENCIÓN DE PERMISOS Y LICENCIAS NECESARIOS PARA LOS PROYECTOS DE CONSTRUCCIÓN DE LAS NUEVAS SEDES DEL SENA, A PRECIO GLOBAL FIJO SIN REAJUSTES PARA CINCO (5) SEDES (CIÉNAGA DE ORO, PUERTO BOYACÁ, TUNJA, IPIALES Y KENNEDY)</v>
      </c>
      <c r="B4" s="159"/>
      <c r="C4" s="159"/>
      <c r="D4" s="159"/>
    </row>
    <row r="5" spans="1:4" ht="6" customHeight="1" x14ac:dyDescent="0.3">
      <c r="A5" s="17"/>
      <c r="B5" s="18"/>
      <c r="C5" s="19"/>
      <c r="D5" s="19"/>
    </row>
    <row r="6" spans="1:4" x14ac:dyDescent="0.3">
      <c r="A6" s="160" t="s">
        <v>43</v>
      </c>
      <c r="B6" s="160"/>
      <c r="C6" s="160"/>
      <c r="D6" s="160"/>
    </row>
    <row r="7" spans="1:4" ht="3.75" customHeight="1" x14ac:dyDescent="0.3">
      <c r="A7" s="18"/>
      <c r="B7" s="18"/>
      <c r="C7" s="19"/>
      <c r="D7" s="19"/>
    </row>
    <row r="8" spans="1:4" x14ac:dyDescent="0.3">
      <c r="A8" s="152" t="s">
        <v>44</v>
      </c>
      <c r="B8" s="152"/>
      <c r="C8" s="152"/>
      <c r="D8" s="20">
        <v>482738680</v>
      </c>
    </row>
    <row r="9" spans="1:4" x14ac:dyDescent="0.3">
      <c r="A9" s="152" t="s">
        <v>45</v>
      </c>
      <c r="B9" s="152"/>
      <c r="C9" s="152"/>
      <c r="D9" s="20">
        <v>237634335</v>
      </c>
    </row>
    <row r="10" spans="1:4" x14ac:dyDescent="0.3">
      <c r="A10" s="152" t="s">
        <v>46</v>
      </c>
      <c r="B10" s="152"/>
      <c r="C10" s="152"/>
      <c r="D10" s="20">
        <v>237634335</v>
      </c>
    </row>
    <row r="11" spans="1:4" x14ac:dyDescent="0.3">
      <c r="A11" s="109"/>
      <c r="B11" s="109"/>
      <c r="C11" s="109" t="s">
        <v>47</v>
      </c>
      <c r="D11" s="20">
        <v>482738680</v>
      </c>
    </row>
    <row r="12" spans="1:4" x14ac:dyDescent="0.3">
      <c r="A12" s="152" t="s">
        <v>49</v>
      </c>
      <c r="B12" s="152"/>
      <c r="C12" s="152"/>
      <c r="D12" s="20">
        <f>+SUM(D8:D11)</f>
        <v>1440746030</v>
      </c>
    </row>
    <row r="13" spans="1:4" ht="3.75" customHeight="1" x14ac:dyDescent="0.3">
      <c r="A13" s="21"/>
      <c r="B13" s="22"/>
    </row>
    <row r="14" spans="1:4" x14ac:dyDescent="0.3">
      <c r="A14" s="24" t="s">
        <v>149</v>
      </c>
      <c r="B14" s="177" t="str">
        <f>+'RESULTADOS FINAL'!B23</f>
        <v>CONSORCIO ARAGON</v>
      </c>
      <c r="C14" s="177"/>
      <c r="D14" s="177"/>
    </row>
    <row r="15" spans="1:4" ht="5.25" customHeight="1" x14ac:dyDescent="0.3">
      <c r="A15" s="25"/>
      <c r="B15" s="26"/>
      <c r="C15" s="26"/>
      <c r="D15" s="26"/>
    </row>
    <row r="16" spans="1:4" x14ac:dyDescent="0.3">
      <c r="A16" s="27" t="s">
        <v>51</v>
      </c>
      <c r="B16" s="28"/>
      <c r="C16" s="28"/>
      <c r="D16" s="18"/>
    </row>
    <row r="17" spans="1:4" ht="5.25" customHeight="1" x14ac:dyDescent="0.3">
      <c r="A17" s="29"/>
      <c r="B17" s="30"/>
      <c r="C17" s="30"/>
      <c r="D17" s="18"/>
    </row>
    <row r="18" spans="1:4" ht="41.4" x14ac:dyDescent="0.3">
      <c r="A18" s="31" t="s">
        <v>7</v>
      </c>
      <c r="B18" s="86" t="str">
        <f>+'RESULTADOS FINAL'!D23</f>
        <v>ARQUITECTURA Y URBANISMO SXXI S.A.S.</v>
      </c>
      <c r="C18" s="86" t="str">
        <f>+'RESULTADOS FINAL'!D24</f>
        <v>MYV CONSULTORES ASOCIADOS S.A.S.</v>
      </c>
      <c r="D18" s="32" t="s">
        <v>52</v>
      </c>
    </row>
    <row r="19" spans="1:4" x14ac:dyDescent="0.3">
      <c r="A19" s="33" t="s">
        <v>53</v>
      </c>
      <c r="B19" s="87">
        <v>0.5</v>
      </c>
      <c r="C19" s="87">
        <v>0.5</v>
      </c>
      <c r="D19" s="34">
        <f>+B19+C19</f>
        <v>1</v>
      </c>
    </row>
    <row r="20" spans="1:4" x14ac:dyDescent="0.3">
      <c r="A20" s="35" t="s">
        <v>54</v>
      </c>
      <c r="B20" s="69" t="s">
        <v>150</v>
      </c>
      <c r="C20" s="69" t="s">
        <v>151</v>
      </c>
      <c r="D20" s="36"/>
    </row>
    <row r="21" spans="1:4" x14ac:dyDescent="0.3">
      <c r="A21" s="37" t="s">
        <v>55</v>
      </c>
      <c r="B21" s="70" t="s">
        <v>108</v>
      </c>
      <c r="C21" s="70" t="s">
        <v>108</v>
      </c>
      <c r="D21" s="38"/>
    </row>
    <row r="22" spans="1:4" x14ac:dyDescent="0.3">
      <c r="A22" s="35" t="s">
        <v>56</v>
      </c>
      <c r="B22" s="71" t="s">
        <v>152</v>
      </c>
      <c r="C22" s="71">
        <v>45901</v>
      </c>
      <c r="D22" s="39"/>
    </row>
    <row r="23" spans="1:4" x14ac:dyDescent="0.3">
      <c r="A23" s="35" t="s">
        <v>57</v>
      </c>
      <c r="B23" s="71">
        <v>45356</v>
      </c>
      <c r="C23" s="71">
        <v>45448</v>
      </c>
      <c r="D23" s="39"/>
    </row>
    <row r="24" spans="1:4" x14ac:dyDescent="0.3">
      <c r="A24" s="35" t="s">
        <v>58</v>
      </c>
      <c r="B24" s="71" t="s">
        <v>119</v>
      </c>
      <c r="C24" s="71" t="s">
        <v>119</v>
      </c>
      <c r="D24" s="39"/>
    </row>
    <row r="25" spans="1:4" ht="5.25" customHeight="1" x14ac:dyDescent="0.3">
      <c r="A25" s="40"/>
      <c r="B25" s="41"/>
      <c r="C25" s="88"/>
      <c r="D25" s="42"/>
    </row>
    <row r="26" spans="1:4" x14ac:dyDescent="0.3">
      <c r="A26" s="43" t="s">
        <v>59</v>
      </c>
      <c r="B26" s="75" t="s">
        <v>60</v>
      </c>
      <c r="C26" s="75" t="s">
        <v>93</v>
      </c>
      <c r="D26" s="75" t="s">
        <v>94</v>
      </c>
    </row>
    <row r="27" spans="1:4" x14ac:dyDescent="0.3">
      <c r="A27" s="35" t="s">
        <v>62</v>
      </c>
      <c r="B27" s="89">
        <v>1277603217</v>
      </c>
      <c r="C27" s="44">
        <v>1907048322</v>
      </c>
      <c r="D27" s="44">
        <f t="shared" ref="D27:D33" si="0">(B27*$B$19)+(C27*$C$19)</f>
        <v>1592325769.5</v>
      </c>
    </row>
    <row r="28" spans="1:4" x14ac:dyDescent="0.3">
      <c r="A28" s="35" t="s">
        <v>63</v>
      </c>
      <c r="B28" s="89">
        <v>1858453217</v>
      </c>
      <c r="C28" s="44">
        <v>2098704461</v>
      </c>
      <c r="D28" s="44">
        <f t="shared" si="0"/>
        <v>1978578839</v>
      </c>
    </row>
    <row r="29" spans="1:4" x14ac:dyDescent="0.3">
      <c r="A29" s="35" t="s">
        <v>64</v>
      </c>
      <c r="B29" s="89">
        <v>122770000</v>
      </c>
      <c r="C29" s="44">
        <v>196326839</v>
      </c>
      <c r="D29" s="44">
        <f t="shared" si="0"/>
        <v>159548419.5</v>
      </c>
    </row>
    <row r="30" spans="1:4" x14ac:dyDescent="0.3">
      <c r="A30" s="35" t="s">
        <v>65</v>
      </c>
      <c r="B30" s="89">
        <v>272770000</v>
      </c>
      <c r="C30" s="44">
        <v>461039781</v>
      </c>
      <c r="D30" s="44">
        <f t="shared" si="0"/>
        <v>366904890.5</v>
      </c>
    </row>
    <row r="31" spans="1:4" x14ac:dyDescent="0.3">
      <c r="A31" s="35" t="s">
        <v>66</v>
      </c>
      <c r="B31" s="89">
        <v>1585683217</v>
      </c>
      <c r="C31" s="44">
        <v>1637664680</v>
      </c>
      <c r="D31" s="44">
        <f t="shared" si="0"/>
        <v>1611673948.5</v>
      </c>
    </row>
    <row r="32" spans="1:4" x14ac:dyDescent="0.3">
      <c r="A32" s="35" t="s">
        <v>67</v>
      </c>
      <c r="B32" s="89">
        <v>759529969</v>
      </c>
      <c r="C32" s="44">
        <v>291878151</v>
      </c>
      <c r="D32" s="44">
        <f t="shared" si="0"/>
        <v>525704060</v>
      </c>
    </row>
    <row r="33" spans="1:4" x14ac:dyDescent="0.3">
      <c r="A33" s="35" t="s">
        <v>68</v>
      </c>
      <c r="B33" s="89">
        <v>35940000</v>
      </c>
      <c r="C33" s="44">
        <v>7344908</v>
      </c>
      <c r="D33" s="44">
        <f t="shared" si="0"/>
        <v>21642454</v>
      </c>
    </row>
    <row r="34" spans="1:4" ht="3.75" customHeight="1" x14ac:dyDescent="0.3">
      <c r="B34" s="45"/>
      <c r="C34" s="45"/>
      <c r="D34" s="45"/>
    </row>
    <row r="35" spans="1:4" x14ac:dyDescent="0.3">
      <c r="A35" s="43" t="s">
        <v>69</v>
      </c>
      <c r="B35" s="90"/>
      <c r="C35" s="46"/>
      <c r="D35" s="46"/>
    </row>
    <row r="36" spans="1:4" x14ac:dyDescent="0.3">
      <c r="A36" s="35" t="s">
        <v>70</v>
      </c>
      <c r="B36" s="91">
        <f>+B27/B29</f>
        <v>10.406477290869105</v>
      </c>
      <c r="C36" s="115">
        <f>+IFERROR(C27/C29,"INDETERMINADO")</f>
        <v>9.7136404360893316</v>
      </c>
      <c r="D36" s="47">
        <f>+D27/D29</f>
        <v>9.9802039687394082</v>
      </c>
    </row>
    <row r="37" spans="1:4" x14ac:dyDescent="0.3">
      <c r="A37" s="35" t="s">
        <v>71</v>
      </c>
      <c r="B37" s="92">
        <f>+B30/B28</f>
        <v>0.14677259427617864</v>
      </c>
      <c r="C37" s="92">
        <f t="shared" ref="C37" si="1">+C30/C28</f>
        <v>0.21967827751236671</v>
      </c>
      <c r="D37" s="48">
        <f>+D30/D28</f>
        <v>0.1854386003063889</v>
      </c>
    </row>
    <row r="38" spans="1:4" x14ac:dyDescent="0.3">
      <c r="A38" s="35" t="s">
        <v>72</v>
      </c>
      <c r="B38" s="47">
        <f>+IFERROR(B32/B33,"INDETERMINADO")</f>
        <v>21.133276822481914</v>
      </c>
      <c r="C38" s="47">
        <f>+IFERROR(C32/C33,"INDETERMINADO")</f>
        <v>39.738843699607948</v>
      </c>
      <c r="D38" s="47">
        <f>+IFERROR(D32/D33,"INDETERMINADO")</f>
        <v>24.290409026628865</v>
      </c>
    </row>
    <row r="39" spans="1:4" x14ac:dyDescent="0.3">
      <c r="A39" s="33" t="s">
        <v>73</v>
      </c>
      <c r="B39" s="93">
        <f>(B27-B29)</f>
        <v>1154833217</v>
      </c>
      <c r="C39" s="93">
        <f t="shared" ref="C39" si="2">(C27-C29)</f>
        <v>1710721483</v>
      </c>
      <c r="D39" s="49">
        <f>+(B39+C39)/(D12)</f>
        <v>1.9889381197878435</v>
      </c>
    </row>
    <row r="40" spans="1:4" x14ac:dyDescent="0.3">
      <c r="A40" s="33" t="s">
        <v>74</v>
      </c>
      <c r="B40" s="93">
        <f>+(B28-B30)</f>
        <v>1585683217</v>
      </c>
      <c r="C40" s="93">
        <f t="shared" ref="C40" si="3">+(C28-C30)</f>
        <v>1637664680</v>
      </c>
      <c r="D40" s="49">
        <f>+(B40+C40)/(D12)</f>
        <v>2.2372769592153587</v>
      </c>
    </row>
    <row r="41" spans="1:4" x14ac:dyDescent="0.3">
      <c r="A41" s="43" t="s">
        <v>75</v>
      </c>
      <c r="B41" s="178"/>
      <c r="C41" s="179"/>
      <c r="D41" s="50"/>
    </row>
    <row r="42" spans="1:4" x14ac:dyDescent="0.3">
      <c r="A42" s="35" t="s">
        <v>76</v>
      </c>
      <c r="B42" s="94">
        <f t="shared" ref="B42:C42" si="4">+B32/B31</f>
        <v>0.47899224817235359</v>
      </c>
      <c r="C42" s="51">
        <f t="shared" si="4"/>
        <v>0.17822827503369004</v>
      </c>
      <c r="D42" s="51">
        <f>+D32/D31</f>
        <v>0.32618511981860704</v>
      </c>
    </row>
    <row r="43" spans="1:4" x14ac:dyDescent="0.3">
      <c r="A43" s="35" t="s">
        <v>77</v>
      </c>
      <c r="B43" s="95">
        <f t="shared" ref="B43:C43" si="5">+B32/B28</f>
        <v>0.40868931326991803</v>
      </c>
      <c r="C43" s="52">
        <f t="shared" si="5"/>
        <v>0.13907539457028867</v>
      </c>
      <c r="D43" s="52">
        <f>+D32/D28</f>
        <v>0.2656978077586728</v>
      </c>
    </row>
    <row r="44" spans="1:4" ht="5.25" customHeight="1" x14ac:dyDescent="0.3">
      <c r="B44" s="45"/>
      <c r="C44" s="45"/>
      <c r="D44" s="45"/>
    </row>
    <row r="45" spans="1:4" x14ac:dyDescent="0.3">
      <c r="A45" s="174" t="s">
        <v>78</v>
      </c>
      <c r="B45" s="174"/>
      <c r="C45" s="174"/>
      <c r="D45" s="174"/>
    </row>
    <row r="46" spans="1:4" ht="4.5" customHeight="1" x14ac:dyDescent="0.3">
      <c r="C46" s="53"/>
      <c r="D46" s="53"/>
    </row>
    <row r="47" spans="1:4" ht="15.75" customHeight="1" x14ac:dyDescent="0.3">
      <c r="A47" s="175" t="s">
        <v>79</v>
      </c>
      <c r="B47" s="176" t="str">
        <f>+B14</f>
        <v>CONSORCIO ARAGON</v>
      </c>
      <c r="C47" s="176"/>
      <c r="D47" s="176"/>
    </row>
    <row r="48" spans="1:4" ht="46.8" x14ac:dyDescent="0.3">
      <c r="A48" s="175"/>
      <c r="B48" s="54" t="s">
        <v>80</v>
      </c>
      <c r="C48" s="55" t="s">
        <v>52</v>
      </c>
      <c r="D48" s="55" t="s">
        <v>81</v>
      </c>
    </row>
    <row r="49" spans="1:4" x14ac:dyDescent="0.3">
      <c r="A49" s="56" t="s">
        <v>82</v>
      </c>
      <c r="B49" s="57">
        <v>2</v>
      </c>
      <c r="C49" s="58">
        <f>+D36</f>
        <v>9.9802039687394082</v>
      </c>
      <c r="D49" s="74" t="str">
        <f>IF(C49&gt;=B49,"HABILITADO","NO HABILITADO")</f>
        <v>HABILITADO</v>
      </c>
    </row>
    <row r="50" spans="1:4" x14ac:dyDescent="0.3">
      <c r="A50" s="56" t="s">
        <v>83</v>
      </c>
      <c r="B50" s="59">
        <v>0.5</v>
      </c>
      <c r="C50" s="60">
        <f>+D37</f>
        <v>0.1854386003063889</v>
      </c>
      <c r="D50" s="74" t="str">
        <f>IF(C50&lt;=B50,"HABILITADO","NO HABILITADO")</f>
        <v>HABILITADO</v>
      </c>
    </row>
    <row r="51" spans="1:4" x14ac:dyDescent="0.3">
      <c r="A51" s="56" t="s">
        <v>84</v>
      </c>
      <c r="B51" s="61">
        <v>1.5</v>
      </c>
      <c r="C51" s="58">
        <f>+D38</f>
        <v>24.290409026628865</v>
      </c>
      <c r="D51" s="74" t="str">
        <f>+IF(C51=0,"HABILITADO",IF(C51&gt;=B51,"HABILITADO","NO HABILITADO"))</f>
        <v>HABILITADO</v>
      </c>
    </row>
    <row r="52" spans="1:4" x14ac:dyDescent="0.3">
      <c r="A52" s="35" t="s">
        <v>85</v>
      </c>
      <c r="B52" s="61">
        <v>0.57999999999999996</v>
      </c>
      <c r="C52" s="62">
        <f>+D39</f>
        <v>1.9889381197878435</v>
      </c>
      <c r="D52" s="74" t="str">
        <f>IF(C52&gt;B52,"HABILITADO","NO HABILITADO")</f>
        <v>HABILITADO</v>
      </c>
    </row>
    <row r="53" spans="1:4" x14ac:dyDescent="0.3">
      <c r="A53" s="35" t="s">
        <v>86</v>
      </c>
      <c r="B53" s="61">
        <v>0.24</v>
      </c>
      <c r="C53" s="62">
        <f>+D40</f>
        <v>2.2372769592153587</v>
      </c>
      <c r="D53" s="74" t="str">
        <f>IF(C53&gt;B53,"HABILITADO","NO HABILITADO")</f>
        <v>HABILITADO</v>
      </c>
    </row>
    <row r="54" spans="1:4" x14ac:dyDescent="0.3">
      <c r="A54" s="56" t="s">
        <v>87</v>
      </c>
      <c r="B54" s="61">
        <v>0.1</v>
      </c>
      <c r="C54" s="61">
        <v>0.1</v>
      </c>
      <c r="D54" s="74" t="str">
        <f>IF(C54&gt;=B54,"HABILITADO","NO HABILITADO")</f>
        <v>HABILITADO</v>
      </c>
    </row>
    <row r="55" spans="1:4" x14ac:dyDescent="0.3">
      <c r="A55" s="56" t="s">
        <v>88</v>
      </c>
      <c r="B55" s="61">
        <v>0.05</v>
      </c>
      <c r="C55" s="61">
        <v>0.05</v>
      </c>
      <c r="D55" s="74" t="str">
        <f>IF(C55&gt;=B55,"HABILITADO","NO HABILITADO")</f>
        <v>HABILITADO</v>
      </c>
    </row>
    <row r="56" spans="1:4" ht="4.5" customHeight="1" x14ac:dyDescent="0.3">
      <c r="C56" s="53"/>
      <c r="D56" s="53"/>
    </row>
    <row r="57" spans="1:4" ht="15.75" customHeight="1" x14ac:dyDescent="0.3">
      <c r="A57" s="63" t="s">
        <v>89</v>
      </c>
      <c r="B57" s="161" t="str">
        <f>IF(+AND(D49="HABILITADO",D50="HABILITADO",D51="HABILITADO",D52="HABILITADO",D53="HABILITADO",D54="HABILITADO",D55="HABILITADO"),"HABILITADO","NO HABILITADO")</f>
        <v>HABILITADO</v>
      </c>
      <c r="C57" s="162"/>
      <c r="D57" s="163"/>
    </row>
    <row r="58" spans="1:4" ht="4.5" customHeight="1" x14ac:dyDescent="0.3">
      <c r="C58" s="53"/>
      <c r="D58" s="53"/>
    </row>
    <row r="59" spans="1:4" x14ac:dyDescent="0.3">
      <c r="A59" s="64" t="s">
        <v>90</v>
      </c>
      <c r="B59" s="65"/>
      <c r="C59"/>
      <c r="D59"/>
    </row>
    <row r="60" spans="1:4" ht="4.5" customHeight="1" thickBot="1" x14ac:dyDescent="0.35">
      <c r="C60" s="53"/>
      <c r="D60" s="53"/>
    </row>
    <row r="61" spans="1:4" ht="33" customHeight="1" thickBot="1" x14ac:dyDescent="0.35">
      <c r="A61" s="164"/>
      <c r="B61" s="165"/>
      <c r="C61" s="165"/>
      <c r="D61" s="166"/>
    </row>
    <row r="62" spans="1:4" ht="16.2" thickBot="1" x14ac:dyDescent="0.35"/>
    <row r="63" spans="1:4" x14ac:dyDescent="0.3">
      <c r="A63" s="167" t="s">
        <v>40</v>
      </c>
      <c r="B63" s="168"/>
      <c r="C63" s="168"/>
      <c r="D63" s="169"/>
    </row>
    <row r="64" spans="1:4" ht="60" customHeight="1" x14ac:dyDescent="0.3">
      <c r="A64" s="120"/>
      <c r="B64" s="66"/>
      <c r="C64" s="66"/>
      <c r="D64" s="67"/>
    </row>
    <row r="65" spans="1:4" ht="32.25" customHeight="1" thickBot="1" x14ac:dyDescent="0.35">
      <c r="A65" s="84" t="s">
        <v>41</v>
      </c>
      <c r="B65" s="68"/>
      <c r="C65" s="189" t="s">
        <v>104</v>
      </c>
      <c r="D65" s="190"/>
    </row>
  </sheetData>
  <mergeCells count="17">
    <mergeCell ref="A9:C9"/>
    <mergeCell ref="A1:D1"/>
    <mergeCell ref="A3:D3"/>
    <mergeCell ref="A4:D4"/>
    <mergeCell ref="A6:D6"/>
    <mergeCell ref="A8:C8"/>
    <mergeCell ref="B57:D57"/>
    <mergeCell ref="A61:D61"/>
    <mergeCell ref="A63:D63"/>
    <mergeCell ref="C65:D65"/>
    <mergeCell ref="A10:C10"/>
    <mergeCell ref="A12:C12"/>
    <mergeCell ref="B14:D14"/>
    <mergeCell ref="B41:C41"/>
    <mergeCell ref="A45:D45"/>
    <mergeCell ref="A47:A48"/>
    <mergeCell ref="B47:D47"/>
  </mergeCells>
  <printOptions horizontalCentered="1" verticalCentered="1"/>
  <pageMargins left="0.19685039370078741" right="0.19685039370078741" top="0.19685039370078741" bottom="0.39370078740157483" header="0.31496062992125984" footer="0.31496062992125984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16</vt:i4>
      </vt:variant>
    </vt:vector>
  </HeadingPairs>
  <TitlesOfParts>
    <vt:vector size="31" baseType="lpstr">
      <vt:lpstr>RESULTADOS FINAL</vt:lpstr>
      <vt:lpstr>UNO</vt:lpstr>
      <vt:lpstr>DOS</vt:lpstr>
      <vt:lpstr>TRES</vt:lpstr>
      <vt:lpstr>CUATRO</vt:lpstr>
      <vt:lpstr>01.INGENIERIA MASTER S.A.S.</vt:lpstr>
      <vt:lpstr>02.UT ALVARO FONNEGRA MAS DR</vt:lpstr>
      <vt:lpstr>03.IA INGENIERIA Y ARQUITECTURA</vt:lpstr>
      <vt:lpstr>04.AVE</vt:lpstr>
      <vt:lpstr>05.CONSORCIO CONSTRUGAVI SENA 0</vt:lpstr>
      <vt:lpstr>06.TOTALL INC SAS BIC</vt:lpstr>
      <vt:lpstr>07.JAM</vt:lpstr>
      <vt:lpstr>08.GB10 CONSULTORES S.A.S.</vt:lpstr>
      <vt:lpstr>09.CONSORCIO ARQ SENA</vt:lpstr>
      <vt:lpstr>10.CONSORCIO ARAGON</vt:lpstr>
      <vt:lpstr>'RESULTADOS FINAL'!Área_de_impresión</vt:lpstr>
      <vt:lpstr>'01.INGENIERIA MASTER S.A.S.'!Títulos_a_imprimir</vt:lpstr>
      <vt:lpstr>'02.UT ALVARO FONNEGRA MAS DR'!Títulos_a_imprimir</vt:lpstr>
      <vt:lpstr>'03.IA INGENIERIA Y ARQUITECTURA'!Títulos_a_imprimir</vt:lpstr>
      <vt:lpstr>'04.AVE'!Títulos_a_imprimir</vt:lpstr>
      <vt:lpstr>'05.CONSORCIO CONSTRUGAVI SENA 0'!Títulos_a_imprimir</vt:lpstr>
      <vt:lpstr>'06.TOTALL INC SAS BIC'!Títulos_a_imprimir</vt:lpstr>
      <vt:lpstr>'07.JAM'!Títulos_a_imprimir</vt:lpstr>
      <vt:lpstr>'08.GB10 CONSULTORES S.A.S.'!Títulos_a_imprimir</vt:lpstr>
      <vt:lpstr>'09.CONSORCIO ARQ SENA'!Títulos_a_imprimir</vt:lpstr>
      <vt:lpstr>'10.CONSORCIO ARAGON'!Títulos_a_imprimir</vt:lpstr>
      <vt:lpstr>CUATRO!Títulos_a_imprimir</vt:lpstr>
      <vt:lpstr>DOS!Títulos_a_imprimir</vt:lpstr>
      <vt:lpstr>'RESULTADOS FINAL'!Títulos_a_imprimir</vt:lpstr>
      <vt:lpstr>TRES!Títulos_a_imprimir</vt:lpstr>
      <vt:lpstr>UNO!Títulos_a_imprimir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Perea Muñoz</dc:creator>
  <cp:keywords/>
  <dc:description/>
  <cp:lastModifiedBy>Luisa Fernanda Perea Muñoz</cp:lastModifiedBy>
  <cp:revision/>
  <cp:lastPrinted>2025-02-04T20:24:51Z</cp:lastPrinted>
  <dcterms:created xsi:type="dcterms:W3CDTF">2020-08-10T16:31:35Z</dcterms:created>
  <dcterms:modified xsi:type="dcterms:W3CDTF">2025-02-17T15:27:16Z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2025-02-03T16:06:57Z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edbccaba-3b1c-41b4-8196-94993534b7e0</vt:lpwstr>
  </property>
  <property fmtid="{D5CDD505-2E9C-101B-9397-08002B2CF9AE}" pid="8" name="MSIP_Label_fc111285-cafa-4fc9-8a9a-bd902089b24f_ContentBits">
    <vt:lpwstr>0</vt:lpwstr>
  </property>
</Properties>
</file>