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MCH 2025\CMA-001-2025\INFORME DE EVALUACION CMA 001-2025\"/>
    </mc:Choice>
  </mc:AlternateContent>
  <bookViews>
    <workbookView xWindow="0" yWindow="0" windowWidth="20490" windowHeight="7215"/>
  </bookViews>
  <sheets>
    <sheet name="PROP 1 -Director Intv" sheetId="1" r:id="rId1"/>
    <sheet name=" PROP 1 - Coord. Operativo Intv" sheetId="2" r:id="rId2"/>
    <sheet name=" PROP 1 - Coord Calidad Intv" sheetId="3" r:id="rId3"/>
    <sheet name="PROP 1 - Supervisor Intv 1" sheetId="4" r:id="rId4"/>
    <sheet name="PROP 1 - Supervisor Intv 2" sheetId="5" r:id="rId5"/>
    <sheet name="PROP 1 - Supervisor Intv 3" sheetId="6" r:id="rId6"/>
    <sheet name="PROP 1 - Supervisor Intv 4" sheetId="7" r:id="rId7"/>
    <sheet name="PROP 1 - Supervisor Intv 5" sheetId="8" r:id="rId8"/>
    <sheet name="PROP 1 - Contador Públ Intv" sheetId="9" r:id="rId9"/>
    <sheet name="PROP 1 - Abogado Intv" sheetId="10"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X" localSheetId="2">[1]!ERR</definedName>
    <definedName name="\X" localSheetId="1">[2]!ERR</definedName>
    <definedName name="\X" localSheetId="9">[3]!ERR</definedName>
    <definedName name="\X" localSheetId="8">[3]!ERR</definedName>
    <definedName name="\X" localSheetId="3">[3]!ERR</definedName>
    <definedName name="\X" localSheetId="4">[3]!ERR</definedName>
    <definedName name="\X" localSheetId="5">[4]!ERR</definedName>
    <definedName name="\X" localSheetId="6">[5]!ERR</definedName>
    <definedName name="\X" localSheetId="7">[5]!ERR</definedName>
    <definedName name="\X" localSheetId="0">[6]!ERR</definedName>
    <definedName name="\X">[6]!ERR</definedName>
    <definedName name="\Z" localSheetId="2">[1]!ERR</definedName>
    <definedName name="\Z" localSheetId="1">[2]!ERR</definedName>
    <definedName name="\Z" localSheetId="9">[3]!ERR</definedName>
    <definedName name="\Z" localSheetId="8">[3]!ERR</definedName>
    <definedName name="\Z" localSheetId="3">[3]!ERR</definedName>
    <definedName name="\Z" localSheetId="4">[3]!ERR</definedName>
    <definedName name="\Z" localSheetId="5">[4]!ERR</definedName>
    <definedName name="\Z" localSheetId="6">[5]!ERR</definedName>
    <definedName name="\Z" localSheetId="7">[5]!ERR</definedName>
    <definedName name="\Z" localSheetId="0">[6]!ERR</definedName>
    <definedName name="\Z">[6]!ERR</definedName>
    <definedName name="__________________FS01" localSheetId="2">[1]!ERR</definedName>
    <definedName name="__________________FS01" localSheetId="1">[2]!ERR</definedName>
    <definedName name="__________________FS01" localSheetId="9">[3]!ERR</definedName>
    <definedName name="__________________FS01" localSheetId="8">[3]!ERR</definedName>
    <definedName name="__________________FS01" localSheetId="3">[3]!ERR</definedName>
    <definedName name="__________________FS01" localSheetId="4">[3]!ERR</definedName>
    <definedName name="__________________FS01" localSheetId="5">[4]!ERR</definedName>
    <definedName name="__________________FS01" localSheetId="6">[5]!ERR</definedName>
    <definedName name="__________________FS01" localSheetId="7">[5]!ERR</definedName>
    <definedName name="__________________FS01" localSheetId="0">[6]!ERR</definedName>
    <definedName name="__________________FS01">[6]!ERR</definedName>
    <definedName name="__FS01" localSheetId="2">#N/A</definedName>
    <definedName name="__FS01" localSheetId="1">#N/A</definedName>
    <definedName name="__FS01" localSheetId="9">#N/A</definedName>
    <definedName name="__FS01" localSheetId="8">#N/A</definedName>
    <definedName name="__FS01" localSheetId="0">#N/A</definedName>
    <definedName name="__FS01">#N/A</definedName>
    <definedName name="_F" localSheetId="2">[1]!ERR</definedName>
    <definedName name="_F" localSheetId="1">[2]!ERR</definedName>
    <definedName name="_F" localSheetId="9">[3]!ERR</definedName>
    <definedName name="_F" localSheetId="8">[3]!ERR</definedName>
    <definedName name="_F" localSheetId="3">[3]!ERR</definedName>
    <definedName name="_F" localSheetId="4">[3]!ERR</definedName>
    <definedName name="_F" localSheetId="5">[4]!ERR</definedName>
    <definedName name="_F" localSheetId="6">[5]!ERR</definedName>
    <definedName name="_F" localSheetId="7">[5]!ERR</definedName>
    <definedName name="_F" localSheetId="0">[6]!ERR</definedName>
    <definedName name="_F">[6]!ERR</definedName>
    <definedName name="_ff2005" localSheetId="2">[1]!ERR</definedName>
    <definedName name="_ff2005" localSheetId="1">[2]!ERR</definedName>
    <definedName name="_ff2005" localSheetId="9">[3]!ERR</definedName>
    <definedName name="_ff2005" localSheetId="8">[3]!ERR</definedName>
    <definedName name="_ff2005" localSheetId="3">[3]!ERR</definedName>
    <definedName name="_ff2005" localSheetId="4">[3]!ERR</definedName>
    <definedName name="_ff2005" localSheetId="5">[4]!ERR</definedName>
    <definedName name="_ff2005" localSheetId="6">[5]!ERR</definedName>
    <definedName name="_ff2005" localSheetId="7">[5]!ERR</definedName>
    <definedName name="_ff2005" localSheetId="0">[6]!ERR</definedName>
    <definedName name="_ff2005">[6]!ERR</definedName>
    <definedName name="_FS01" localSheetId="2">[1]!ERR</definedName>
    <definedName name="_FS01" localSheetId="1">[2]!ERR</definedName>
    <definedName name="_FS01" localSheetId="9">[3]!ERR</definedName>
    <definedName name="_FS01" localSheetId="8">[3]!ERR</definedName>
    <definedName name="_FS01" localSheetId="3">[3]!ERR</definedName>
    <definedName name="_FS01" localSheetId="4">[3]!ERR</definedName>
    <definedName name="_FS01" localSheetId="5">[4]!ERR</definedName>
    <definedName name="_FS01" localSheetId="6">[5]!ERR</definedName>
    <definedName name="_FS01" localSheetId="7">[5]!ERR</definedName>
    <definedName name="_FS01" localSheetId="0">[6]!ERR</definedName>
    <definedName name="_FS01">[6]!ERR</definedName>
    <definedName name="_FS02" localSheetId="2">[1]!ERR</definedName>
    <definedName name="_FS02" localSheetId="1">[2]!ERR</definedName>
    <definedName name="_FS02" localSheetId="9">[3]!ERR</definedName>
    <definedName name="_FS02" localSheetId="8">[3]!ERR</definedName>
    <definedName name="_FS02" localSheetId="3">[3]!ERR</definedName>
    <definedName name="_FS02" localSheetId="4">[3]!ERR</definedName>
    <definedName name="_FS02" localSheetId="5">[4]!ERR</definedName>
    <definedName name="_FS02" localSheetId="6">[5]!ERR</definedName>
    <definedName name="_FS02" localSheetId="7">[5]!ERR</definedName>
    <definedName name="_FS02" localSheetId="0">[6]!ERR</definedName>
    <definedName name="_FS02">[6]!ERR</definedName>
    <definedName name="_TD02" localSheetId="2">[1]!ERR</definedName>
    <definedName name="_TD02" localSheetId="1">[2]!ERR</definedName>
    <definedName name="_TD02" localSheetId="9">[3]!ERR</definedName>
    <definedName name="_TD02" localSheetId="8">[3]!ERR</definedName>
    <definedName name="_TD02" localSheetId="3">[3]!ERR</definedName>
    <definedName name="_TD02" localSheetId="4">[3]!ERR</definedName>
    <definedName name="_TD02" localSheetId="5">[4]!ERR</definedName>
    <definedName name="_TD02" localSheetId="6">[5]!ERR</definedName>
    <definedName name="_TD02" localSheetId="7">[5]!ERR</definedName>
    <definedName name="_TD02" localSheetId="0">[6]!ERR</definedName>
    <definedName name="_TD02">[6]!ERR</definedName>
    <definedName name="A" localSheetId="2">#REF!</definedName>
    <definedName name="A" localSheetId="1">#REF!</definedName>
    <definedName name="A" localSheetId="9">#REF!</definedName>
    <definedName name="A" localSheetId="8">#REF!</definedName>
    <definedName name="A" localSheetId="3">#REF!</definedName>
    <definedName name="A" localSheetId="4">#REF!</definedName>
    <definedName name="A" localSheetId="5">#REF!</definedName>
    <definedName name="A" localSheetId="6">#REF!</definedName>
    <definedName name="A" localSheetId="7">#REF!</definedName>
    <definedName name="A" localSheetId="0">#REF!</definedName>
    <definedName name="A">#REF!</definedName>
    <definedName name="A_impresión_IM" localSheetId="2">#REF!</definedName>
    <definedName name="A_impresión_IM" localSheetId="1">#REF!</definedName>
    <definedName name="A_impresión_IM" localSheetId="9">#REF!</definedName>
    <definedName name="A_impresión_IM" localSheetId="8">#REF!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#REF!</definedName>
    <definedName name="AAA" localSheetId="2">[1]!ERR</definedName>
    <definedName name="AAA" localSheetId="1">[2]!ERR</definedName>
    <definedName name="AAA" localSheetId="9">[3]!ERR</definedName>
    <definedName name="AAA" localSheetId="8">[3]!ERR</definedName>
    <definedName name="AAA" localSheetId="3">[3]!ERR</definedName>
    <definedName name="AAA" localSheetId="4">[3]!ERR</definedName>
    <definedName name="AAA" localSheetId="5">[4]!ERR</definedName>
    <definedName name="AAA" localSheetId="6">[5]!ERR</definedName>
    <definedName name="AAA" localSheetId="7">[5]!ERR</definedName>
    <definedName name="AAA" localSheetId="0">[6]!ERR</definedName>
    <definedName name="AAA">[6]!ERR</definedName>
    <definedName name="AIU" localSheetId="2">#REF!</definedName>
    <definedName name="AIU" localSheetId="1">#REF!</definedName>
    <definedName name="AIU" localSheetId="9">#REF!</definedName>
    <definedName name="AIU" localSheetId="8">#REF!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0">#REF!</definedName>
    <definedName name="AIU">#REF!</definedName>
    <definedName name="_xlnm.Extract" localSheetId="2">#REF!</definedName>
    <definedName name="_xlnm.Extract" localSheetId="1">#REF!</definedName>
    <definedName name="_xlnm.Extract" localSheetId="9">#REF!</definedName>
    <definedName name="_xlnm.Extract" localSheetId="8">#REF!</definedName>
    <definedName name="_xlnm.Extract" localSheetId="3">#REF!</definedName>
    <definedName name="_xlnm.Extract" localSheetId="4">#REF!</definedName>
    <definedName name="_xlnm.Extract" localSheetId="5">#REF!</definedName>
    <definedName name="_xlnm.Extract" localSheetId="6">#REF!</definedName>
    <definedName name="_xlnm.Extract" localSheetId="7">#REF!</definedName>
    <definedName name="_xlnm.Extract">#REF!</definedName>
    <definedName name="_xlnm.Print_Area" localSheetId="2">' PROP 1 - Coord Calidad Intv'!$A$1:$N$39</definedName>
    <definedName name="_xlnm.Print_Area" localSheetId="1">' PROP 1 - Coord. Operativo Intv'!$A$1:$M$46</definedName>
    <definedName name="_xlnm.Print_Area" localSheetId="9">'PROP 1 - Abogado Intv'!$A$1:$M$33</definedName>
    <definedName name="_xlnm.Print_Area" localSheetId="8">'PROP 1 - Contador Públ Intv'!$A$1:$M$38</definedName>
    <definedName name="_xlnm.Print_Area" localSheetId="3">'PROP 1 - Supervisor Intv 1'!$A$1:$N$39</definedName>
    <definedName name="_xlnm.Print_Area" localSheetId="4">'PROP 1 - Supervisor Intv 2'!$A$1:$N$40</definedName>
    <definedName name="_xlnm.Print_Area" localSheetId="5">'PROP 1 - Supervisor Intv 3'!$A$1:$M$72</definedName>
    <definedName name="_xlnm.Print_Area" localSheetId="6">'PROP 1 - Supervisor Intv 4'!$A$1:$W$41</definedName>
    <definedName name="_xlnm.Print_Area" localSheetId="7">'PROP 1 - Supervisor Intv 5'!$A$1:$W$33</definedName>
    <definedName name="_xlnm.Print_Area" localSheetId="0">'PROP 1 -Director Intv'!$A$1:$N$56</definedName>
    <definedName name="_xlnm.Print_Area">#REF!</definedName>
    <definedName name="AS" localSheetId="2">[1]!ERR</definedName>
    <definedName name="AS" localSheetId="1">[2]!ERR</definedName>
    <definedName name="AS" localSheetId="9">[3]!ERR</definedName>
    <definedName name="AS" localSheetId="8">[3]!ERR</definedName>
    <definedName name="AS" localSheetId="3">[3]!ERR</definedName>
    <definedName name="AS" localSheetId="4">[3]!ERR</definedName>
    <definedName name="AS" localSheetId="5">[4]!ERR</definedName>
    <definedName name="AS" localSheetId="6">[5]!ERR</definedName>
    <definedName name="AS" localSheetId="7">[5]!ERR</definedName>
    <definedName name="AS" localSheetId="0">[6]!ERR</definedName>
    <definedName name="AS">[6]!ERR</definedName>
    <definedName name="asd" localSheetId="2">[1]!ERR</definedName>
    <definedName name="asd" localSheetId="1">[2]!ERR</definedName>
    <definedName name="asd" localSheetId="9">[3]!ERR</definedName>
    <definedName name="asd" localSheetId="8">[3]!ERR</definedName>
    <definedName name="asd" localSheetId="3">[3]!ERR</definedName>
    <definedName name="asd" localSheetId="4">[3]!ERR</definedName>
    <definedName name="asd" localSheetId="5">[4]!ERR</definedName>
    <definedName name="asd" localSheetId="6">[5]!ERR</definedName>
    <definedName name="asd" localSheetId="7">[5]!ERR</definedName>
    <definedName name="asd" localSheetId="0">[6]!ERR</definedName>
    <definedName name="asd">[6]!ERR</definedName>
    <definedName name="Base_datos_IM" localSheetId="2">#REF!</definedName>
    <definedName name="Base_datos_IM" localSheetId="1">#REF!</definedName>
    <definedName name="Base_datos_IM" localSheetId="9">#REF!</definedName>
    <definedName name="Base_datos_IM" localSheetId="8">#REF!</definedName>
    <definedName name="Base_datos_IM" localSheetId="3">#REF!</definedName>
    <definedName name="Base_datos_IM" localSheetId="4">#REF!</definedName>
    <definedName name="Base_datos_IM" localSheetId="5">#REF!</definedName>
    <definedName name="Base_datos_IM" localSheetId="6">#REF!</definedName>
    <definedName name="Base_datos_IM" localSheetId="7">#REF!</definedName>
    <definedName name="Base_datos_IM">#REF!</definedName>
    <definedName name="_xlnm.Database" localSheetId="2">#REF!</definedName>
    <definedName name="_xlnm.Database" localSheetId="1">#REF!</definedName>
    <definedName name="_xlnm.Database" localSheetId="9">#REF!</definedName>
    <definedName name="_xlnm.Database" localSheetId="8">#REF!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#REF!</definedName>
    <definedName name="BB" localSheetId="2">[1]!ERR</definedName>
    <definedName name="BB" localSheetId="1">[2]!ERR</definedName>
    <definedName name="BB" localSheetId="9">[3]!ERR</definedName>
    <definedName name="BB" localSheetId="8">[3]!ERR</definedName>
    <definedName name="BB" localSheetId="3">[3]!ERR</definedName>
    <definedName name="BB" localSheetId="4">[3]!ERR</definedName>
    <definedName name="BB" localSheetId="5">[4]!ERR</definedName>
    <definedName name="BB" localSheetId="6">[5]!ERR</definedName>
    <definedName name="BB" localSheetId="7">[5]!ERR</definedName>
    <definedName name="BB" localSheetId="0">[6]!ERR</definedName>
    <definedName name="BB">[6]!ERR</definedName>
    <definedName name="Buscar" localSheetId="2">#REF!</definedName>
    <definedName name="Buscar" localSheetId="1">#REF!</definedName>
    <definedName name="Buscar" localSheetId="9">#REF!</definedName>
    <definedName name="Buscar" localSheetId="8">#REF!</definedName>
    <definedName name="Buscar" localSheetId="3">#REF!</definedName>
    <definedName name="Buscar" localSheetId="4">#REF!</definedName>
    <definedName name="Buscar" localSheetId="5">#REF!</definedName>
    <definedName name="Buscar" localSheetId="6">#REF!</definedName>
    <definedName name="Buscar" localSheetId="7">#REF!</definedName>
    <definedName name="Buscar" localSheetId="0">#REF!</definedName>
    <definedName name="Buscar">#REF!</definedName>
    <definedName name="bustos" localSheetId="7">#REF!</definedName>
    <definedName name="bustos">#REF!</definedName>
    <definedName name="casanare">[7]Listado!$F$1038:$F$1056</definedName>
    <definedName name="ccc" localSheetId="2">[1]!ERR</definedName>
    <definedName name="ccc" localSheetId="1">[2]!ERR</definedName>
    <definedName name="ccc" localSheetId="9">[3]!ERR</definedName>
    <definedName name="ccc" localSheetId="8">[3]!ERR</definedName>
    <definedName name="ccc" localSheetId="3">[3]!ERR</definedName>
    <definedName name="ccc" localSheetId="4">[3]!ERR</definedName>
    <definedName name="ccc" localSheetId="5">[4]!ERR</definedName>
    <definedName name="ccc" localSheetId="6">[5]!ERR</definedName>
    <definedName name="ccc" localSheetId="7">[5]!ERR</definedName>
    <definedName name="ccc" localSheetId="0">[6]!ERR</definedName>
    <definedName name="ccc">[6]!ERR</definedName>
    <definedName name="CERT" localSheetId="2">[1]!ERR</definedName>
    <definedName name="CERT" localSheetId="1">[2]!ERR</definedName>
    <definedName name="CERT" localSheetId="9">[3]!ERR</definedName>
    <definedName name="CERT" localSheetId="8">[3]!ERR</definedName>
    <definedName name="CERT" localSheetId="3">[3]!ERR</definedName>
    <definedName name="CERT" localSheetId="4">[3]!ERR</definedName>
    <definedName name="CERT" localSheetId="5">[4]!ERR</definedName>
    <definedName name="CERT" localSheetId="6">[5]!ERR</definedName>
    <definedName name="CERT" localSheetId="7">[5]!ERR</definedName>
    <definedName name="CERT" localSheetId="0">[6]!ERR</definedName>
    <definedName name="CERT">[6]!ERR</definedName>
    <definedName name="cesse" localSheetId="2">[1]!ERR</definedName>
    <definedName name="cesse" localSheetId="1">[2]!ERR</definedName>
    <definedName name="cesse" localSheetId="9">[3]!ERR</definedName>
    <definedName name="cesse" localSheetId="8">[3]!ERR</definedName>
    <definedName name="cesse" localSheetId="3">[3]!ERR</definedName>
    <definedName name="cesse" localSheetId="4">[3]!ERR</definedName>
    <definedName name="cesse" localSheetId="5">[4]!ERR</definedName>
    <definedName name="cesse" localSheetId="6">[5]!ERR</definedName>
    <definedName name="cesse" localSheetId="7">[5]!ERR</definedName>
    <definedName name="cesse" localSheetId="0">[6]!ERR</definedName>
    <definedName name="cesse">[6]!ERR</definedName>
    <definedName name="COPIA" localSheetId="2">[1]!ERR</definedName>
    <definedName name="COPIA" localSheetId="1">[2]!ERR</definedName>
    <definedName name="COPIA" localSheetId="9">[3]!ERR</definedName>
    <definedName name="COPIA" localSheetId="8">[3]!ERR</definedName>
    <definedName name="COPIA" localSheetId="3">[3]!ERR</definedName>
    <definedName name="COPIA" localSheetId="4">[3]!ERR</definedName>
    <definedName name="COPIA" localSheetId="5">[4]!ERR</definedName>
    <definedName name="COPIA" localSheetId="6">[5]!ERR</definedName>
    <definedName name="COPIA" localSheetId="7">[5]!ERR</definedName>
    <definedName name="COPIA" localSheetId="0">[6]!ERR</definedName>
    <definedName name="COPIA">[6]!ERR</definedName>
    <definedName name="COS" localSheetId="6">#REF!</definedName>
    <definedName name="COS" localSheetId="7">#REF!</definedName>
    <definedName name="COS">#REF!</definedName>
    <definedName name="COSTODIRECTO" localSheetId="2">#REF!</definedName>
    <definedName name="COSTODIRECTO" localSheetId="1">#REF!</definedName>
    <definedName name="COSTODIRECTO" localSheetId="9">#REF!</definedName>
    <definedName name="COSTODIRECTO" localSheetId="8">#REF!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0">#REF!</definedName>
    <definedName name="COSTODIRECTO">#REF!</definedName>
    <definedName name="_xlnm.Criteria" localSheetId="2">#REF!</definedName>
    <definedName name="_xlnm.Criteria" localSheetId="1">#REF!</definedName>
    <definedName name="_xlnm.Criteria" localSheetId="9">#REF!</definedName>
    <definedName name="_xlnm.Criteria" localSheetId="8">#REF!</definedName>
    <definedName name="_xlnm.Criteria" localSheetId="3">#REF!</definedName>
    <definedName name="_xlnm.Criteria" localSheetId="4">#REF!</definedName>
    <definedName name="_xlnm.Criteria" localSheetId="5">#REF!</definedName>
    <definedName name="_xlnm.Criteria" localSheetId="6">#REF!</definedName>
    <definedName name="_xlnm.Criteria" localSheetId="7">#REF!</definedName>
    <definedName name="_xlnm.Criteria">#REF!</definedName>
    <definedName name="Criterios_IM" localSheetId="2">#REF!</definedName>
    <definedName name="Criterios_IM" localSheetId="1">#REF!</definedName>
    <definedName name="Criterios_IM" localSheetId="9">#REF!</definedName>
    <definedName name="Criterios_IM" localSheetId="8">#REF!</definedName>
    <definedName name="Criterios_IM" localSheetId="3">#REF!</definedName>
    <definedName name="Criterios_IM" localSheetId="4">#REF!</definedName>
    <definedName name="Criterios_IM" localSheetId="5">#REF!</definedName>
    <definedName name="Criterios_IM" localSheetId="6">#REF!</definedName>
    <definedName name="Criterios_IM" localSheetId="7">#REF!</definedName>
    <definedName name="Criterios_IM">#REF!</definedName>
    <definedName name="CUAL" localSheetId="2">[1]!ERR</definedName>
    <definedName name="CUAL" localSheetId="1">[2]!ERR</definedName>
    <definedName name="CUAL" localSheetId="9">[3]!ERR</definedName>
    <definedName name="CUAL" localSheetId="8">[3]!ERR</definedName>
    <definedName name="CUAL" localSheetId="3">[3]!ERR</definedName>
    <definedName name="CUAL" localSheetId="4">[3]!ERR</definedName>
    <definedName name="CUAL" localSheetId="5">[4]!ERR</definedName>
    <definedName name="CUAL" localSheetId="6">[5]!ERR</definedName>
    <definedName name="CUAL" localSheetId="7">[5]!ERR</definedName>
    <definedName name="CUAL" localSheetId="0">[6]!ERR</definedName>
    <definedName name="CUAL">[6]!ERR</definedName>
    <definedName name="dd" localSheetId="2">[1]!ERR</definedName>
    <definedName name="dd" localSheetId="1">[2]!ERR</definedName>
    <definedName name="dd" localSheetId="9">[3]!ERR</definedName>
    <definedName name="dd" localSheetId="8">[3]!ERR</definedName>
    <definedName name="dd" localSheetId="3">[3]!ERR</definedName>
    <definedName name="dd" localSheetId="4">[3]!ERR</definedName>
    <definedName name="dd" localSheetId="5">[4]!ERR</definedName>
    <definedName name="dd" localSheetId="6">[5]!ERR</definedName>
    <definedName name="dd" localSheetId="7">[5]!ERR</definedName>
    <definedName name="dd" localSheetId="0">[6]!ERR</definedName>
    <definedName name="dd">[6]!ERR</definedName>
    <definedName name="Director" localSheetId="2">[1]!ERR</definedName>
    <definedName name="Director" localSheetId="1">[2]!ERR</definedName>
    <definedName name="Director" localSheetId="9">[3]!ERR</definedName>
    <definedName name="Director" localSheetId="8">[3]!ERR</definedName>
    <definedName name="Director" localSheetId="3">[3]!ERR</definedName>
    <definedName name="Director" localSheetId="4">[3]!ERR</definedName>
    <definedName name="Director" localSheetId="5">[4]!ERR</definedName>
    <definedName name="Director" localSheetId="6">[5]!ERR</definedName>
    <definedName name="Director" localSheetId="7">[5]!ERR</definedName>
    <definedName name="Director" localSheetId="0">[6]!ERR</definedName>
    <definedName name="Director">[6]!ERR</definedName>
    <definedName name="DOS" localSheetId="2">[1]!ERR</definedName>
    <definedName name="DOS" localSheetId="1">[2]!ERR</definedName>
    <definedName name="DOS" localSheetId="9">[3]!ERR</definedName>
    <definedName name="DOS" localSheetId="8">[3]!ERR</definedName>
    <definedName name="DOS" localSheetId="3">[3]!ERR</definedName>
    <definedName name="DOS" localSheetId="4">[3]!ERR</definedName>
    <definedName name="DOS" localSheetId="5">[4]!ERR</definedName>
    <definedName name="DOS" localSheetId="6">[5]!ERR</definedName>
    <definedName name="DOS" localSheetId="7">[5]!ERR</definedName>
    <definedName name="DOS" localSheetId="0">[6]!ERR</definedName>
    <definedName name="DOS">[6]!ERR</definedName>
    <definedName name="ede" localSheetId="2">[1]!ERR</definedName>
    <definedName name="ede" localSheetId="1">[2]!ERR</definedName>
    <definedName name="ede" localSheetId="9">[3]!ERR</definedName>
    <definedName name="ede" localSheetId="8">[3]!ERR</definedName>
    <definedName name="ede" localSheetId="3">[3]!ERR</definedName>
    <definedName name="ede" localSheetId="4">[3]!ERR</definedName>
    <definedName name="ede" localSheetId="5">[4]!ERR</definedName>
    <definedName name="ede" localSheetId="6">[5]!ERR</definedName>
    <definedName name="ede" localSheetId="7">[5]!ERR</definedName>
    <definedName name="ede" localSheetId="0">[6]!ERR</definedName>
    <definedName name="ede">[6]!ERR</definedName>
    <definedName name="Edelmira" localSheetId="2">[1]!ERR</definedName>
    <definedName name="Edelmira" localSheetId="1">[2]!ERR</definedName>
    <definedName name="Edelmira" localSheetId="9">[3]!ERR</definedName>
    <definedName name="Edelmira" localSheetId="8">[3]!ERR</definedName>
    <definedName name="Edelmira" localSheetId="3">[3]!ERR</definedName>
    <definedName name="Edelmira" localSheetId="4">[3]!ERR</definedName>
    <definedName name="Edelmira" localSheetId="5">[4]!ERR</definedName>
    <definedName name="Edelmira" localSheetId="6">[5]!ERR</definedName>
    <definedName name="Edelmira" localSheetId="7">[5]!ERR</definedName>
    <definedName name="Edelmira" localSheetId="0">[6]!ERR</definedName>
    <definedName name="Edelmira">[6]!ERR</definedName>
    <definedName name="EQUI">[8]EQUI!$A$8:$C$37</definedName>
    <definedName name="ES" localSheetId="2">[1]!ERR</definedName>
    <definedName name="ES" localSheetId="1">[2]!ERR</definedName>
    <definedName name="ES" localSheetId="9">[3]!ERR</definedName>
    <definedName name="ES" localSheetId="8">[3]!ERR</definedName>
    <definedName name="ES" localSheetId="3">[3]!ERR</definedName>
    <definedName name="ES" localSheetId="4">[3]!ERR</definedName>
    <definedName name="ES" localSheetId="5">[4]!ERR</definedName>
    <definedName name="ES" localSheetId="6">[5]!ERR</definedName>
    <definedName name="ES" localSheetId="7">[5]!ERR</definedName>
    <definedName name="ES" localSheetId="0">[6]!ERR</definedName>
    <definedName name="ES">[6]!ERR</definedName>
    <definedName name="ESRE" localSheetId="2">[1]!ERR</definedName>
    <definedName name="ESRE" localSheetId="1">[2]!ERR</definedName>
    <definedName name="ESRE" localSheetId="9">[3]!ERR</definedName>
    <definedName name="ESRE" localSheetId="8">[3]!ERR</definedName>
    <definedName name="ESRE" localSheetId="3">[3]!ERR</definedName>
    <definedName name="ESRE" localSheetId="4">[3]!ERR</definedName>
    <definedName name="ESRE" localSheetId="5">[4]!ERR</definedName>
    <definedName name="ESRE" localSheetId="6">[5]!ERR</definedName>
    <definedName name="ESRE" localSheetId="7">[5]!ERR</definedName>
    <definedName name="ESRE" localSheetId="0">[6]!ERR</definedName>
    <definedName name="ESRE">[6]!ERR</definedName>
    <definedName name="Excel_BuiltIn_Print_Titles_2" localSheetId="2">'[9]APU CORREGIDO NUEVOS'!#REF!</definedName>
    <definedName name="Excel_BuiltIn_Print_Titles_2" localSheetId="1">'[9]APU CORREGIDO NUEVOS'!#REF!</definedName>
    <definedName name="Excel_BuiltIn_Print_Titles_2" localSheetId="9">'[9]APU CORREGIDO NUEVOS'!#REF!</definedName>
    <definedName name="Excel_BuiltIn_Print_Titles_2" localSheetId="8">'[9]APU CORREGIDO NUEVOS'!#REF!</definedName>
    <definedName name="Excel_BuiltIn_Print_Titles_2" localSheetId="3">'[9]APU CORREGIDO NUEVOS'!#REF!</definedName>
    <definedName name="Excel_BuiltIn_Print_Titles_2" localSheetId="4">'[9]APU CORREGIDO NUEVOS'!#REF!</definedName>
    <definedName name="Excel_BuiltIn_Print_Titles_2" localSheetId="5">'[9]APU CORREGIDO NUEVOS'!#REF!</definedName>
    <definedName name="Excel_BuiltIn_Print_Titles_2" localSheetId="6">'[9]APU CORREGIDO NUEVOS'!#REF!</definedName>
    <definedName name="Excel_BuiltIn_Print_Titles_2" localSheetId="7">'[9]APU CORREGIDO NUEVOS'!#REF!</definedName>
    <definedName name="Excel_BuiltIn_Print_Titles_2" localSheetId="0">'[9]APU CORREGIDO NUEVOS'!#REF!</definedName>
    <definedName name="Excel_BuiltIn_Print_Titles_2">'[9]APU CORREGIDO NUEVOS'!#REF!</definedName>
    <definedName name="Extracción_IM" localSheetId="2">#REF!</definedName>
    <definedName name="Extracción_IM" localSheetId="1">#REF!</definedName>
    <definedName name="Extracción_IM" localSheetId="9">#REF!</definedName>
    <definedName name="Extracción_IM" localSheetId="8">#REF!</definedName>
    <definedName name="Extracción_IM" localSheetId="3">#REF!</definedName>
    <definedName name="Extracción_IM" localSheetId="4">#REF!</definedName>
    <definedName name="Extracción_IM" localSheetId="5">#REF!</definedName>
    <definedName name="Extracción_IM" localSheetId="6">#REF!</definedName>
    <definedName name="Extracción_IM" localSheetId="7">#REF!</definedName>
    <definedName name="Extracción_IM">#REF!</definedName>
    <definedName name="factor" localSheetId="2">#REF!</definedName>
    <definedName name="factor" localSheetId="1">#REF!</definedName>
    <definedName name="factor" localSheetId="9">#REF!</definedName>
    <definedName name="factor" localSheetId="8">#REF!</definedName>
    <definedName name="factor" localSheetId="3">#REF!</definedName>
    <definedName name="factor" localSheetId="4">#REF!</definedName>
    <definedName name="factor" localSheetId="5">#REF!</definedName>
    <definedName name="factor" localSheetId="6">#REF!</definedName>
    <definedName name="factor" localSheetId="7">#REF!</definedName>
    <definedName name="factor" localSheetId="0">#REF!</definedName>
    <definedName name="factor">#REF!</definedName>
    <definedName name="fec" localSheetId="2">#REF!</definedName>
    <definedName name="fec" localSheetId="1">#REF!</definedName>
    <definedName name="fec" localSheetId="9">#REF!</definedName>
    <definedName name="fec" localSheetId="8">#REF!</definedName>
    <definedName name="fec" localSheetId="3">#REF!</definedName>
    <definedName name="fec" localSheetId="4">#REF!</definedName>
    <definedName name="fec" localSheetId="5">#REF!</definedName>
    <definedName name="fec" localSheetId="6">#REF!</definedName>
    <definedName name="fec" localSheetId="7">#REF!</definedName>
    <definedName name="fec" localSheetId="0">#REF!</definedName>
    <definedName name="fec">#REF!</definedName>
    <definedName name="ff" localSheetId="2">[1]!ERR</definedName>
    <definedName name="ff" localSheetId="1">[2]!ERR</definedName>
    <definedName name="ff" localSheetId="9">[3]!ERR</definedName>
    <definedName name="ff" localSheetId="8">[3]!ERR</definedName>
    <definedName name="ff" localSheetId="3">[3]!ERR</definedName>
    <definedName name="ff" localSheetId="4">[3]!ERR</definedName>
    <definedName name="ff" localSheetId="5">[4]!ERR</definedName>
    <definedName name="ff" localSheetId="6">[5]!ERR</definedName>
    <definedName name="ff" localSheetId="7">[5]!ERR</definedName>
    <definedName name="ff" localSheetId="0">[6]!ERR</definedName>
    <definedName name="ff">[6]!ERR</definedName>
    <definedName name="FINANCIACION" localSheetId="2">[1]!ERR</definedName>
    <definedName name="FINANCIACION" localSheetId="1">[2]!ERR</definedName>
    <definedName name="FINANCIACION" localSheetId="9">[3]!ERR</definedName>
    <definedName name="FINANCIACION" localSheetId="8">[3]!ERR</definedName>
    <definedName name="FINANCIACION" localSheetId="3">[3]!ERR</definedName>
    <definedName name="FINANCIACION" localSheetId="4">[3]!ERR</definedName>
    <definedName name="FINANCIACION" localSheetId="5">[4]!ERR</definedName>
    <definedName name="FINANCIACION" localSheetId="6">[5]!ERR</definedName>
    <definedName name="FINANCIACION" localSheetId="7">[5]!ERR</definedName>
    <definedName name="FINANCIACION" localSheetId="0">[6]!ERR</definedName>
    <definedName name="FINANCIACION">[6]!ERR</definedName>
    <definedName name="GGG" localSheetId="2">[1]!ERR</definedName>
    <definedName name="GGG" localSheetId="1">[2]!ERR</definedName>
    <definedName name="GGG" localSheetId="9">[3]!ERR</definedName>
    <definedName name="GGG" localSheetId="8">[3]!ERR</definedName>
    <definedName name="GGG" localSheetId="3">[3]!ERR</definedName>
    <definedName name="GGG" localSheetId="4">[3]!ERR</definedName>
    <definedName name="GGG" localSheetId="5">[4]!ERR</definedName>
    <definedName name="GGG" localSheetId="6">[5]!ERR</definedName>
    <definedName name="GGG" localSheetId="7">[5]!ERR</definedName>
    <definedName name="GGG" localSheetId="0">[6]!ERR</definedName>
    <definedName name="GGG">[6]!ERR</definedName>
    <definedName name="IOUHH" localSheetId="2">[1]!ERR</definedName>
    <definedName name="IOUHH" localSheetId="1">[2]!ERR</definedName>
    <definedName name="IOUHH" localSheetId="9">[3]!ERR</definedName>
    <definedName name="IOUHH" localSheetId="8">[3]!ERR</definedName>
    <definedName name="IOUHH" localSheetId="3">[3]!ERR</definedName>
    <definedName name="IOUHH" localSheetId="4">[3]!ERR</definedName>
    <definedName name="IOUHH" localSheetId="5">[4]!ERR</definedName>
    <definedName name="IOUHH" localSheetId="6">[5]!ERR</definedName>
    <definedName name="IOUHH" localSheetId="7">[5]!ERR</definedName>
    <definedName name="IOUHH" localSheetId="0">[6]!ERR</definedName>
    <definedName name="IOUHH">[6]!ERR</definedName>
    <definedName name="Israel" localSheetId="2">#REF!,#REF!,#REF!,#REF!,#REF!,#REF!,#REF!,#REF!,#REF!</definedName>
    <definedName name="Israel" localSheetId="1">#REF!,#REF!,#REF!,#REF!,#REF!,#REF!,#REF!,#REF!,#REF!</definedName>
    <definedName name="Israel" localSheetId="9">#REF!,#REF!,#REF!,#REF!,#REF!,#REF!,#REF!,#REF!,#REF!</definedName>
    <definedName name="Israel" localSheetId="8">#REF!,#REF!,#REF!,#REF!,#REF!,#REF!,#REF!,#REF!,#REF!</definedName>
    <definedName name="Israel" localSheetId="3">#REF!,#REF!,#REF!,#REF!,#REF!,#REF!,#REF!,#REF!,#REF!</definedName>
    <definedName name="Israel" localSheetId="4">#REF!,#REF!,#REF!,#REF!,#REF!,#REF!,#REF!,#REF!,#REF!</definedName>
    <definedName name="Israel" localSheetId="5">#REF!,#REF!,#REF!,#REF!,#REF!,#REF!,#REF!,#REF!,#REF!</definedName>
    <definedName name="Israel" localSheetId="6">#REF!,#REF!,#REF!,#REF!,#REF!,#REF!,#REF!,#REF!,#REF!</definedName>
    <definedName name="Israel" localSheetId="7">#REF!,#REF!,#REF!,#REF!,#REF!,#REF!,#REF!,#REF!,#REF!</definedName>
    <definedName name="Israel" localSheetId="0">#REF!,#REF!,#REF!,#REF!,#REF!,#REF!,#REF!,#REF!,#REF!</definedName>
    <definedName name="Israel">#REF!,#REF!,#REF!,#REF!,#REF!,#REF!,#REF!,#REF!,#REF!</definedName>
    <definedName name="j" localSheetId="2">[1]!ERR</definedName>
    <definedName name="j" localSheetId="1">[2]!ERR</definedName>
    <definedName name="j" localSheetId="9">[3]!ERR</definedName>
    <definedName name="j" localSheetId="8">[3]!ERR</definedName>
    <definedName name="j" localSheetId="3">[3]!ERR</definedName>
    <definedName name="j" localSheetId="4">[3]!ERR</definedName>
    <definedName name="j" localSheetId="5">[4]!ERR</definedName>
    <definedName name="j" localSheetId="6">[5]!ERR</definedName>
    <definedName name="j" localSheetId="7">[5]!ERR</definedName>
    <definedName name="j" localSheetId="0">[6]!ERR</definedName>
    <definedName name="j">[6]!ERR</definedName>
    <definedName name="jeni">[5]!ERR</definedName>
    <definedName name="JJ" localSheetId="2">[1]!ERR</definedName>
    <definedName name="JJ" localSheetId="1">[2]!ERR</definedName>
    <definedName name="JJ" localSheetId="9">[3]!ERR</definedName>
    <definedName name="JJ" localSheetId="8">[3]!ERR</definedName>
    <definedName name="JJ" localSheetId="3">[3]!ERR</definedName>
    <definedName name="JJ" localSheetId="4">[3]!ERR</definedName>
    <definedName name="JJ" localSheetId="5">[4]!ERR</definedName>
    <definedName name="JJ" localSheetId="6">[5]!ERR</definedName>
    <definedName name="JJ" localSheetId="7">[5]!ERR</definedName>
    <definedName name="JJ" localSheetId="0">[6]!ERR</definedName>
    <definedName name="JJ">[6]!ERR</definedName>
    <definedName name="JOHNNY" localSheetId="2">[1]!ERR</definedName>
    <definedName name="JOHNNY" localSheetId="1">[2]!ERR</definedName>
    <definedName name="JOHNNY" localSheetId="9">[3]!ERR</definedName>
    <definedName name="JOHNNY" localSheetId="8">[3]!ERR</definedName>
    <definedName name="JOHNNY" localSheetId="3">[3]!ERR</definedName>
    <definedName name="JOHNNY" localSheetId="4">[3]!ERR</definedName>
    <definedName name="JOHNNY" localSheetId="5">[4]!ERR</definedName>
    <definedName name="JOHNNY" localSheetId="6">[5]!ERR</definedName>
    <definedName name="JOHNNY" localSheetId="7">[5]!ERR</definedName>
    <definedName name="JOHNNY" localSheetId="0">[6]!ERR</definedName>
    <definedName name="JOHNNY">[6]!ERR</definedName>
    <definedName name="LOGO" localSheetId="2">[1]!ERR</definedName>
    <definedName name="LOGO" localSheetId="1">[2]!ERR</definedName>
    <definedName name="LOGO" localSheetId="9">[3]!ERR</definedName>
    <definedName name="LOGO" localSheetId="8">[3]!ERR</definedName>
    <definedName name="LOGO" localSheetId="3">[3]!ERR</definedName>
    <definedName name="LOGO" localSheetId="4">[3]!ERR</definedName>
    <definedName name="LOGO" localSheetId="5">[4]!ERR</definedName>
    <definedName name="LOGO" localSheetId="6">[5]!ERR</definedName>
    <definedName name="LOGO" localSheetId="7">[5]!ERR</definedName>
    <definedName name="LOGO" localSheetId="0">[6]!ERR</definedName>
    <definedName name="LOGO">[6]!ERR</definedName>
    <definedName name="MACO" localSheetId="2">#REF!</definedName>
    <definedName name="MACO" localSheetId="1">#REF!</definedName>
    <definedName name="MACO" localSheetId="9">#REF!</definedName>
    <definedName name="MACO" localSheetId="8">#REF!</definedName>
    <definedName name="MACO" localSheetId="3">#REF!</definedName>
    <definedName name="MACO" localSheetId="4">#REF!</definedName>
    <definedName name="MACO" localSheetId="5">#REF!</definedName>
    <definedName name="MACO" localSheetId="6">#REF!</definedName>
    <definedName name="MACO" localSheetId="7">#REF!</definedName>
    <definedName name="MACO">#REF!</definedName>
    <definedName name="MAT" localSheetId="2">[8]MAT!$A$1:$D$65536</definedName>
    <definedName name="MAT" localSheetId="9">[8]MAT!$A$1:$D$65536</definedName>
    <definedName name="MAT" localSheetId="8">[8]MAT!$A$1:$D$65536</definedName>
    <definedName name="MAT" localSheetId="3">[8]MAT!$A$1:$D$65536</definedName>
    <definedName name="MAT" localSheetId="4">[8]MAT!$A$1:$D$65536</definedName>
    <definedName name="MAT" localSheetId="5">[8]MAT!$A$1:$D$65536</definedName>
    <definedName name="MAT" localSheetId="6">[8]MAT!$A$1:$D$65536</definedName>
    <definedName name="MAT" localSheetId="7">[8]MAT!$A$1:$D$65536</definedName>
    <definedName name="MAT">[8]MAT!$A:$D</definedName>
    <definedName name="NAYDU">[5]!ERR</definedName>
    <definedName name="NMM" localSheetId="6">[5]!ERR</definedName>
    <definedName name="NMM" localSheetId="7">[5]!ERR</definedName>
    <definedName name="NMM">[5]!ERR</definedName>
    <definedName name="NO" localSheetId="2">[1]!ERR</definedName>
    <definedName name="NO" localSheetId="1">[2]!ERR</definedName>
    <definedName name="NO" localSheetId="9">[3]!ERR</definedName>
    <definedName name="NO" localSheetId="8">[3]!ERR</definedName>
    <definedName name="NO" localSheetId="3">[3]!ERR</definedName>
    <definedName name="NO" localSheetId="4">[3]!ERR</definedName>
    <definedName name="NO" localSheetId="5">[4]!ERR</definedName>
    <definedName name="NO" localSheetId="6">[5]!ERR</definedName>
    <definedName name="NO" localSheetId="7">[5]!ERR</definedName>
    <definedName name="NO" localSheetId="0">[6]!ERR</definedName>
    <definedName name="NO">[6]!ERR</definedName>
    <definedName name="OLE_LINK1_6" localSheetId="2">'[9]Presupuesto obra'!#REF!</definedName>
    <definedName name="OLE_LINK1_6" localSheetId="1">'[9]Presupuesto obra'!#REF!</definedName>
    <definedName name="OLE_LINK1_6" localSheetId="9">'[9]Presupuesto obra'!#REF!</definedName>
    <definedName name="OLE_LINK1_6" localSheetId="8">'[9]Presupuesto obra'!#REF!</definedName>
    <definedName name="OLE_LINK1_6" localSheetId="3">'[9]Presupuesto obra'!#REF!</definedName>
    <definedName name="OLE_LINK1_6" localSheetId="4">'[9]Presupuesto obra'!#REF!</definedName>
    <definedName name="OLE_LINK1_6" localSheetId="5">'[9]Presupuesto obra'!#REF!</definedName>
    <definedName name="OLE_LINK1_6" localSheetId="6">'[9]Presupuesto obra'!#REF!</definedName>
    <definedName name="OLE_LINK1_6" localSheetId="7">'[9]Presupuesto obra'!#REF!</definedName>
    <definedName name="OLE_LINK1_6" localSheetId="0">'[9]Presupuesto obra'!#REF!</definedName>
    <definedName name="OLE_LINK1_6">'[9]Presupuesto obra'!#REF!</definedName>
    <definedName name="OLE_LINK2_6" localSheetId="2">'[9]Presupuesto obra'!#REF!</definedName>
    <definedName name="OLE_LINK2_6" localSheetId="1">'[9]Presupuesto obra'!#REF!</definedName>
    <definedName name="OLE_LINK2_6" localSheetId="9">'[9]Presupuesto obra'!#REF!</definedName>
    <definedName name="OLE_LINK2_6" localSheetId="8">'[9]Presupuesto obra'!#REF!</definedName>
    <definedName name="OLE_LINK2_6" localSheetId="3">'[9]Presupuesto obra'!#REF!</definedName>
    <definedName name="OLE_LINK2_6" localSheetId="4">'[9]Presupuesto obra'!#REF!</definedName>
    <definedName name="OLE_LINK2_6" localSheetId="5">'[9]Presupuesto obra'!#REF!</definedName>
    <definedName name="OLE_LINK2_6" localSheetId="6">'[9]Presupuesto obra'!#REF!</definedName>
    <definedName name="OLE_LINK2_6" localSheetId="7">'[9]Presupuesto obra'!#REF!</definedName>
    <definedName name="OLE_LINK2_6" localSheetId="0">'[9]Presupuesto obra'!#REF!</definedName>
    <definedName name="OLE_LINK2_6">'[9]Presupuesto obra'!#REF!</definedName>
    <definedName name="PEPE" localSheetId="2">[1]!ERR</definedName>
    <definedName name="PEPE" localSheetId="1">[2]!ERR</definedName>
    <definedName name="PEPE" localSheetId="9">[3]!ERR</definedName>
    <definedName name="PEPE" localSheetId="8">[3]!ERR</definedName>
    <definedName name="PEPE" localSheetId="3">[3]!ERR</definedName>
    <definedName name="PEPE" localSheetId="4">[3]!ERR</definedName>
    <definedName name="PEPE" localSheetId="5">[4]!ERR</definedName>
    <definedName name="PEPE" localSheetId="6">[5]!ERR</definedName>
    <definedName name="PEPE" localSheetId="7">[5]!ERR</definedName>
    <definedName name="PEPE" localSheetId="0">[6]!ERR</definedName>
    <definedName name="PEPE">[6]!ERR</definedName>
    <definedName name="PRECIOS">[10]PRECIOS!$A$2:$G$257</definedName>
    <definedName name="PRES">[8]PRES!$A$8:$D$58</definedName>
    <definedName name="programainv" localSheetId="2">[1]!ERR</definedName>
    <definedName name="programainv" localSheetId="1">[2]!ERR</definedName>
    <definedName name="programainv" localSheetId="9">[3]!ERR</definedName>
    <definedName name="programainv" localSheetId="8">[3]!ERR</definedName>
    <definedName name="programainv" localSheetId="3">[3]!ERR</definedName>
    <definedName name="programainv" localSheetId="4">[3]!ERR</definedName>
    <definedName name="programainv" localSheetId="5">[4]!ERR</definedName>
    <definedName name="programainv" localSheetId="6">[5]!ERR</definedName>
    <definedName name="programainv" localSheetId="7">[5]!ERR</definedName>
    <definedName name="programainv" localSheetId="0">[6]!ERR</definedName>
    <definedName name="programainv">[6]!ERR</definedName>
    <definedName name="PROY" localSheetId="2">'[11]PE-02'!#REF!</definedName>
    <definedName name="PROY" localSheetId="1">'[11]PE-02'!#REF!</definedName>
    <definedName name="PROY" localSheetId="9">'[11]PE-02'!#REF!</definedName>
    <definedName name="PROY" localSheetId="8">'[11]PE-02'!#REF!</definedName>
    <definedName name="PROY" localSheetId="3">'[11]PE-02'!#REF!</definedName>
    <definedName name="PROY" localSheetId="4">'[11]PE-02'!#REF!</definedName>
    <definedName name="PROY" localSheetId="5">'[11]PE-02'!#REF!</definedName>
    <definedName name="PROY" localSheetId="6">'[11]PE-02'!#REF!</definedName>
    <definedName name="PROY" localSheetId="7">'[11]PE-02'!#REF!</definedName>
    <definedName name="PROY" localSheetId="0">'[11]PE-02'!#REF!</definedName>
    <definedName name="PROY">'[11]PE-02'!#REF!</definedName>
    <definedName name="REICIO" localSheetId="2">[1]!ERR</definedName>
    <definedName name="REICIO" localSheetId="1">[2]!ERR</definedName>
    <definedName name="REICIO" localSheetId="9">[3]!ERR</definedName>
    <definedName name="REICIO" localSheetId="8">[3]!ERR</definedName>
    <definedName name="REICIO" localSheetId="3">[3]!ERR</definedName>
    <definedName name="REICIO" localSheetId="4">[3]!ERR</definedName>
    <definedName name="REICIO" localSheetId="5">[4]!ERR</definedName>
    <definedName name="REICIO" localSheetId="6">[5]!ERR</definedName>
    <definedName name="REICIO" localSheetId="7">[5]!ERR</definedName>
    <definedName name="REICIO" localSheetId="0">[6]!ERR</definedName>
    <definedName name="REICIO">[6]!ERR</definedName>
    <definedName name="reinicio" localSheetId="2">[1]!ERR</definedName>
    <definedName name="reinicio" localSheetId="1">[2]!ERR</definedName>
    <definedName name="reinicio" localSheetId="9">[3]!ERR</definedName>
    <definedName name="reinicio" localSheetId="8">[3]!ERR</definedName>
    <definedName name="reinicio" localSheetId="3">[3]!ERR</definedName>
    <definedName name="reinicio" localSheetId="4">[3]!ERR</definedName>
    <definedName name="reinicio" localSheetId="5">[4]!ERR</definedName>
    <definedName name="reinicio" localSheetId="6">[5]!ERR</definedName>
    <definedName name="reinicio" localSheetId="7">[5]!ERR</definedName>
    <definedName name="reinicio" localSheetId="0">[6]!ERR</definedName>
    <definedName name="reinicio">[6]!ERR</definedName>
    <definedName name="RICARDO" localSheetId="2">#REF!,#REF!,#REF!,#REF!,#REF!,#REF!,#REF!,#REF!,#REF!</definedName>
    <definedName name="RICARDO" localSheetId="1">#REF!,#REF!,#REF!,#REF!,#REF!,#REF!,#REF!,#REF!,#REF!</definedName>
    <definedName name="RICARDO" localSheetId="9">#REF!,#REF!,#REF!,#REF!,#REF!,#REF!,#REF!,#REF!,#REF!</definedName>
    <definedName name="RICARDO" localSheetId="8">#REF!,#REF!,#REF!,#REF!,#REF!,#REF!,#REF!,#REF!,#REF!</definedName>
    <definedName name="RICARDO" localSheetId="3">#REF!,#REF!,#REF!,#REF!,#REF!,#REF!,#REF!,#REF!,#REF!</definedName>
    <definedName name="RICARDO" localSheetId="4">#REF!,#REF!,#REF!,#REF!,#REF!,#REF!,#REF!,#REF!,#REF!</definedName>
    <definedName name="RICARDO" localSheetId="5">#REF!,#REF!,#REF!,#REF!,#REF!,#REF!,#REF!,#REF!,#REF!</definedName>
    <definedName name="RICARDO" localSheetId="6">#REF!,#REF!,#REF!,#REF!,#REF!,#REF!,#REF!,#REF!,#REF!</definedName>
    <definedName name="RICARDO" localSheetId="7">#REF!,#REF!,#REF!,#REF!,#REF!,#REF!,#REF!,#REF!,#REF!</definedName>
    <definedName name="RICARDO" localSheetId="0">#REF!,#REF!,#REF!,#REF!,#REF!,#REF!,#REF!,#REF!,#REF!</definedName>
    <definedName name="RICARDO">#REF!,#REF!,#REF!,#REF!,#REF!,#REF!,#REF!,#REF!,#REF!</definedName>
    <definedName name="rr" localSheetId="2">[1]!ERR</definedName>
    <definedName name="rr" localSheetId="1">[2]!ERR</definedName>
    <definedName name="rr" localSheetId="9">[3]!ERR</definedName>
    <definedName name="rr" localSheetId="8">[3]!ERR</definedName>
    <definedName name="rr" localSheetId="3">[3]!ERR</definedName>
    <definedName name="rr" localSheetId="4">[3]!ERR</definedName>
    <definedName name="rr" localSheetId="5">[4]!ERR</definedName>
    <definedName name="rr" localSheetId="6">[5]!ERR</definedName>
    <definedName name="rr" localSheetId="7">[5]!ERR</definedName>
    <definedName name="rr" localSheetId="0">[6]!ERR</definedName>
    <definedName name="rr">[6]!ERR</definedName>
    <definedName name="s" localSheetId="2">[1]!ERR</definedName>
    <definedName name="s" localSheetId="1">[2]!ERR</definedName>
    <definedName name="s" localSheetId="9">[3]!ERR</definedName>
    <definedName name="s" localSheetId="8">[3]!ERR</definedName>
    <definedName name="s" localSheetId="3">[3]!ERR</definedName>
    <definedName name="s" localSheetId="4">[3]!ERR</definedName>
    <definedName name="s" localSheetId="5">[4]!ERR</definedName>
    <definedName name="s" localSheetId="6">[5]!ERR</definedName>
    <definedName name="s" localSheetId="7">[5]!ERR</definedName>
    <definedName name="s" localSheetId="0">[6]!ERR</definedName>
    <definedName name="s">[6]!ERR</definedName>
    <definedName name="salarios" localSheetId="2">[1]!ERR</definedName>
    <definedName name="salarios" localSheetId="1">[2]!ERR</definedName>
    <definedName name="salarios" localSheetId="9">[3]!ERR</definedName>
    <definedName name="salarios" localSheetId="8">[3]!ERR</definedName>
    <definedName name="salarios" localSheetId="3">[3]!ERR</definedName>
    <definedName name="salarios" localSheetId="4">[3]!ERR</definedName>
    <definedName name="salarios" localSheetId="5">[4]!ERR</definedName>
    <definedName name="salarios" localSheetId="6">[5]!ERR</definedName>
    <definedName name="salarios" localSheetId="7">[5]!ERR</definedName>
    <definedName name="salarios" localSheetId="0">[6]!ERR</definedName>
    <definedName name="salarios">[6]!ERR</definedName>
    <definedName name="SERO" localSheetId="2">[1]!ERR</definedName>
    <definedName name="SERO" localSheetId="1">[2]!ERR</definedName>
    <definedName name="SERO" localSheetId="9">[3]!ERR</definedName>
    <definedName name="SERO" localSheetId="8">[3]!ERR</definedName>
    <definedName name="SERO" localSheetId="3">[3]!ERR</definedName>
    <definedName name="SERO" localSheetId="4">[3]!ERR</definedName>
    <definedName name="SERO" localSheetId="5">[4]!ERR</definedName>
    <definedName name="SERO" localSheetId="6">[5]!ERR</definedName>
    <definedName name="SERO" localSheetId="7">[5]!ERR</definedName>
    <definedName name="SERO" localSheetId="0">[6]!ERR</definedName>
    <definedName name="SERO">[6]!ERR</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2">[1]!ERR</definedName>
    <definedName name="SI" localSheetId="1">[2]!ERR</definedName>
    <definedName name="SI" localSheetId="9">[3]!ERR</definedName>
    <definedName name="SI" localSheetId="8">[3]!ERR</definedName>
    <definedName name="SI" localSheetId="3">[3]!ERR</definedName>
    <definedName name="SI" localSheetId="4">[3]!ERR</definedName>
    <definedName name="SI" localSheetId="5">[4]!ERR</definedName>
    <definedName name="SI" localSheetId="6">[5]!ERR</definedName>
    <definedName name="SI" localSheetId="7">[5]!ERR</definedName>
    <definedName name="SI" localSheetId="0">[6]!ERR</definedName>
    <definedName name="SI">[6]!ERR</definedName>
    <definedName name="SISISIS" localSheetId="2">[1]!ERR</definedName>
    <definedName name="SISISIS" localSheetId="1">[2]!ERR</definedName>
    <definedName name="SISISIS" localSheetId="9">[3]!ERR</definedName>
    <definedName name="SISISIS" localSheetId="8">[3]!ERR</definedName>
    <definedName name="SISISIS" localSheetId="3">[3]!ERR</definedName>
    <definedName name="SISISIS" localSheetId="4">[3]!ERR</definedName>
    <definedName name="SISISIS" localSheetId="5">[4]!ERR</definedName>
    <definedName name="SISISIS" localSheetId="6">[5]!ERR</definedName>
    <definedName name="SISISIS" localSheetId="7">[5]!ERR</definedName>
    <definedName name="SISISIS" localSheetId="0">[6]!ERR</definedName>
    <definedName name="SISISIS">[6]!ERR</definedName>
    <definedName name="sol">[5]!ERR</definedName>
    <definedName name="SSSS" localSheetId="2">[1]!ERR</definedName>
    <definedName name="SSSS" localSheetId="1">[2]!ERR</definedName>
    <definedName name="SSSS" localSheetId="9">[3]!ERR</definedName>
    <definedName name="SSSS" localSheetId="8">[3]!ERR</definedName>
    <definedName name="SSSS" localSheetId="3">[3]!ERR</definedName>
    <definedName name="SSSS" localSheetId="4">[3]!ERR</definedName>
    <definedName name="SSSS" localSheetId="5">[4]!ERR</definedName>
    <definedName name="SSSS" localSheetId="6">[5]!ERR</definedName>
    <definedName name="SSSS" localSheetId="7">[5]!ERR</definedName>
    <definedName name="SSSS" localSheetId="0">[6]!ERR</definedName>
    <definedName name="SSSS">[6]!ERR</definedName>
    <definedName name="TARIFAS">[12]TARIFAS!$A$1:$F$52</definedName>
    <definedName name="TER" localSheetId="2">[1]!ERR</definedName>
    <definedName name="TER" localSheetId="1">[2]!ERR</definedName>
    <definedName name="TER" localSheetId="9">[3]!ERR</definedName>
    <definedName name="TER" localSheetId="8">[3]!ERR</definedName>
    <definedName name="TER" localSheetId="3">[3]!ERR</definedName>
    <definedName name="TER" localSheetId="4">[3]!ERR</definedName>
    <definedName name="TER" localSheetId="5">[4]!ERR</definedName>
    <definedName name="TER" localSheetId="6">[5]!ERR</definedName>
    <definedName name="TER" localSheetId="7">[5]!ERR</definedName>
    <definedName name="TER" localSheetId="0">[6]!ERR</definedName>
    <definedName name="TER">[6]!ERR</definedName>
    <definedName name="TERM" localSheetId="2">[1]!ERR</definedName>
    <definedName name="TERM" localSheetId="1">[2]!ERR</definedName>
    <definedName name="TERM" localSheetId="9">[3]!ERR</definedName>
    <definedName name="TERM" localSheetId="8">[3]!ERR</definedName>
    <definedName name="TERM" localSheetId="3">[3]!ERR</definedName>
    <definedName name="TERM" localSheetId="4">[3]!ERR</definedName>
    <definedName name="TERM" localSheetId="5">[4]!ERR</definedName>
    <definedName name="TERM" localSheetId="6">[5]!ERR</definedName>
    <definedName name="TERM" localSheetId="7">[5]!ERR</definedName>
    <definedName name="TERM" localSheetId="0">[6]!ERR</definedName>
    <definedName name="TERM">[6]!ERR</definedName>
    <definedName name="TÉRMINOS" localSheetId="2">[1]!ERR</definedName>
    <definedName name="TÉRMINOS" localSheetId="1">[2]!ERR</definedName>
    <definedName name="TÉRMINOS" localSheetId="9">[3]!ERR</definedName>
    <definedName name="TÉRMINOS" localSheetId="8">[3]!ERR</definedName>
    <definedName name="TÉRMINOS" localSheetId="3">[3]!ERR</definedName>
    <definedName name="TÉRMINOS" localSheetId="4">[3]!ERR</definedName>
    <definedName name="TÉRMINOS" localSheetId="5">[4]!ERR</definedName>
    <definedName name="TÉRMINOS" localSheetId="6">[5]!ERR</definedName>
    <definedName name="TÉRMINOS" localSheetId="7">[5]!ERR</definedName>
    <definedName name="TÉRMINOS" localSheetId="0">[6]!ERR</definedName>
    <definedName name="TÉRMINOS">[6]!ERR</definedName>
    <definedName name="_xlnm.Print_Titles" localSheetId="2">' PROP 1 - Coord Calidad Intv'!$19:$20</definedName>
    <definedName name="_xlnm.Print_Titles" localSheetId="6">'PROP 1 - Supervisor Intv 4'!$18:$19</definedName>
    <definedName name="_xlnm.Print_Titles" localSheetId="0">'PROP 1 -Director Intv'!$19:$20</definedName>
    <definedName name="TOTAL" localSheetId="2">#REF!</definedName>
    <definedName name="TOTAL" localSheetId="1">#REF!</definedName>
    <definedName name="TOTAL" localSheetId="9">#REF!</definedName>
    <definedName name="TOTAL" localSheetId="8">#REF!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#REF!</definedName>
    <definedName name="uriel" localSheetId="2">[1]!ERR</definedName>
    <definedName name="uriel" localSheetId="1">[2]!ERR</definedName>
    <definedName name="uriel" localSheetId="9">[3]!ERR</definedName>
    <definedName name="uriel" localSheetId="8">[3]!ERR</definedName>
    <definedName name="uriel" localSheetId="3">[3]!ERR</definedName>
    <definedName name="uriel" localSheetId="4">[3]!ERR</definedName>
    <definedName name="uriel" localSheetId="5">[4]!ERR</definedName>
    <definedName name="uriel" localSheetId="6">[5]!ERR</definedName>
    <definedName name="uriel" localSheetId="7">[5]!ERR</definedName>
    <definedName name="uriel" localSheetId="0">[6]!ERR</definedName>
    <definedName name="uriel">[6]!ERR</definedName>
    <definedName name="WW" localSheetId="2">[1]!ERR</definedName>
    <definedName name="WW" localSheetId="1">[2]!ERR</definedName>
    <definedName name="WW" localSheetId="9">[3]!ERR</definedName>
    <definedName name="WW" localSheetId="8">[3]!ERR</definedName>
    <definedName name="WW" localSheetId="3">[3]!ERR</definedName>
    <definedName name="WW" localSheetId="4">[3]!ERR</definedName>
    <definedName name="WW" localSheetId="5">[4]!ERR</definedName>
    <definedName name="WW" localSheetId="6">[5]!ERR</definedName>
    <definedName name="WW" localSheetId="7">[5]!ERR</definedName>
    <definedName name="WW" localSheetId="0">[6]!ERR</definedName>
    <definedName name="WW">[6]!ERR</definedName>
    <definedName name="WWW" localSheetId="2">[1]!ERR</definedName>
    <definedName name="WWW" localSheetId="1">[2]!ERR</definedName>
    <definedName name="WWW" localSheetId="9">[3]!ERR</definedName>
    <definedName name="WWW" localSheetId="8">[3]!ERR</definedName>
    <definedName name="WWW" localSheetId="3">[3]!ERR</definedName>
    <definedName name="WWW" localSheetId="4">[3]!ERR</definedName>
    <definedName name="WWW" localSheetId="5">[4]!ERR</definedName>
    <definedName name="WWW" localSheetId="6">[5]!ERR</definedName>
    <definedName name="WWW" localSheetId="7">[5]!ERR</definedName>
    <definedName name="WWW" localSheetId="0">[6]!ERR</definedName>
    <definedName name="WWW">[6]!ERR</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2" i="9" l="1"/>
  <c r="K22" i="9"/>
  <c r="J22" i="9"/>
  <c r="J25" i="8" l="1"/>
  <c r="J28" i="7" l="1"/>
  <c r="L33" i="7"/>
  <c r="L20" i="7"/>
  <c r="K20" i="7"/>
  <c r="J20" i="7"/>
  <c r="K61" i="6" l="1"/>
  <c r="K64" i="6" s="1"/>
  <c r="K60" i="6"/>
  <c r="K63" i="6"/>
  <c r="K62" i="6"/>
  <c r="L65" i="6"/>
  <c r="L22" i="6"/>
  <c r="K22" i="6"/>
  <c r="J22" i="6"/>
  <c r="J26" i="5" l="1"/>
  <c r="J27" i="4"/>
  <c r="J26" i="3"/>
  <c r="L22" i="5"/>
  <c r="K22" i="5"/>
  <c r="J22" i="5"/>
  <c r="J31" i="4" l="1"/>
  <c r="L23" i="4"/>
  <c r="K23" i="4"/>
  <c r="J23" i="4"/>
  <c r="L21" i="3" l="1"/>
  <c r="K21" i="3"/>
  <c r="J21" i="3"/>
  <c r="L41" i="2" l="1"/>
  <c r="K40" i="2"/>
  <c r="L22" i="2"/>
  <c r="K22" i="2"/>
  <c r="J22" i="2"/>
  <c r="I21" i="1" l="1"/>
  <c r="J21" i="1" s="1"/>
  <c r="L21" i="1" s="1"/>
  <c r="J26" i="10" l="1"/>
  <c r="K26" i="10" s="1"/>
  <c r="J25" i="10"/>
  <c r="K25" i="10" s="1"/>
  <c r="K24" i="10"/>
  <c r="J24" i="10"/>
  <c r="J23" i="10"/>
  <c r="K23" i="10" s="1"/>
  <c r="L23" i="10" s="1"/>
  <c r="J22" i="10"/>
  <c r="K22" i="10" s="1"/>
  <c r="L22" i="10" s="1"/>
  <c r="J21" i="10"/>
  <c r="K21" i="10" s="1"/>
  <c r="L21" i="10" s="1"/>
  <c r="L20" i="10"/>
  <c r="J20" i="10"/>
  <c r="K20" i="10" s="1"/>
  <c r="K29" i="9"/>
  <c r="L29" i="9" s="1"/>
  <c r="J29" i="9"/>
  <c r="K28" i="9"/>
  <c r="L28" i="9" s="1"/>
  <c r="J28" i="9"/>
  <c r="K27" i="9"/>
  <c r="L27" i="9" s="1"/>
  <c r="J27" i="9"/>
  <c r="J26" i="9"/>
  <c r="K26" i="9" s="1"/>
  <c r="L26" i="9" s="1"/>
  <c r="K25" i="9"/>
  <c r="L25" i="9" s="1"/>
  <c r="J25" i="9"/>
  <c r="J24" i="9"/>
  <c r="K24" i="9" s="1"/>
  <c r="L24" i="9" s="1"/>
  <c r="K23" i="9"/>
  <c r="J23" i="9"/>
  <c r="K25" i="8"/>
  <c r="J24" i="8"/>
  <c r="K24" i="8" s="1"/>
  <c r="L24" i="8" s="1"/>
  <c r="J22" i="8"/>
  <c r="K22" i="8" s="1"/>
  <c r="L22" i="8" s="1"/>
  <c r="J23" i="8"/>
  <c r="K23" i="8" s="1"/>
  <c r="J21" i="8"/>
  <c r="K21" i="8" s="1"/>
  <c r="L21" i="8" s="1"/>
  <c r="K30" i="7"/>
  <c r="J31" i="7"/>
  <c r="K31" i="7" s="1"/>
  <c r="J30" i="7"/>
  <c r="K29" i="7"/>
  <c r="J29" i="7"/>
  <c r="K27" i="7"/>
  <c r="J27" i="7"/>
  <c r="K26" i="7"/>
  <c r="J26" i="7"/>
  <c r="K25" i="7"/>
  <c r="J25" i="7"/>
  <c r="J24" i="7"/>
  <c r="K24" i="7" s="1"/>
  <c r="L24" i="7" s="1"/>
  <c r="K23" i="7"/>
  <c r="L23" i="7" s="1"/>
  <c r="J23" i="7"/>
  <c r="J22" i="7"/>
  <c r="K22" i="7" s="1"/>
  <c r="L22" i="7" s="1"/>
  <c r="K21" i="7"/>
  <c r="L21" i="7" s="1"/>
  <c r="J21" i="7"/>
  <c r="K56" i="6"/>
  <c r="L56" i="6" s="1"/>
  <c r="K52" i="6"/>
  <c r="L52" i="6" s="1"/>
  <c r="K48" i="6"/>
  <c r="J63" i="6"/>
  <c r="J62" i="6"/>
  <c r="J61" i="6"/>
  <c r="J60" i="6"/>
  <c r="J59" i="6"/>
  <c r="K59" i="6" s="1"/>
  <c r="L59" i="6" s="1"/>
  <c r="J58" i="6"/>
  <c r="K58" i="6" s="1"/>
  <c r="L58" i="6" s="1"/>
  <c r="J57" i="6"/>
  <c r="K57" i="6" s="1"/>
  <c r="L57" i="6" s="1"/>
  <c r="J56" i="6"/>
  <c r="J55" i="6"/>
  <c r="K55" i="6" s="1"/>
  <c r="L55" i="6" s="1"/>
  <c r="J54" i="6"/>
  <c r="K54" i="6" s="1"/>
  <c r="L54" i="6" s="1"/>
  <c r="J53" i="6"/>
  <c r="K53" i="6" s="1"/>
  <c r="L53" i="6" s="1"/>
  <c r="J52" i="6"/>
  <c r="J51" i="6"/>
  <c r="K51" i="6" s="1"/>
  <c r="L51" i="6" s="1"/>
  <c r="J50" i="6"/>
  <c r="K50" i="6" s="1"/>
  <c r="L50" i="6" s="1"/>
  <c r="J49" i="6"/>
  <c r="K49" i="6" s="1"/>
  <c r="J48" i="6"/>
  <c r="J46" i="6"/>
  <c r="K46" i="6" s="1"/>
  <c r="J45" i="6"/>
  <c r="K45" i="6" s="1"/>
  <c r="J44" i="6"/>
  <c r="K44" i="6" s="1"/>
  <c r="J43" i="6"/>
  <c r="K43" i="6" s="1"/>
  <c r="J42" i="6"/>
  <c r="K42" i="6" s="1"/>
  <c r="J41" i="6"/>
  <c r="K41" i="6" s="1"/>
  <c r="J40" i="6"/>
  <c r="K40" i="6" s="1"/>
  <c r="J39" i="6"/>
  <c r="K39" i="6" s="1"/>
  <c r="J38" i="6"/>
  <c r="K38" i="6" s="1"/>
  <c r="J37" i="6"/>
  <c r="K37" i="6" s="1"/>
  <c r="J36" i="6"/>
  <c r="K36" i="6" s="1"/>
  <c r="J35" i="6"/>
  <c r="K35" i="6" s="1"/>
  <c r="J34" i="6"/>
  <c r="K34" i="6" s="1"/>
  <c r="L34" i="6" s="1"/>
  <c r="J33" i="6"/>
  <c r="K33" i="6" s="1"/>
  <c r="L33" i="6" s="1"/>
  <c r="J32" i="6"/>
  <c r="K32" i="6" s="1"/>
  <c r="L32" i="6" s="1"/>
  <c r="J31" i="6"/>
  <c r="K31" i="6" s="1"/>
  <c r="J30" i="6"/>
  <c r="K30" i="6" s="1"/>
  <c r="J29" i="6"/>
  <c r="K29" i="6" s="1"/>
  <c r="J28" i="6"/>
  <c r="K28" i="6" s="1"/>
  <c r="J27" i="6"/>
  <c r="K27" i="6" s="1"/>
  <c r="J26" i="6"/>
  <c r="J25" i="6"/>
  <c r="J24" i="6"/>
  <c r="K23" i="6"/>
  <c r="L23" i="6" s="1"/>
  <c r="J23" i="6"/>
  <c r="K31" i="5"/>
  <c r="L31" i="5" s="1"/>
  <c r="J31" i="5"/>
  <c r="K30" i="5"/>
  <c r="J30" i="5"/>
  <c r="L30" i="5"/>
  <c r="J29" i="5"/>
  <c r="K29" i="5" s="1"/>
  <c r="L29" i="5" s="1"/>
  <c r="J28" i="5"/>
  <c r="K28" i="5" s="1"/>
  <c r="L28" i="5" s="1"/>
  <c r="K27" i="5"/>
  <c r="L27" i="5" s="1"/>
  <c r="K25" i="5"/>
  <c r="L25" i="5" s="1"/>
  <c r="K24" i="5"/>
  <c r="L24" i="5" s="1"/>
  <c r="K23" i="5"/>
  <c r="L23" i="5" s="1"/>
  <c r="J27" i="5"/>
  <c r="K26" i="5"/>
  <c r="K32" i="5" s="1"/>
  <c r="J25" i="5"/>
  <c r="J24" i="5"/>
  <c r="J23" i="5"/>
  <c r="J30" i="4"/>
  <c r="K30" i="4" s="1"/>
  <c r="J29" i="4"/>
  <c r="K29" i="4" s="1"/>
  <c r="J28" i="4"/>
  <c r="K28" i="4" s="1"/>
  <c r="L28" i="4" s="1"/>
  <c r="K27" i="4"/>
  <c r="L27" i="4" s="1"/>
  <c r="L33" i="4" s="1"/>
  <c r="K26" i="3"/>
  <c r="K26" i="4"/>
  <c r="L26" i="4" s="1"/>
  <c r="J26" i="4"/>
  <c r="J25" i="4"/>
  <c r="K25" i="4" s="1"/>
  <c r="L25" i="4" s="1"/>
  <c r="J24" i="4"/>
  <c r="K24" i="4" s="1"/>
  <c r="L24" i="4" s="1"/>
  <c r="L32" i="3"/>
  <c r="J32" i="3"/>
  <c r="K32" i="3" s="1"/>
  <c r="J31" i="3"/>
  <c r="K31" i="3" s="1"/>
  <c r="J30" i="3"/>
  <c r="K30" i="3" s="1"/>
  <c r="J29" i="3"/>
  <c r="K29" i="3" s="1"/>
  <c r="J28" i="3"/>
  <c r="K28" i="3" s="1"/>
  <c r="L28" i="3" s="1"/>
  <c r="J27" i="3"/>
  <c r="K27" i="3" s="1"/>
  <c r="J25" i="3"/>
  <c r="K25" i="3" s="1"/>
  <c r="J24" i="3"/>
  <c r="K24" i="3" s="1"/>
  <c r="L24" i="3" s="1"/>
  <c r="J23" i="3"/>
  <c r="K23" i="3" s="1"/>
  <c r="L23" i="3" s="1"/>
  <c r="J22" i="3"/>
  <c r="K22" i="3" s="1"/>
  <c r="L22" i="3" s="1"/>
  <c r="J38" i="2"/>
  <c r="K38" i="2" s="1"/>
  <c r="J39" i="2"/>
  <c r="K39" i="2" s="1"/>
  <c r="J37" i="2"/>
  <c r="K37" i="2" s="1"/>
  <c r="J36" i="2"/>
  <c r="K36" i="2" s="1"/>
  <c r="J35" i="2"/>
  <c r="K35" i="2" s="1"/>
  <c r="J34" i="2"/>
  <c r="K34" i="2" s="1"/>
  <c r="J32" i="2"/>
  <c r="K32" i="2" s="1"/>
  <c r="J33" i="2"/>
  <c r="K33" i="2" s="1"/>
  <c r="J31" i="2"/>
  <c r="K31" i="2" s="1"/>
  <c r="K29" i="2"/>
  <c r="L29" i="2" s="1"/>
  <c r="J30" i="2"/>
  <c r="K30" i="2" s="1"/>
  <c r="J29" i="2"/>
  <c r="J28" i="2"/>
  <c r="K28" i="2" s="1"/>
  <c r="L28" i="2" s="1"/>
  <c r="J27" i="2"/>
  <c r="K27" i="2" s="1"/>
  <c r="L27" i="2" s="1"/>
  <c r="K26" i="2"/>
  <c r="L26" i="2" s="1"/>
  <c r="J26" i="2"/>
  <c r="J25" i="2"/>
  <c r="K25" i="2" s="1"/>
  <c r="L25" i="2" s="1"/>
  <c r="K24" i="2"/>
  <c r="L24" i="2" s="1"/>
  <c r="J24" i="2"/>
  <c r="J23" i="2"/>
  <c r="K23" i="2" s="1"/>
  <c r="I25" i="1"/>
  <c r="J25" i="1" s="1"/>
  <c r="L25" i="1" s="1"/>
  <c r="I23" i="1"/>
  <c r="B3" i="3"/>
  <c r="I46" i="1"/>
  <c r="K46" i="1" s="1"/>
  <c r="I45" i="1"/>
  <c r="K45" i="1" s="1"/>
  <c r="I44" i="1"/>
  <c r="K44" i="1" s="1"/>
  <c r="I43" i="1"/>
  <c r="K43" i="1" s="1"/>
  <c r="I42" i="1"/>
  <c r="J42" i="1" s="1"/>
  <c r="I41" i="1"/>
  <c r="J41" i="1" s="1"/>
  <c r="I40" i="1"/>
  <c r="J40" i="1" s="1"/>
  <c r="I39" i="1"/>
  <c r="J39" i="1" s="1"/>
  <c r="I38" i="1"/>
  <c r="J38" i="1" s="1"/>
  <c r="I37" i="1"/>
  <c r="J37" i="1" s="1"/>
  <c r="I36" i="1"/>
  <c r="J36" i="1" s="1"/>
  <c r="M36" i="1" s="1"/>
  <c r="I35" i="1"/>
  <c r="J35" i="1" s="1"/>
  <c r="M35" i="1" s="1"/>
  <c r="I34" i="1"/>
  <c r="I33" i="1"/>
  <c r="J33" i="1" s="1"/>
  <c r="M33" i="1" s="1"/>
  <c r="I32" i="1"/>
  <c r="J32" i="1" s="1"/>
  <c r="M32" i="1" s="1"/>
  <c r="I31" i="1"/>
  <c r="J31" i="1" s="1"/>
  <c r="M31" i="1" s="1"/>
  <c r="M48" i="1" s="1"/>
  <c r="I30" i="1"/>
  <c r="J30" i="1" s="1"/>
  <c r="L30" i="1" s="1"/>
  <c r="I29" i="1"/>
  <c r="J29" i="1" s="1"/>
  <c r="L29" i="1" s="1"/>
  <c r="I28" i="1"/>
  <c r="J28" i="1" s="1"/>
  <c r="L28" i="1" s="1"/>
  <c r="I27" i="1"/>
  <c r="J27" i="1" s="1"/>
  <c r="L27" i="1" s="1"/>
  <c r="I26" i="1"/>
  <c r="J26" i="1" s="1"/>
  <c r="L26" i="1" s="1"/>
  <c r="I24" i="1"/>
  <c r="J24" i="1" s="1"/>
  <c r="L24" i="1" s="1"/>
  <c r="J23" i="1"/>
  <c r="L23" i="1" s="1"/>
  <c r="I22" i="1"/>
  <c r="J22" i="1" s="1"/>
  <c r="O22" i="1"/>
  <c r="L26" i="3" l="1"/>
  <c r="L34" i="3" s="1"/>
  <c r="K33" i="3"/>
  <c r="L23" i="2"/>
  <c r="L26" i="5"/>
  <c r="L33" i="5" s="1"/>
  <c r="K30" i="9"/>
  <c r="L23" i="9"/>
  <c r="K47" i="1"/>
  <c r="J47" i="1"/>
  <c r="K27" i="10"/>
  <c r="L28" i="10"/>
  <c r="L31" i="9"/>
  <c r="K26" i="8"/>
  <c r="L23" i="8"/>
  <c r="L27" i="8" s="1"/>
  <c r="L22" i="1"/>
  <c r="L48" i="1" s="1"/>
  <c r="O26" i="10"/>
  <c r="P26" i="10" s="1"/>
  <c r="P25" i="10"/>
  <c r="O24" i="10"/>
  <c r="P24" i="10" s="1"/>
  <c r="P23" i="10"/>
  <c r="Q23" i="10" s="1"/>
  <c r="D8" i="10"/>
  <c r="Q24" i="10" l="1"/>
  <c r="Q26" i="10"/>
  <c r="R26" i="10" s="1"/>
  <c r="Q25" i="10"/>
  <c r="O29" i="9" l="1"/>
  <c r="P29" i="9" s="1"/>
  <c r="O28" i="9"/>
  <c r="P28" i="9" s="1"/>
  <c r="O27" i="9"/>
  <c r="P27" i="9" s="1"/>
  <c r="P26" i="9"/>
  <c r="P24" i="9"/>
  <c r="P23" i="9"/>
  <c r="D10" i="9"/>
  <c r="Z25" i="8" l="1"/>
  <c r="X25" i="8"/>
  <c r="Y25" i="8" s="1"/>
  <c r="S25" i="8"/>
  <c r="T25" i="8" s="1"/>
  <c r="P25" i="8"/>
  <c r="Q25" i="8" s="1"/>
  <c r="N25" i="8"/>
  <c r="AA23" i="8"/>
  <c r="Z23" i="8"/>
  <c r="X23" i="8"/>
  <c r="Y23" i="8" s="1"/>
  <c r="Y21" i="8"/>
  <c r="D9" i="8"/>
  <c r="O25" i="8" l="1"/>
  <c r="X31" i="7" l="1"/>
  <c r="Y31" i="7" s="1"/>
  <c r="X30" i="7"/>
  <c r="Y30" i="7" s="1"/>
  <c r="X29" i="7"/>
  <c r="Y29" i="7" s="1"/>
  <c r="X28" i="7"/>
  <c r="Y28" i="7" s="1"/>
  <c r="K28" i="7" s="1"/>
  <c r="K32" i="7" s="1"/>
  <c r="X27" i="7"/>
  <c r="Y27" i="7" s="1"/>
  <c r="X26" i="7"/>
  <c r="Y26" i="7" s="1"/>
  <c r="Z25" i="7"/>
  <c r="X25" i="7"/>
  <c r="Y25" i="7" s="1"/>
  <c r="D8" i="7"/>
  <c r="S63" i="6" l="1"/>
  <c r="T63" i="6" s="1"/>
  <c r="Q63" i="6" s="1"/>
  <c r="O63" i="6"/>
  <c r="P63" i="6" s="1"/>
  <c r="S62" i="6"/>
  <c r="T62" i="6" s="1"/>
  <c r="Q62" i="6" s="1"/>
  <c r="O62" i="6"/>
  <c r="P62" i="6" s="1"/>
  <c r="S61" i="6"/>
  <c r="T61" i="6" s="1"/>
  <c r="Q61" i="6" s="1"/>
  <c r="O61" i="6"/>
  <c r="P61" i="6" s="1"/>
  <c r="S60" i="6"/>
  <c r="T60" i="6" s="1"/>
  <c r="Q60" i="6" s="1"/>
  <c r="O60" i="6"/>
  <c r="P60" i="6" s="1"/>
  <c r="S59" i="6"/>
  <c r="T59" i="6" s="1"/>
  <c r="Q59" i="6" s="1"/>
  <c r="O59" i="6"/>
  <c r="P59" i="6" s="1"/>
  <c r="S58" i="6"/>
  <c r="T58" i="6" s="1"/>
  <c r="Q58" i="6" s="1"/>
  <c r="O58" i="6"/>
  <c r="P58" i="6" s="1"/>
  <c r="S57" i="6"/>
  <c r="T57" i="6" s="1"/>
  <c r="Q57" i="6" s="1"/>
  <c r="O57" i="6"/>
  <c r="P57" i="6" s="1"/>
  <c r="S56" i="6"/>
  <c r="T56" i="6" s="1"/>
  <c r="Q56" i="6" s="1"/>
  <c r="O56" i="6"/>
  <c r="P56" i="6" s="1"/>
  <c r="S55" i="6"/>
  <c r="T55" i="6" s="1"/>
  <c r="Q55" i="6" s="1"/>
  <c r="O55" i="6"/>
  <c r="P55" i="6" s="1"/>
  <c r="S54" i="6"/>
  <c r="T54" i="6" s="1"/>
  <c r="Q54" i="6" s="1"/>
  <c r="O54" i="6"/>
  <c r="P54" i="6" s="1"/>
  <c r="S53" i="6"/>
  <c r="T53" i="6" s="1"/>
  <c r="Q53" i="6" s="1"/>
  <c r="O53" i="6"/>
  <c r="P53" i="6" s="1"/>
  <c r="S52" i="6"/>
  <c r="T52" i="6" s="1"/>
  <c r="Q52" i="6" s="1"/>
  <c r="O52" i="6"/>
  <c r="P52" i="6" s="1"/>
  <c r="S51" i="6"/>
  <c r="T51" i="6" s="1"/>
  <c r="Q51" i="6" s="1"/>
  <c r="O51" i="6"/>
  <c r="P51" i="6" s="1"/>
  <c r="S50" i="6"/>
  <c r="T50" i="6" s="1"/>
  <c r="Q50" i="6" s="1"/>
  <c r="O50" i="6"/>
  <c r="P50" i="6" s="1"/>
  <c r="S49" i="6"/>
  <c r="T49" i="6" s="1"/>
  <c r="Q49" i="6" s="1"/>
  <c r="O49" i="6"/>
  <c r="P49" i="6" s="1"/>
  <c r="S48" i="6"/>
  <c r="T48" i="6" s="1"/>
  <c r="Q48" i="6" s="1"/>
  <c r="O48" i="6"/>
  <c r="P48" i="6" s="1"/>
  <c r="S47" i="6"/>
  <c r="T47" i="6" s="1"/>
  <c r="J47" i="6" s="1"/>
  <c r="O47" i="6"/>
  <c r="P47" i="6" s="1"/>
  <c r="S46" i="6"/>
  <c r="T46" i="6" s="1"/>
  <c r="Q46" i="6" s="1"/>
  <c r="O46" i="6"/>
  <c r="P46" i="6" s="1"/>
  <c r="S45" i="6"/>
  <c r="T45" i="6" s="1"/>
  <c r="Q45" i="6" s="1"/>
  <c r="O45" i="6"/>
  <c r="P45" i="6" s="1"/>
  <c r="S44" i="6"/>
  <c r="T44" i="6" s="1"/>
  <c r="Q44" i="6" s="1"/>
  <c r="O44" i="6"/>
  <c r="P44" i="6" s="1"/>
  <c r="S43" i="6"/>
  <c r="T43" i="6" s="1"/>
  <c r="Q43" i="6" s="1"/>
  <c r="O43" i="6"/>
  <c r="P43" i="6" s="1"/>
  <c r="S42" i="6"/>
  <c r="T42" i="6" s="1"/>
  <c r="Q42" i="6" s="1"/>
  <c r="O42" i="6"/>
  <c r="P42" i="6" s="1"/>
  <c r="T41" i="6"/>
  <c r="Q41" i="6" s="1"/>
  <c r="S41" i="6"/>
  <c r="O41" i="6"/>
  <c r="P41" i="6" s="1"/>
  <c r="S40" i="6"/>
  <c r="T40" i="6" s="1"/>
  <c r="Q40" i="6" s="1"/>
  <c r="O40" i="6"/>
  <c r="P40" i="6" s="1"/>
  <c r="S39" i="6"/>
  <c r="T39" i="6" s="1"/>
  <c r="Q39" i="6" s="1"/>
  <c r="O39" i="6"/>
  <c r="P39" i="6" s="1"/>
  <c r="S38" i="6"/>
  <c r="T38" i="6" s="1"/>
  <c r="Q38" i="6" s="1"/>
  <c r="O38" i="6"/>
  <c r="P38" i="6" s="1"/>
  <c r="S37" i="6"/>
  <c r="T37" i="6" s="1"/>
  <c r="Q37" i="6" s="1"/>
  <c r="O37" i="6"/>
  <c r="P37" i="6" s="1"/>
  <c r="S36" i="6"/>
  <c r="T36" i="6" s="1"/>
  <c r="O36" i="6"/>
  <c r="P36" i="6" s="1"/>
  <c r="S35" i="6"/>
  <c r="T35" i="6" s="1"/>
  <c r="Q35" i="6" s="1"/>
  <c r="O35" i="6"/>
  <c r="P35" i="6" s="1"/>
  <c r="S34" i="6"/>
  <c r="T34" i="6" s="1"/>
  <c r="O34" i="6"/>
  <c r="P34" i="6" s="1"/>
  <c r="S33" i="6"/>
  <c r="T33" i="6" s="1"/>
  <c r="O33" i="6"/>
  <c r="P33" i="6" s="1"/>
  <c r="S32" i="6"/>
  <c r="T32" i="6" s="1"/>
  <c r="O32" i="6"/>
  <c r="P32" i="6" s="1"/>
  <c r="S31" i="6"/>
  <c r="T31" i="6" s="1"/>
  <c r="O31" i="6"/>
  <c r="P31" i="6" s="1"/>
  <c r="S30" i="6"/>
  <c r="T30" i="6" s="1"/>
  <c r="Q30" i="6" s="1"/>
  <c r="O30" i="6"/>
  <c r="P30" i="6" s="1"/>
  <c r="S29" i="6"/>
  <c r="T29" i="6" s="1"/>
  <c r="S28" i="6"/>
  <c r="T28" i="6" s="1"/>
  <c r="S27" i="6"/>
  <c r="T27" i="6" s="1"/>
  <c r="Q27" i="6" s="1"/>
  <c r="O27" i="6"/>
  <c r="P27" i="6" s="1"/>
  <c r="S26" i="6"/>
  <c r="T26" i="6" s="1"/>
  <c r="Q26" i="6" s="1"/>
  <c r="O26" i="6"/>
  <c r="P26" i="6" s="1"/>
  <c r="S25" i="6"/>
  <c r="T25" i="6" s="1"/>
  <c r="S24" i="6"/>
  <c r="T24" i="6" s="1"/>
  <c r="Q24" i="6" s="1"/>
  <c r="O24" i="6"/>
  <c r="P24" i="6" s="1"/>
  <c r="S23" i="6"/>
  <c r="T23" i="6" s="1"/>
  <c r="D10" i="6"/>
  <c r="Q47" i="6" l="1"/>
  <c r="K47" i="6"/>
  <c r="Y31" i="5"/>
  <c r="Z31" i="5" s="1"/>
  <c r="Y30" i="5"/>
  <c r="Z30" i="5" s="1"/>
  <c r="Y29" i="5"/>
  <c r="Z29" i="5" s="1"/>
  <c r="Y28" i="5"/>
  <c r="Z28" i="5" s="1"/>
  <c r="Y27" i="5"/>
  <c r="Z27" i="5" s="1"/>
  <c r="Z26" i="5"/>
  <c r="W26" i="5"/>
  <c r="T26" i="5"/>
  <c r="U26" i="5" s="1"/>
  <c r="O26" i="5"/>
  <c r="P26" i="5"/>
  <c r="Y24" i="5"/>
  <c r="Z24" i="5" s="1"/>
  <c r="Y23" i="5"/>
  <c r="Z23" i="5" s="1"/>
  <c r="D10" i="5"/>
  <c r="O31" i="5"/>
  <c r="O27" i="5"/>
  <c r="Q26" i="5"/>
  <c r="O29" i="5"/>
  <c r="O28" i="5"/>
  <c r="P27" i="5" l="1"/>
  <c r="R26" i="5"/>
  <c r="P29" i="5"/>
  <c r="P31" i="5"/>
  <c r="P28" i="5"/>
  <c r="O32" i="5" l="1"/>
  <c r="W31" i="4" l="1"/>
  <c r="X31" i="4" s="1"/>
  <c r="K31" i="4" s="1"/>
  <c r="K32" i="4" s="1"/>
  <c r="W30" i="4"/>
  <c r="X30" i="4" s="1"/>
  <c r="W29" i="4"/>
  <c r="X29" i="4" s="1"/>
  <c r="W28" i="4"/>
  <c r="X28" i="4" s="1"/>
  <c r="X27" i="4"/>
  <c r="P27" i="4" s="1"/>
  <c r="T27" i="4"/>
  <c r="U27" i="4" s="1"/>
  <c r="O27" i="4"/>
  <c r="W25" i="4"/>
  <c r="X25" i="4" s="1"/>
  <c r="W24" i="4"/>
  <c r="X24" i="4" s="1"/>
  <c r="D11" i="4"/>
  <c r="O29" i="4"/>
  <c r="Q27" i="4"/>
  <c r="O31" i="4"/>
  <c r="O28" i="4"/>
  <c r="O30" i="4"/>
  <c r="P28" i="4" l="1"/>
  <c r="P31" i="4"/>
  <c r="P29" i="4"/>
  <c r="R27" i="4"/>
  <c r="P30" i="4"/>
  <c r="D9" i="3" l="1"/>
  <c r="S22" i="3"/>
  <c r="T22" i="3" s="1"/>
  <c r="S23" i="3"/>
  <c r="T23" i="3" s="1"/>
  <c r="T24" i="3"/>
  <c r="S25" i="3"/>
  <c r="T25" i="3" s="1"/>
  <c r="T26" i="3"/>
  <c r="O27" i="3"/>
  <c r="Q27" i="3"/>
  <c r="R27" i="3" s="1"/>
  <c r="S27" i="3"/>
  <c r="T27" i="3" s="1"/>
  <c r="P27" i="3" s="1"/>
  <c r="S28" i="3"/>
  <c r="T28" i="3" s="1"/>
  <c r="O29" i="3"/>
  <c r="P29" i="3" s="1"/>
  <c r="S29" i="3"/>
  <c r="T29" i="3" s="1"/>
  <c r="Q29" i="3" s="1"/>
  <c r="S30" i="3"/>
  <c r="T30" i="3" s="1"/>
  <c r="O31" i="3"/>
  <c r="P31" i="3" s="1"/>
  <c r="Q31" i="3"/>
  <c r="S31" i="3"/>
  <c r="T31" i="3" s="1"/>
  <c r="O32" i="3"/>
  <c r="P32" i="3" s="1"/>
  <c r="S32" i="3"/>
  <c r="T32" i="3" s="1"/>
  <c r="Q32" i="3" s="1"/>
  <c r="O37" i="3"/>
  <c r="R38" i="3"/>
  <c r="Q38" i="3" l="1"/>
  <c r="N44" i="2"/>
  <c r="R39" i="2"/>
  <c r="S39" i="2" s="1"/>
  <c r="N39" i="2"/>
  <c r="O39" i="2" s="1"/>
  <c r="R38" i="2"/>
  <c r="S38" i="2" s="1"/>
  <c r="P38" i="2" s="1"/>
  <c r="N38" i="2"/>
  <c r="O38" i="2" s="1"/>
  <c r="R37" i="2"/>
  <c r="S37" i="2" s="1"/>
  <c r="P37" i="2" s="1"/>
  <c r="N37" i="2"/>
  <c r="O37" i="2" s="1"/>
  <c r="S34" i="2"/>
  <c r="N34" i="2"/>
  <c r="O34" i="2" s="1"/>
  <c r="R32" i="2"/>
  <c r="S32" i="2" s="1"/>
  <c r="N32" i="2"/>
  <c r="O32" i="2" s="1"/>
  <c r="R30" i="2"/>
  <c r="S30" i="2" s="1"/>
  <c r="N30" i="2"/>
  <c r="O30" i="2" s="1"/>
  <c r="R29" i="2"/>
  <c r="S29" i="2" s="1"/>
  <c r="P29" i="2" s="1"/>
  <c r="N29" i="2"/>
  <c r="O29" i="2" s="1"/>
  <c r="R28" i="2"/>
  <c r="S28" i="2" s="1"/>
  <c r="P28" i="2" s="1"/>
  <c r="N28" i="2"/>
  <c r="O28" i="2" s="1"/>
  <c r="S27" i="2"/>
  <c r="O27" i="2" s="1"/>
  <c r="P27" i="2"/>
  <c r="Q27" i="2" s="1"/>
  <c r="N27" i="2"/>
  <c r="R26" i="2"/>
  <c r="S26" i="2" s="1"/>
  <c r="R24" i="2"/>
  <c r="S24" i="2" s="1"/>
  <c r="R23" i="2"/>
  <c r="S23" i="2" s="1"/>
  <c r="D10" i="2"/>
  <c r="P40" i="2" l="1"/>
  <c r="P22" i="1" l="1"/>
  <c r="O23" i="1"/>
  <c r="P23" i="1" s="1"/>
  <c r="Q24" i="1"/>
  <c r="C9" i="1"/>
  <c r="P26" i="1" l="1"/>
  <c r="Q26" i="1" s="1"/>
  <c r="O33" i="1" l="1"/>
  <c r="P46" i="1" l="1"/>
  <c r="Q46" i="1" s="1"/>
  <c r="P45" i="1"/>
  <c r="Q45" i="1" s="1"/>
  <c r="D45" i="1"/>
  <c r="P44" i="1"/>
  <c r="Q44" i="1" s="1"/>
  <c r="D44" i="1"/>
  <c r="P43" i="1"/>
  <c r="Q43" i="1" s="1"/>
  <c r="D43" i="1"/>
  <c r="P42" i="1"/>
  <c r="Q42" i="1" s="1"/>
  <c r="P41" i="1"/>
  <c r="Q41" i="1" s="1"/>
  <c r="P40" i="1"/>
  <c r="Q40" i="1" s="1"/>
  <c r="P39" i="1"/>
  <c r="Q39" i="1" s="1"/>
  <c r="P38" i="1"/>
  <c r="Q38" i="1" s="1"/>
  <c r="P37" i="1"/>
  <c r="Q37" i="1" s="1"/>
  <c r="P36" i="1"/>
  <c r="Q36" i="1" s="1"/>
  <c r="P35" i="1"/>
  <c r="Q35" i="1" s="1"/>
  <c r="P34" i="1"/>
  <c r="Q34" i="1" s="1"/>
  <c r="P33" i="1"/>
  <c r="Q33" i="1" s="1"/>
  <c r="P32" i="1"/>
  <c r="Q32" i="1" s="1"/>
  <c r="P31" i="1"/>
  <c r="Q31" i="1" s="1"/>
  <c r="P30" i="1"/>
  <c r="Q30" i="1" s="1"/>
  <c r="P29" i="1"/>
  <c r="Q29" i="1" s="1"/>
  <c r="P28" i="1"/>
  <c r="Q28" i="1" s="1"/>
  <c r="Q27" i="1"/>
  <c r="P25" i="1"/>
  <c r="Q25" i="1" s="1"/>
  <c r="O54" i="1" l="1"/>
</calcChain>
</file>

<file path=xl/sharedStrings.xml><?xml version="1.0" encoding="utf-8"?>
<sst xmlns="http://schemas.openxmlformats.org/spreadsheetml/2006/main" count="1443" uniqueCount="378">
  <si>
    <t>GOBERNACIÓN DE CASANARE</t>
  </si>
  <si>
    <t>OBJETO</t>
  </si>
  <si>
    <t>PROPONENTE</t>
  </si>
  <si>
    <t>NOMBRE DEL PROFESIONAL</t>
  </si>
  <si>
    <t>EDELMIRA SIERRA GUTIÉRREZ</t>
  </si>
  <si>
    <t>PROFESIÓN:</t>
  </si>
  <si>
    <t>UNIVERSIDAD</t>
  </si>
  <si>
    <t>FUNDACIÓN UNIVERSITARIA AGRARIA DE COLOMBIA</t>
  </si>
  <si>
    <t>SALARIO MINIMO 2009</t>
  </si>
  <si>
    <t>FECHA DE GRADO</t>
  </si>
  <si>
    <t>SALARIO MINIMO 2013</t>
  </si>
  <si>
    <t>F. EXPED. MATR. PROF.</t>
  </si>
  <si>
    <t>SALARIO MINIMO 2015</t>
  </si>
  <si>
    <t xml:space="preserve">TITULO DE POSTGRADO </t>
  </si>
  <si>
    <t>ESPECIALISTA EN GERENCIA DE PRODUCCIÓN Y PRODUCTIVIDAD</t>
  </si>
  <si>
    <t>SALARIO MINIMO 2016</t>
  </si>
  <si>
    <t>F. GRADO DEL POSTGRADO</t>
  </si>
  <si>
    <t>SALARIO MINIMO 2017</t>
  </si>
  <si>
    <t>SALARIO MINIMO 2018</t>
  </si>
  <si>
    <t>CARGO DESEMPEÑADO</t>
  </si>
  <si>
    <t>ENTIDAD CONTRATANTE</t>
  </si>
  <si>
    <t>No. CONTRATO</t>
  </si>
  <si>
    <t>% DEDICACIÓN</t>
  </si>
  <si>
    <t>DURACIÓN</t>
  </si>
  <si>
    <t>TIEMPO LABORADO (MESES)</t>
  </si>
  <si>
    <t>Tiempo en días</t>
  </si>
  <si>
    <t>Tiempo en MESES</t>
  </si>
  <si>
    <t>SALARIO MINIMO 2019</t>
  </si>
  <si>
    <t>F. INICIO</t>
  </si>
  <si>
    <t>F. TERMINACION</t>
  </si>
  <si>
    <t>SALARIO MINIMO 2021</t>
  </si>
  <si>
    <t>CONTRATISTA</t>
  </si>
  <si>
    <t>SECRETARIA DE EDUCACIÓN Y CULTURA DEL MUNICIPIO DE AGUAZUL</t>
  </si>
  <si>
    <t>INTERVENTORIA INTEGRAL, TÉCNICA, FINANCIERA, CONTABLE, JURÍDICA Y ADMINISTRATIVA PARA EL SUMINISTRO RACIÓN INDUSTRIALIZADA, PARA ESTUDIANTES DE BASICA PRIMARIA MATRICULADOS EN LAS INSTITUCIONES EDUCATIVAS OFICIALES, DEL AREA URBANA DEL MUNICIPIO DE AGUAZUL</t>
  </si>
  <si>
    <t>NI</t>
  </si>
  <si>
    <t>DIRECTOR DE INTERVENTORÍA</t>
  </si>
  <si>
    <t>DEPARTAMENTO DE CASANARE</t>
  </si>
  <si>
    <t>REALIZAR LA INTERVENTORÍA TÉCNICA, ADMINISTRATIVA, JURÍDICA,  FINANCIERA CONTABLE Y AMBIENTAL A LA PRESTACIÓN DE  SERVICIO DE ALIMENTACIÓN ESCOLAR PARA LOS ESTUDIANTES MATRICULADOS EN LAS INSTITUCIONES EDUCATIVAS OFICIALES DEL DEPARTAMENTO DE CASANARE, EN LAS ESTRATEGIAS INTERNADO, PAE REGULAR Y PREESCOLAR URBANO</t>
  </si>
  <si>
    <t>REALIZAR LA INTERVENTORÍA TÉCNICA, ADMINISTRATIVA, JURÍDICA Y FINANCIERA CONTABLE Y AMBIENTAL A LA PRESTACIÓN DE  SERVICIO DE ALIMENTACIÓN ESCOLAR PARA LOS ESTUDIANTES MATRICULADOS COMO INTERNOS Y EN LOS DIFERENTES NIVELES  EDUCATIVOS DE LAS INSTITUCIONES EDUCATIVAS DEL DEPARTAMENTO DE CASANARE</t>
  </si>
  <si>
    <t>1062 DE 2018</t>
  </si>
  <si>
    <t>REALIZAR LA INTERVENTORÍA TÉCNICA, ADMINISTRATIVA, JURÍDICA, CONTABLE, FINANCIERA Y AMBIENTAL A LA PRESTACIÓN DE  SERVICIO DE ALIMENTACIÓN ESCOLAR PARA LOS ESTUDIANTES MATRICULADOS COMO INTERNOS Y EN LOS DIFERENTES NIVELES  EDUCATIVOS DEL DEPARTAMENTO DE CASANARE</t>
  </si>
  <si>
    <t>2685 DE 2017</t>
  </si>
  <si>
    <t>REALIZAR LA INTERVENTORÍA TÉCNICA, ADMINISTRATIVA, JURÍDICA, FINANCIERA Y AMBIENTAL AL  SERVICIO DE ALIMENTACIÓN ESCOLAR PARA LOS ESTUDIANTES QUE SE ENCUENTRAN MATRICULADOS COMO INTERNOS EN  LAS INSTITUCIONES EDUCATIVAS OFICIALES DEL DEPARTAMENTO DE CASANARE</t>
  </si>
  <si>
    <t>1543 DE 2017</t>
  </si>
  <si>
    <t>DIRECTOR DEL PROYECTO</t>
  </si>
  <si>
    <t>REALIZAR LA INTERVENTORÍA TÉCNICA, ADMINISTRATIVA, JURÍDICA Y FINANCIERA AL SERVICIO DE ALIMENTACIÓN ESCOLAR PARA LOS ESTUDIANTES QUE SE ENCUENTRAN MATRICULADOS COMO INTERNOS EN LAS INSTITUCIONES EDUCATIVAS OFICIALES DEL DEPARTAMENTO DE CASANARE</t>
  </si>
  <si>
    <t>0949 DE 2016</t>
  </si>
  <si>
    <t>REALIZAR LA INTERVENTORÍA TÉCNICA, FINANCIERA Y ADMINISTRATIVA AL SERVICIO DE ALIMENTACIÓN ESCOLAR PARA LOS ESTUDIANTES QUE SE ENCUENTRAN MATRICULADOS COMO INTERNOS EN LAS INSTITUCIONES EDUCATIVAS OFICIALES DEL DEPARTAMENTO DE CASANARE</t>
  </si>
  <si>
    <t>1190 DE 2015</t>
  </si>
  <si>
    <t>REALIZAR LA INTERVENTORÍA TÉCNICA, FINANCIERA Y ADMINISTRATIVA A LOS PROCESOS DE SERVICIOS DE RESTAURANTE ESCOLAR MODALIDAD DE ALMUERZOS</t>
  </si>
  <si>
    <t>PROF. DE APOYO</t>
  </si>
  <si>
    <t>REALIZAR LA INTERVENTORÍA TÉCNICA, FINANCIERA Y ADMINISTRATIVA A  LOS COMPONENTES DEL PROYECTO AMPLIACIÓN DE LA COBERTURA, PERMANENCIA PARA LA OFERTA Y DEMANDA DEL SERVICIO EDUCATIVO EN EL DEPARTAMENTO DE CASANARE</t>
  </si>
  <si>
    <t>1559 DE 2012</t>
  </si>
  <si>
    <t>MUNICIPIO DE AGUAZUL</t>
  </si>
  <si>
    <t>REALIZAR LA  INTERVENTORÍA TÉCNICA, ADMINISTRATIVA Y  FINANCIERA AL CONTRATO INTERADMINISTRATIVO No. 182 DE 2011, CUYO OBJETO ES: REALIZAR EL SUMINISTRO Y ENTREGA DE REFRIGERIOS ESCOLARES A LA POBLACIÓN ESTUDIANTIL DE LOS NIVELES 1 Y 2 DEL SISBEN QUE SE ENCUENTREN MATRICULADOS EN LAS INSTITUCIONES EDUCATIVAS DEL MUNICIPIO DE AGUAZUL</t>
  </si>
  <si>
    <t>425 DE 2011</t>
  </si>
  <si>
    <t>INGENIERA DE ALIMENTOS</t>
  </si>
  <si>
    <t>GARANTIZAR EL SERVICIO DE RESTAURANTE ESCOLAR A 65.000 ESTUDIANTES DEL DEPARTAMENTO DE CASANARE PARA LA SOSTENIBILIDAD DE LA PRESTACIÓN DEL SERVICIO EDUCATIVO EN EL DEPARTAMENTO DE CASANARE</t>
  </si>
  <si>
    <t>SUPERVISOR DE CALIDAD</t>
  </si>
  <si>
    <t>PROCESADORA DE ALIMENTOS LA GRANJA</t>
  </si>
  <si>
    <t>N.A</t>
  </si>
  <si>
    <t>REALIZAR LA INTERVENTORÍA ADMINISTRATIVA TÉCNICA Y FINANCIERA DEL CONVENIO DE COOPERACIÓN No. 024 DE 2008 CUYO OBJETIVO ES: REALIZAR ACCIONES DE SOSTENIBILIDAD EN COBERTURA ENCAMINADAS A LA PRESTACIÓN EFECTIVA DE SERVICIOS DE RESTAURANTES ESCOLARES A 67.287 ESTUDIANTES DE NIVELES 1 Y 2 DEL SISBEN DE LOS INSTITUTOS EDUCATIVOS OFICIALES DEL DEPARTAMENTO DE CASANARE, DEL PROYECTO AMPLIACIÓN DE LA COBERTURA, PERMANENCIA PARA LA OFERTA Y DEMANDA DEL SERVICIO EDUCATIVO EN EL DEPARTAMENTO DE CASANARE.</t>
  </si>
  <si>
    <t>615 DE 2008</t>
  </si>
  <si>
    <t>REALIZAR LA VIGILANCIA, SEGUIMIENTO Y CONTROL HIGIÉNICO SANITARIO EN LOS MUNICIPIOS DE TAMARA Y MANÍ DEL DEPARTAMENTO DE CASANARE, PARA PREVENIR Y CONTROLAR LOS FACTORES DE RIESGO DE INTOXICACIÓN POR ALIMENTOS, ASÍ COMO EL SEGUIMIENTO A LOS PRODUCTORES Y COMERCIALIZADORES DE LECHE CRUDA EN EL DEPARTAMENTO DE CASANARE</t>
  </si>
  <si>
    <t>27-08-FDS-0075</t>
  </si>
  <si>
    <t>REALIZAR INSPECCIÓN Y VIGILANCIA DE ALIMENTOS DE ALTO Y BAJO RIESGO EN LOS MUNICIPIOS DE VILLANUEVA, SÁCAMA, NUNCHIA, LA SALINA Y TAMARA DEL DEPARTAMENTO DE CASANARE</t>
  </si>
  <si>
    <t>CONTRATAR UN PROFESIONAL INGENIERO DE ALIMENTOS COMO APOYO A LAS ACTIVIDADES DE INSPECCIÓN Y VIGILANCIA EN FABRICAS DE ALIMENTOS Y RESTAURANTES EN LOS MUNICIPIOS DE MONTERREY, TAURAMENA, VILLANUEVA, SABANALARGA, MANÍ, SÁCAMA, LA SALINA, OROCUE Y NUNCHIA DEL DEPARTAMENTO DE CASANARE</t>
  </si>
  <si>
    <t>CONTRATACIÓN DE SERVICIOS PROFESIONALES DE UN INGENIERO DE ALIMENTOS COMO APOYO LAS ACCIONES DE INSPECCIÓN VIGILANCIA Y CONTROL EN FABRICAS DE ALIMENTOS Y RESTAURANTES DE LOS MUNICIPIOS DE VILLANUEVA, SABANALARGA, MONTERREY, TAURAMENA, AGUAZUL, MANÍ, RECETOR, CHAMEZA Y NUNCHIA DEL DEPARTAMENTO DE CASANARE</t>
  </si>
  <si>
    <t>GERENTE</t>
  </si>
  <si>
    <t>GERENTE EN ENCARGO</t>
  </si>
  <si>
    <t>JEFE DE PRODUCION</t>
  </si>
  <si>
    <t>ELABORACIÓN DE PROYECTOS DE INVERSIÓN ENTRE ELLOS EL PROYECTO PLANTA PROCESADORA DE LACTEOS EN SU MONTAJE Y FUNCIONAMIENTO.</t>
  </si>
  <si>
    <t>REALIZAR INTERVENTORÍA TÉCNICA, ADMINISTRATIVA, JURÍDICA, FINANCIERA, CONTABLE Y AMBIENTAL A LA PRESTACIÓN DE SERVICIO DE ALIMENTACIÓN ESCOLAR PARA LOS ESTUDIANTES MATRICULADOS EN LAS INSTITUCIONES EDUCATIVAS OFICIALES Y RESIDENCIAS ESCOLARES DEL DEPARTAMENTO DE CASANARE</t>
  </si>
  <si>
    <t>2248 DE 2021</t>
  </si>
  <si>
    <t>20210512 DE 2021</t>
  </si>
  <si>
    <t>0209 DE 2020</t>
  </si>
  <si>
    <t>0812 DE 2014</t>
  </si>
  <si>
    <t>0699 DE 2010</t>
  </si>
  <si>
    <t>099</t>
  </si>
  <si>
    <t>LA EMPRESA CASANAREÑA DE LACTEOS "CASALAC"</t>
  </si>
  <si>
    <t>DIRECTOR DE  INTERVENTORÍA</t>
  </si>
  <si>
    <t>1344 DE 2022</t>
  </si>
  <si>
    <t>REALIZAR INTERVENTORÍA TÉCNICA, ADMINISTRATIVA, JURÍDICA, FINANCIERA, CONTABLE Y AMBIENTAL A LA PRESTACIÓN DE SERVICIO DE ALIMENTACIÓN ESCOLAR PAE - PARA LOS NIÑOS, NIÑAS, ADOLESCENTES Y JÓVENES MATRICULADOS EN LAS INSTITUCIONES EDUCATIVAS OFICIALES DE LOS MUNICIPIOS NO CERTIFICADOS DEL DEPARAMENTO DE CASANARE</t>
  </si>
  <si>
    <t>1049 DE 2021</t>
  </si>
  <si>
    <t>“REALIZAR INTERVENTORIA TÉCNICA, ADMINISTRATIVA, JURÍDICA, FINANCIERA, CONTABLE Y AMBIENTAL A LA PRESTACIÓN DEL SERVICIO DE ALIMENTACIÓN ESCOLAR PAE, SEGÚN LOS LINEAMIENTOS TÉCNICOS DE LA RESOLUCIÓN 0335 DE 2021, A LOS ESTUDIANTES DE LA POBLACIÓN MAYORITARIA MATRICULADOS EN LAS INSTITUCIONES EDUCATIVAS OFICIALES DEL DEPARTAMENTO DE CASANARE”.</t>
  </si>
  <si>
    <t>0914 DE 2023</t>
  </si>
  <si>
    <t>REALIZAR INTERVENTORÍA TÉCNICA, ADMINISTRATIVA, JURÍDICA, FINANCIERA, CONTABLE Y AMBIENTAL A LA PRESTACIÓN DE SERVICIO DE ALIMENTACIÓN ESCOLAR PARA LOS ESTUDIANTES MATRICULADOS EN LAS INSTITUCIONES EDUCATIVAS OFICIALES DEL DEPARTAMENTO DE CASANARE</t>
  </si>
  <si>
    <t>ITEM</t>
  </si>
  <si>
    <t xml:space="preserve">PROCESO: </t>
  </si>
  <si>
    <t>“REALIZAR INTERVENTORIA TÉCNICA, ADMINISTRATIVA, JURÍDICA, FINANCIERA, CONTABLE Y AMBIENTAL A LA PRESTACIÓN DEL SERVICIO DE ALIMENTACIÓN ESCOLAR PAE, SEGÚN LOS LINEAMIENTOS TÉCNICOS DE LA RESOLUCIÓN 0335 DE 2021, A LOS ESTUDIANTES DE LA POBLACIÓN MAYORITARIA MATRICULADOS EN LAS INSTITUCIONES EDUCATIVAS OFICIALES DEL DEPARTAMENTO DE CASANARE”</t>
  </si>
  <si>
    <t>DIANA CATERINNE ARCOS ESCOBAR</t>
  </si>
  <si>
    <t>NUTRICIONISTA DIETISTA</t>
  </si>
  <si>
    <t>UNIVERSIDAD NACIONAL DE COLOMBIA</t>
  </si>
  <si>
    <t>SALARIO MINIMO 2012</t>
  </si>
  <si>
    <t>ESPECIALISTA EN CIENCIA Y TECNOLOGÍA DE ALIMENTOS</t>
  </si>
  <si>
    <t>EMPRESA CONTRATISTA</t>
  </si>
  <si>
    <t>F. TERMINAC.</t>
  </si>
  <si>
    <t>DÍAS</t>
  </si>
  <si>
    <t>MESES</t>
  </si>
  <si>
    <t>ESPECIFICA</t>
  </si>
  <si>
    <t>COORDINADOR OPERATIVO</t>
  </si>
  <si>
    <t>ADMINISTRADOR LOGISTICO</t>
  </si>
  <si>
    <t>CONSORCIO INTERVENTORÍA PAE E&amp;E 2021</t>
  </si>
  <si>
    <t>REALIZAR INTERVENTORÍA TÉCNICA, ADMINISTRATIVA, JURÍDICA, FINANCIERA, CONTABLE Y AMBIENTAL A LA PRESTACIÓN DEL SERVICIO DE ALIMENTACIÓN ESCOLAR – PAE – PARA NIÑOS, NIÑAS, ADOLESCENTES Y JÓVENES MATRICULADOS EN LAS INSTITUCIONES EDUCATIVAS OFICIALES DE LOS MUNICIPIOS NO CERTIFICADOS DEL DEPARTAMENTO DE CASANARE</t>
  </si>
  <si>
    <t>REALIZAR LA INTERVENTORÍA TÉCNICA, ADMINISTRATIVA, JURÍDICA Y FINANCIERA CONTABLE Y AMBIENTAL A LA PRESTACIÓN DE  SERVICIO DE ALIMENTACIÓN ESCOLAR PARA LOS ESTUDIANTES MATRICULADOS EN LAS INSTITUCIONES EDUCATIVAS OFICIALES DEL DEPARTAMENTO DE CASANARE, EN LAS ESTRATEGIAS INTERNADO, PAE REGULAR Y PREESCOLAR URBANO</t>
  </si>
  <si>
    <t>EDELMIRA SIERRA GUTIERREZ</t>
  </si>
  <si>
    <t>REALIZAR  INTERVENTORÍA TÉCNICA, ADMINISTRATIVA, JURÍDICA, FINANCIERA, CONTABLE Y AMBIENTAL A LA PRESTACIÓN DE  SERVICIO DE ALIMENTACIÓN ESCOLAR PARA LOS ESTUDIANTES MATRICULADOS COMO INTERNOS Y EN LOS DIFERENTES NIVELES EDUCATIVOS DE LAS INSTITUCIONES EDUCATIVAS DEL DEPARTAMENTO DE CASANARE</t>
  </si>
  <si>
    <t>1062 DE 2019</t>
  </si>
  <si>
    <t>REALIZAR LA INTERVENTORÍA TÉCNICA, ADMINISTRATIVA, JURÍDICA, CONTABLE, FINANCIERA Y AMBIENTAL PARA PRESTAR EL SERVICIO  DE ALIMENTACIÓN ESCOLAR PARA LOS ESTUDIANTES QUE SE ENCUENTRAN MATRICULADOS COMO INTERNOS Y EN LOS DIFERENTES NIVELES EDUCATIVOS DEL DEPARTAMENTO DE CASANARE</t>
  </si>
  <si>
    <t>NUTRICIONISTA DIETISTA DEL PROYECTO DE ALIMENTACIÓN ESCOLAR</t>
  </si>
  <si>
    <t>COMPANY SERVICE FOOD SAS</t>
  </si>
  <si>
    <t>PRESTAR EL SERVICIO DE ALIMENTACIÓN ESCOLAR PARA LOS ESTUDIANTES QUE SE ENCUENTRAN MATRICULADOS COMO INTERNOS EN LAS INSTITUCIONES EDUCATIVAS OFICIALES DEL DEPARTAMENTO DE CASANARE</t>
  </si>
  <si>
    <t>849 DE 2016</t>
  </si>
  <si>
    <t>ASOCIACION DE PADRES DE FAMILIA  DEL RESTAURANTE ESCOLAR JOSE MARIA CORDOBA.</t>
  </si>
  <si>
    <t xml:space="preserve">MUNICIPIO DE TAURAMENA </t>
  </si>
  <si>
    <t>PARA LA PRESTACION DEL SERVICIO DE ALIMENTACION DIRIGIDO A LOS ESTUDIANTES DE BAJOS RECURSOS DE LAS INSTITUCIONES EDUCATIVAS, JOSE MARIA CORDOBA, CRIEET, CUSIANA DEL MUNICIPIO DE TAURAMENA</t>
  </si>
  <si>
    <t>CONVENIO DE COOPERACION N°. 001 DE 03 -02-2016</t>
  </si>
  <si>
    <t>PROFESIONAL</t>
  </si>
  <si>
    <t xml:space="preserve">FUNDACIÓN MANOS UNIDAS </t>
  </si>
  <si>
    <t>MUNICIPIO DE SOGAMOSO</t>
  </si>
  <si>
    <t>AUNAR ESFUERZOS TÉCNICOS, ADMINISTRATIVOS Y FINANCIEROS PARA IMPLEMENTAR EL PROGRAMA DE ALIMENTACIÓN ESCOLAR DE ACUERDO CON LOS LINEAMIENTOS TÉCNICO ADMINISTRATIVOS Y ESTANDARES ANEXOS A ESTE CONVENIO Y CON LOS TÉRMINOS Y ENLACES ESTABLECIDOS EN EL MISMO</t>
  </si>
  <si>
    <t>LA ASOCIACION DE PADRES DE FAMILIA DEL RESTAURANTE ESCOLAR JOSE MARIA CORDOBA</t>
  </si>
  <si>
    <t xml:space="preserve"> PRESTACION DEL SERVICIO DE ASISTENCIA ALIMENTARIA Y ALOJAMIENTO PARA LOS ESTUDIANTES DE LOS NIVELES 1 Y 2 DEL SISBEN PROVENIENTES DE LA ZONA RURAL Y CASOS ESPECIALES DEL AREA URBANA.</t>
  </si>
  <si>
    <t>CONVENIO DE COOPERACION N°. 12 DE 15-07-2013</t>
  </si>
  <si>
    <t>SERVICIOS PROFESIONALES</t>
  </si>
  <si>
    <t>UNIVERSIDAD NACIONAL</t>
  </si>
  <si>
    <t>PRESTAR SERVICIOS PARA ELABORAR CICLOS DE MENÚS DE 21 DÍAS CON CARÁCTER DIFERENCIAL DE ACUERDO A UNA MINUTA PATRÓN ESTABLECIDA, PARA CADA MODALIDAD, GRUPOS ETNICOS, GRUPOS ETEREOS EXISTENTES Y POSTERIOR A LA RECOLECCIÓN Y ANALISIS DE LA INFORMACIÓN SOBRE CARACTERIZACIÓN SOCIOECONOMICA DE MUNICIPIO, DEL SECTOR EDUCATIVO, DIPOSNIBILIDAD DE ALIMENTOS, HABITOS Y COSTUMBRES ALIMENTARIAS CORRESPONDIENTES AL DEPARTAMENTO ASIGNADO.</t>
  </si>
  <si>
    <t>204 DE 2013</t>
  </si>
  <si>
    <t xml:space="preserve"> PRESTACION DEL SERVICIO DE ASISTENCIA ALIMENTARIA Y ALOJAMIENTO PARA ESTUDIANTES DE BAJOS RECURSOS PRIVENIENTES DE LA ZONA RURAL Y CASOS ESPECIALES DEL AREA URBANA.</t>
  </si>
  <si>
    <t>CONVENIO DE COOPERACION N°.. 019 DE 09-08-2012</t>
  </si>
  <si>
    <t xml:space="preserve">INSTITUCION EDUCATIVA JOSE MARIA CORDOBA </t>
  </si>
  <si>
    <t xml:space="preserve"> PRESTAR EL SERVICIO DE PREPARACION Y SUMINISTRO DE ALMUERZO A DOS MIL CIENTO OCHENTA Y SIETE (2.187) ESTUDIANTES DE LA INSTITUCION EDUCATIVA EN CUMPLIMIENTO AL CONTRATO ANTERADMINISTRATIVO NO 002 DE 2012 CELEBRADO CON EL MUNICIPIO DE TAURAMENA.</t>
  </si>
  <si>
    <t xml:space="preserve"> CONTRATO N°. 001 DEL 18 -04-2012</t>
  </si>
  <si>
    <t>COORDINADOR DE CALIDAD</t>
  </si>
  <si>
    <t>U.T. RESTAURANTES ESCOLARES 2011</t>
  </si>
  <si>
    <t>ASEGURAR LA CALIDAD ALIMENTARIA EN EL PROYECTO DE ALIMENTACIÓN ESCOLAR, COMO COORDINADOR DE CALIDAD EN LA PLANTA DE PROCESAMIENTO DE ALIMENTOS EN LA CIUDAD DE MANI PARA EL SERVICIO DE RESTAURANTE ESCOLAR, COMO RESPONSABLE DE LOS PROCESOS DE INOCUIDAD Y BPM</t>
  </si>
  <si>
    <t>ASESORA TÉCNICA</t>
  </si>
  <si>
    <t>E.C. EL RICO SABOR A</t>
  </si>
  <si>
    <t>IMPLANTACIÓN DE ESTANDARES DE CALIDAD DE ACUERDO A LAS NORMAS TÉCNICAS SANITARIAS PARA GARANTIZAR LA CALIDAD E INOCUIDAD DE LOS PRODUCTOS REFRESCOS DE AGUA, JUGOS Y BEBIDAS</t>
  </si>
  <si>
    <t>PROFAMILIA</t>
  </si>
  <si>
    <t>NUTRICIONISTA DE LA ENCUESTA DE LA SITUACIÓN NUTRICIONAL EN COLOMBIA - ENSIN 2010</t>
  </si>
  <si>
    <t>382 DE 2016</t>
  </si>
  <si>
    <t>REALIZAR INTERVENTORIA TECNICA, ADMINISTRATIVA, FINANCIERA, CONTABLE Y JURÍDICA AL CONTRATO RESULTANTE PROCESO CUYO OBJETO ES: "PRESTAR EL SERVICIO DE RESTAURANTE ESCOLAR A NIÑOS, NIÑAS Y ADOLESCENTES DEL NIVEL I Y II DEL SISBEN MATRICULADOS EN LAS INSTITUCIONES EDUCATIVAS OFICIALES DEL ÁREA URBANA DEL MUNICIPIO DE AGUAZUL CASANARE"</t>
  </si>
  <si>
    <t>PROFESIONAL DE APOYO</t>
  </si>
  <si>
    <t>274 DE 2017</t>
  </si>
  <si>
    <t>PRESTAR LOS SERVICIOS COMO PROFESIONAL DE APOYO A LA SUPERVISIÓN TÉCNICA DE LOS PROCESOS RELACIONADOS CON LA META DE PRODUCTO 1.1.1.1 MANTENER 100% ESTUDIANTES CON RACIÓN DIARIA DE ALIMENTACIÓN ESCOLAR DEL MUNICIPIO DE AGUAZUL CASANARE EN FUNCIÓN DEL PROCESO GESTIÓN EDUCATIVA Y CULTURAL</t>
  </si>
  <si>
    <t>MARÍA ALEJANDRA PINZÓN ORTEGA</t>
  </si>
  <si>
    <t>180 DE 2018</t>
  </si>
  <si>
    <t>PRESTAR LOS SERVICIOS COMO PROFESIONAL DE APOYO EN LA ELABORACIÓN DE INFORMES RELACIONADOS CON EL PROGRAMA DE ALIMENTACIÓN ESCOLAR QUE SE DESARROLLAN EN EL MARCO DEL PROCEDIMIENTO ACCESO Y CALIDAD EDUCATIVA, EN EL MUNICIPIO DE AGUAZUL CASANARE</t>
  </si>
  <si>
    <t>234 DE 2018</t>
  </si>
  <si>
    <t>PRESTAR LOS SERVICIOS COMO PROFESIONAL DE APOYO A LA SUPERVISIÓN DE LOS PROCESOS CONTRACTUALES QUE SE DERIVEN DEL FORTALECIMIENTO AL PROGRAMA DE ALIMENTACIÓN ESCOLAR, EN EL MARCO DEL PROCEDIMIENTO ACCESO Y CALIDAD EDUCATIVA DEL MUNICIPIO DE AGUAZUL CASANARE</t>
  </si>
  <si>
    <t xml:space="preserve">AUXILIAR DE CONTROL DE CALIDAD </t>
  </si>
  <si>
    <t>265 DE 2019</t>
  </si>
  <si>
    <t>PRESTAR LOS SERVICIOS COMO PROFESIONAL DE APOYO A LA SUPERVISIÓN DE LOS PROCESOS CONTRACTUALES QUE SE DESLIGUEN DE LOS PROGRAMAS DE QUE SE ENMARQUEN EN EL CUMPLIMIENTO DE LA META DE PRODUCTO 1.1.1.1. "MANTENER 100% ESTUDIANTES CON RACIÓN DIARIA DE ALIMENTACIÓN ESCOLAR (ODS 4) DEL PLAN DE DESARROLLO "AGUAZUL, RESPONSABILIDAD DE TODOS 2016-2019", EN EL MUNICIPIO DE AGUAZUL CASANARE".</t>
  </si>
  <si>
    <t>SUPERVISOR DE INTERVENTORÍA</t>
  </si>
  <si>
    <t>0630 DE 2021-03-17</t>
  </si>
  <si>
    <t>REALIZAR LA INSPECCION Y VIGILANCIA DE LOS ESTABLECIMIENTOS DE ALTO RIESGO DE ALIMENTOS Y BEBIDAS EN LOS MUNICIPIOS DE VILLANUEVA Y MONTERREY DEL DEPARTAMENTO DE CASANARE</t>
  </si>
  <si>
    <t xml:space="preserve">SECRETARIA DE SALUD </t>
  </si>
  <si>
    <t>REALIZAR  INTERVENTORÍA TÉCNICA, ADMINISTRATIVA, JURÍDICA, FINANCIERA CONTABLE Y AMBIENTAL A LA PRESTACIÓN DEL  SERVICIO DE ALIMENTACIÓN ESCOLAR PARA LOS ESTUDIANTES MATRICULADOS EN LAS INSTITUCIONES EDUCATIVAS OFICIALES Y RESIDENCIAS ESCOLARES DEL DEPARTAMENTO DE CASANARE</t>
  </si>
  <si>
    <t>REALIZAR LA INTERVENTORÍA TÉCNICA, ADMINISTRATIVA, JURÍDICA, FINANCIERA CONTABLE Y AMBIENTAL A LA PRESTACIÓN DEL  SERVICIO DE ALIMENTACIÓN ESCOLAR PARA LOS ESTUDIANTES MATRICULADOS EN LAS INSTITUCIONES EDUCATIVAS OFICIALES Y RESIDENCIAS ESCOLARES DEL DEPARTAMENTO DE CASANARE</t>
  </si>
  <si>
    <t xml:space="preserve">ESPECIALIZACION EN SEGURIDAD Y CALIDAD ALIMENTARIA </t>
  </si>
  <si>
    <t xml:space="preserve">UNIVERSIDAD DE BOGOTA JORGE TADEO LOZANO </t>
  </si>
  <si>
    <t>MARIA ALEJANDRA PINZON ORTEGA</t>
  </si>
  <si>
    <t>JOSÉ FACUNDO MONTAÑEZ CRISTANCHO</t>
  </si>
  <si>
    <t>INGENIERO DE ALIMENTOS</t>
  </si>
  <si>
    <t xml:space="preserve">FUNDACIÓN UNIVERSITARIA INTERNACIONAL DEL TRÓPICO AMERICANO </t>
  </si>
  <si>
    <t>TIEMPO LABORADO</t>
  </si>
  <si>
    <t xml:space="preserve">REALIZAR LA INTERVENTORÍA TÉCNICA, ADMINISTRATIVA, JURÍDICA Y FINANCIERA CONTABLE Y AMBIENTAL A LA PRESTACIÓN DE  SERVICIO DE ALIMENTACIÓN ESCOLAR PARA LOS ESTUDIANTES MATRICULADOS EN LAS INSTITUCIONES EDUCATIVAS OFICIALES DEL DEPARTAMENTO DE CASANARE, EN LA ESTRATEGIA INTERNADO, PAE REGULAR Y PREESCOLAR URBANO </t>
  </si>
  <si>
    <t xml:space="preserve">REALIZAR  INTERVENTORÍA TÉCNICA, ADMINISTRATIVA, JURÍDICA, FINANCIERA, CONTABLE Y AMBIENTAL A LA PRESTACIÓN DE  SERVICIO DE ALIMENTACIÓN ESCOLAR PARA LOS ESTUDIANTES MATRICULADOS COMO INTERNOS Y EN LOS DIFERENTES NIVELES EDUCATIVOS DE LAS INSTITUCIONES EDUCATIVAS DEL DEPARTAMENTO DE CASANARE </t>
  </si>
  <si>
    <t>IMPULSAR LA INOCUIDAD DE LA CARNE Y LOS PRODUCTOS CÁRNICOS COMESTIBLES EN LOS EXPENDIOS DE CARNE DE LOS MUNICIPIOS DE YOPAL Y EL CORREGIMIENTO DE TILODIRAN</t>
  </si>
  <si>
    <t>2591 DE 2017</t>
  </si>
  <si>
    <t>COMPANY SERVICE FOOD S.A.S.</t>
  </si>
  <si>
    <t>REALIZAR EL CONTROL Y SEGUIMIENTO DE LA CALIDAD E INOCUIDAD DE LOS ALIMENTOS, GARANTIZAR LA BUENAS PRÁCTICAS DE MANUFACTURA (BPM) A TRAVÉS DE LA INSPECCIÓN, VIGILANCIA Y CONTRO SEGÚN NORMATIVIDAD VIGENTE.</t>
  </si>
  <si>
    <t>SUPERVISOR</t>
  </si>
  <si>
    <t>DICORP S.A.</t>
  </si>
  <si>
    <t>SUPERVISOR RECIBO Y SECAMIENTO</t>
  </si>
  <si>
    <t>LEIDY JOHANA MEDINA GARCIA</t>
  </si>
  <si>
    <t>NUTRICIONISTA Y DIETISTA</t>
  </si>
  <si>
    <t>UNIVERSIDAD INDUSTRIAL DE SANTANDER</t>
  </si>
  <si>
    <t>ESPECIALISTA EN AUDITORÍA EN SERVICIOS DE SALUD</t>
  </si>
  <si>
    <t>SALARIO MINIMO 2014</t>
  </si>
  <si>
    <t>OBSERVACIONES</t>
  </si>
  <si>
    <t>REALIZAR LA INTERVENTORÍA TÉCNICA, ADMINISTRATIVA, JURÍDICA Y FINANCIERA CONTABLE Y AMBIENTAL A LA PRESTACIÓN DE  SERVICIO DE ALIMENTACIÓN ESCOLAR PARA LOS ESTUDIANTES MATRICULADOS EN LAS INSTITUCIONES EDUCATIVAS OFICIALES DEL DEPARTAMENTO DE CASANARE.</t>
  </si>
  <si>
    <t>REALIZAR  INTERVENTORÍA TÉCNICA, ADMINISTRATIVA, JURÍDICA, FINANCIERA, CONTABLE Y AMBIENTAL A LA PRESTACIÓN DE  SERVICIO DE ALIMENTACIÓN ESCOLAR PARA LOS ESTUDIANTES MATRICULADOS COMO INTERNOS Y EN LOS DIFERENTES NIVELES EDUCATIVOS DE LAS INSTITUCIONES EDUCATIVAS DEL DEPARTAMENTO DE CASANARE.</t>
  </si>
  <si>
    <t>REALIZAR LA INTERVENTORÍA TÉCNICA, ADMINISTRATIVA, JURÍDICA, CONTABLE, FINANCIERA Y AMBIENTAL A LA PRESTACIÓN DE  SERVICIO DE ALIMENTACIÓN ESCOLAR PARA LOS ESTUDIANTES MATRICULADOS COMO INTERNOS Y EN LOS DIFERENTES NIVELES  EDUCATIVOS DEL DEPARTAMENTO DE CASANARE.</t>
  </si>
  <si>
    <t>REALIZAR LA INTERVENTORÍA TÉCNICA, ADMINISTRATIVA, JURÍDICA Y FINANCIERA AL CONTRATO DE SERVICIO DE ALIMENTACIÓN ESCOLAR MODALIDAD ALMUERZO A 26.113 ESTUDIANTES QUE SE ENCUENTRAN MATRICULADOS EN LAS INSTITUCIONES EDUCATIVAS OFICIALES DEL DEPARTAMENTO DE CASANARE.</t>
  </si>
  <si>
    <t>1707 DE 2015</t>
  </si>
  <si>
    <t>UNIÓN TEMPORAL INTERVENTORÍA RESTAURANTES ESCOLARES 2014</t>
  </si>
  <si>
    <t>REALIZAR LA INTERVENTORÍA TÉCNICA, FINANCIERA Y ADMINISTRATIVA A LOS PROCESOS DE SERVICIOS DE RESTAURANTE ESCOLAR MODALIDAD DESAYUNOS.</t>
  </si>
  <si>
    <t>0763 DE 2014</t>
  </si>
  <si>
    <t>PROFESIONAL INTERVENTORÍA</t>
  </si>
  <si>
    <t>COOPERATIVA CREER EN LO NUESTRO</t>
  </si>
  <si>
    <t>REALIZAR LA INTERVENTORÍA TÉCNICA, ADMINISTRATIVA Y FINANCIERA A LOS COMPONENTES DEL PROYECTO AMPLIACIÓN DE LA COBERTURA PERMANENCIA PARA LA OFERTA  Y DEMANDA DEL SERVICIO EDUCATIVO EN EL DEPARTAMENTO DEL CASANARE.</t>
  </si>
  <si>
    <t>1926 DE 2010</t>
  </si>
  <si>
    <t>"REALIZAR INTERVENTORIA TÉCNICA, ADMINISTRATIVA, JURÍDICA, FINANCIERA, CONTABLE Y AMBIENTAL A LA PRESTACIÓN DEL SERVICIO DE ALIMENTACIÓN ESCOLAR PAE, SEGÚN LOS LINEAMIENTOS TÉCNICOS DE LA RESOLUCIÓN 0335 DE 2021, A LOS ESTUDIANTES DE LA POBLACIÓN MAYORITARIA MATRICULADOS EN LAS INSTITUCIONES EDUCATIVAS OFICIALES DEL DEPARTAMENTO DE CASANARE".</t>
  </si>
  <si>
    <t xml:space="preserve">NELSON NIÑO TRIANA </t>
  </si>
  <si>
    <t xml:space="preserve">INGENIERO DE ALIMENTOS </t>
  </si>
  <si>
    <t>UNIVERSIDAD INCCA DE COLOMBIA</t>
  </si>
  <si>
    <t xml:space="preserve">INTERVENTOR DE CAMPO </t>
  </si>
  <si>
    <t>C&amp;M CONSULTORES SAS</t>
  </si>
  <si>
    <t>443029 DE 2018</t>
  </si>
  <si>
    <t>INTERVENTOR COMEDORES URBANOS</t>
  </si>
  <si>
    <t>877858 DE 2019</t>
  </si>
  <si>
    <t xml:space="preserve">PROFESIONAL </t>
  </si>
  <si>
    <t xml:space="preserve">GARANTIZAR LA EFICIENTE, ÓPTIMA Y TRANSPARENTE INVERSIÓN DE LOS RECURSOS PÚBLICOS.  ASEGURAR QUE LOS OPERADORES QUE SUMINISTRAN DESAYUNOS Y ALMUERZOS SE CIÑAN EN LA EJECUCIÓN DEL OBJETO CONTRACTUAL A LOS PLAZOS, TÉRMINOS, CALIDADES Y CONDICIONES PREVISTAS O EXIGIDAS EN EL CONVENIO Y EN LOS DOCUMENTOS DEL MISMO. </t>
  </si>
  <si>
    <t>72 ADS DE 2011</t>
  </si>
  <si>
    <t>269 DE 2011</t>
  </si>
  <si>
    <t>373 DE 2011</t>
  </si>
  <si>
    <t>PRESTACION DE SERVICIOS PROFESIONALES PARA ASEGURAR QUE LOS OPERADORES QUE PRESTAN SERVICIOS DE ALIMENTACIÓN COMEDORES ESCOLARES DE LAS UNIDADES EJECUTIVA DE LOCALIDADES U.E.L, SE CIÑAN DURANTE LA EJECUCIÓN DEL OBJETO CONTRACTUAL A LOS PLAZOS, TÉRMINOS, CANTIDAD CALIDAD Y CONDICIONES PREVISTAS O EXIGIDAS EN LOS CONVENIOS Y CONTRATOS Y EN LOS DOCUMENTOS DE LOS MISMOS, PARA EL PROYECTO "EXT. INTERVENTORIA PARA REALIZAR EL CONTROL, SEGUIMIENTO Y APOYO DE LA EJECUCIÓN DE LOS CONTRATOS DE SUMINISTROS DE COMPLEMENTOS NUTRICIONALES CON DESTINO A ESTUDIANTES EN EL SISTEMA EDUCATIVO OFICIAL DE DIFERENTES LOCALIDADES DEL DISTRITO CAPITAL CUMPLIENDO CON LOS PRINCIPIOS DE EFICIENCIA, ECONOMÍA, EFICACIA E IMPARCIALIDAD"</t>
  </si>
  <si>
    <t>889 ADS 2011</t>
  </si>
  <si>
    <t>PRESTACIÓN DE SERVICIOS PROFESIONALES PARA ASEGURAR QUE LOS OPERADORES QUE PRESTAN SERVICIOS DE ALIMENTACIÓN ESCOLAR COMEDORES DE LA UNIDAD EJECUTIVA DE LOCALIDADES UEL, SE CIÑAN DURANTE LA EJECUCIÓN DEL OBJETO CONTRACTUAL A LOS PLAZOS, TÉRMINOS CANTIDAD , CALIDAD Y CONDICIONES PREVISTAS O EXIGIDAS EN LOS CONVENIOS O CONTRATOS Y EN LOS DOCUMENTOS DE LOS MISMOS</t>
  </si>
  <si>
    <t>1529 DE 2011</t>
  </si>
  <si>
    <t>REALIZAR INTERVENTORIA EN LOS COMEDORES COMUNITARIOS ASEGURANDO QUE EL PROVEEDOR QUE PRESTA LOS SERVICIOS DE ALIMENTACIÓN SE CIÑA AL CONTRATO EN CUANTO A CALIDADES Y CONDICIONES EXIGIDAS</t>
  </si>
  <si>
    <t>1735 DE 2011</t>
  </si>
  <si>
    <t xml:space="preserve">REALIZAR INTERVENTORIA EN LOS COMEDORES COMUNITARIOS ASEGURANDO QUE EL PROVEEDOR QUE PRESTA LOS SERVICIOS DE ALIMENTACIÓN SE CIÑA AL CONTRATO EN CUANTO A CALIDADES Y CONDICIONES </t>
  </si>
  <si>
    <t>1771 DE 2011</t>
  </si>
  <si>
    <t>PRESTACIÓN DE SERVICIOS PROFESIONALES PARA REALIZAR INTERVENTORIA EN LOS COMEDORES ESCOLARES ASEGURANDO QUE EL CONTRATISTA QUE SUMINISTRA ALIMENTOS SE CIÑA AL CONTRATO REALIZADO CON LA SED EN CUANTO A CALIDADES Y CONDICIONES EXIGIDAS</t>
  </si>
  <si>
    <t>40 DE 2012</t>
  </si>
  <si>
    <t>SUPERVISAR QUE LA PRESTACIÓN DEL SERVICIO DE REFRIGERIOS SE REALICE BAJO LA NORMATIVIDAD VIGENTE, EL CONTRATO VINCULANTE Y LAS CONDICIONES OFERTADAS PARA LOS PROCEDIMIENTOS ESTABLECIOS PARA TAL FIN.</t>
  </si>
  <si>
    <t>241 DE 2011</t>
  </si>
  <si>
    <t>SUPERVISAR QUE LA PRESTACIÓN DEL SERVICIO EN LOS COMEDORES ESCOLARES SE REALICE BAJO LA NORMATIVIDAD VIGENTE Y LAS CONDICIONES ESTABLECIDAS POR EL OPERADOR, BAJO LOS PROCEDIMIENTOS ESTABLECIDOS PARA TAL FIN.</t>
  </si>
  <si>
    <t>701 DE 2012</t>
  </si>
  <si>
    <t>976 ADS DE 2012</t>
  </si>
  <si>
    <t>PRESTAR SERVICIOS PARA SUPERVISAR QUE LA PRESTACIÓN DEL SERVICIO INTERVENIDO SE REALICE BAJO LA NORMATIVIDAD VIGENTE, EL CONTRATO VINCULANTE, LAS CONDICIONES OFERTADAS Y BAJO LOS PROCEDIMIENTOS ESTABLECIDOS PARA TAL FIN.</t>
  </si>
  <si>
    <t>87 DE 2013</t>
  </si>
  <si>
    <t>356 ADS DE 2013</t>
  </si>
  <si>
    <t xml:space="preserve">PRESTAR SERVICIOS PROFESIONALES COMO INGENIERO DE ALIMENTOS, CON EL FIN DE COORDINAR LA EJECUCIÓN DEL PROCESO TÉCNICO A SU CARGO GARANTIZANDO EL CUMPLIMIENTO DE LO ESTABLECIDO EN EL CONTRATO VINCULANTE Y LO REQUERIDO POR LA DIRECCIÓN </t>
  </si>
  <si>
    <t>692 DE 2013</t>
  </si>
  <si>
    <t>966 DE 2013</t>
  </si>
  <si>
    <t>1105 DE 2013</t>
  </si>
  <si>
    <t xml:space="preserve">PRESTAR SERVICIOS PROFESIONALES COMO INGENIERO DE ALIMENTOS, PARA SUPERVISAR QUE EL SERVICIO INTERVENIDO EN COMEDORES URBANOS Y RURALES SE REALICE BAJO LA NORMATIVIDAD VIGENTE, EL CONTRATO VINCULANTE, LAS CONDICIONES OFERTADAS Y BAJO LOS PROCEDIMIENTOS ESTABLECIDOS PARA TAL FIN  </t>
  </si>
  <si>
    <t>1556 DE 2013</t>
  </si>
  <si>
    <t>2034 DE 2013- ADS 1-2014</t>
  </si>
  <si>
    <t xml:space="preserve">PRESTAR SERVICIOS PROFESIONALES COMO INGENIERO DE ALIMENTOS, PARA SUPERVISAR QUE EL SERVICIO INTERVENIDO EN COMEDORES ESCOLARES  SE REALICE BAJO LA NORMATIVIDAD VIGENTE, EL CONTRATO VINCULANTE, LAS CONDICIONES OFERTADAS Y BAJO LOS PROCEDIMIENTOS ESTABLECIDOS PARA TAL FIN, GARANTIZANDO EL CUMPLIMIENTO DE LOS ESTABLECIDO EN EL CONTRATO VINCULANTE </t>
  </si>
  <si>
    <t>164 DE 2014</t>
  </si>
  <si>
    <t>317 DE 2014</t>
  </si>
  <si>
    <t xml:space="preserve">ODS 869 </t>
  </si>
  <si>
    <t xml:space="preserve">PRESTAR SERVICIOS PROFESIONALES  PARA SUPERVISAR EN COMEDORES QUE EL SERVICIO INTERVENIDO DEL PROYECTO Y MODALIDAD ASIGNADOS, SE REALICE BAJO LA NORMATIVIDAD VIGENTE, EL CONTRATO VINCULANTE, LAS CONDICIONES OFERTADAS, LOS ANEXOS TECNICOS, BAJO LOS PROCEDIMIENTOS ESTABLECIDOS PARA TAL FIN </t>
  </si>
  <si>
    <t>ODS 1049</t>
  </si>
  <si>
    <t xml:space="preserve">PRESTAR SERVICIOS PROFESIONALES  PARA REALIZAR LA SUPERVISIÓN  EN COMEDORES TENDIENTE A VERIFICAR QUE EL SERVICIO INTERVENIDO EN EL PROYECTO Y MODALIDAD ASIGNADOS, SE REALICE BAJO LA NORMATIVIDAD VIGENTE, EL CONTRATO VINCULANTE, LAS CONDICIONES OFERTADAS, LOS ANEXOS TECNICOS, BAJO LOS PROCEDIMIENTOS ESTABLECIDOS PARA TAL FIN </t>
  </si>
  <si>
    <t>ODS 254</t>
  </si>
  <si>
    <t>REALIZAR LAS ACTIVIDADES DE VERIFICACIÓN EN LOS COMEDORES ESCOLARES URBANOS ASIGNADOS, ATENDIENDO LOS REQUERIMIENTOS DE ORDEN TÉCNICO FORMULADOS POR LA SECRETARÍA DE EDUCACIÓN DEL DISTRITO CAPITAL "SED" PARA LA MODALIDAD COMIDA CALIENTE, EN DESARROLLO DEL PROYECTO DE INTERVENTORIA REALIZADO A LOS CONTRATOS Y CONVENIOS CELEBRADOS PARA LA EJECUCIÓN DEL PROGRAMA DE ALIMENTACIÓN ESCOLAR DE LA SED Y GARANTIZAR EL CUMPLIMIENTO DEL CONTRATO No 2962 DE 2015</t>
  </si>
  <si>
    <t>ODS 894</t>
  </si>
  <si>
    <t>ODS 1392</t>
  </si>
  <si>
    <t>ODS 1900</t>
  </si>
  <si>
    <t>ODS 216</t>
  </si>
  <si>
    <t>ODS 632</t>
  </si>
  <si>
    <t>REALIZAR LAS ACTIVIDADES DE VERIFICACIÓN EN LOS COMEDORES ESCOLARES URBANOS ASIGNADOS, ATENDIENDO LOS REQUERIMIENTOS DE ORDEN TÉCNICO FORMULADOS POR LA SECRETARÍA DE EDUCACIÓN DEL DISTRITO CAPITAL "SED" PARA LA MODALIDAD COMIDA CALIENTE, EN DESARROLLO DEL PROYECTO DE INTERVENTORIA REALIZADO A LOS CONTRATOS Y CONVENIOS CELEBRADOS PARA LA EJECUCIÓN DEL PROGRAMA DE ALIMENTACIÓN ESCOLAR DE LA SED Y GARANTIZAR EL CUMPLIMIENTO DEL CONTRATO VINCULANTE</t>
  </si>
  <si>
    <t>ODS 875</t>
  </si>
  <si>
    <t>APOYAR DE MANERA INTEGRAL, EFECTIVA Y OPORTUNA LA COORDIANACIÓN DEL PROCESO TÉCNICO DE LOS CONTRATOS ASIGNADOS, ATENDIENDO LOS REQUERIMIENTOS DE ORDEN TÉCNICO FORMULADOS POR LA SECRETARÍA DE EDUCACIÓN DEL DISTRITO CAPITAL "SED" PARA LAS DIFERENTES MODALIDADES EN DESARROLLO DEL PROYECTO DE INTERVENTORÍA REALIZADO A LOS CONTRATOS Y CONVENIOS CELEBRADOS PARA LA EJECUCIÓN DEL PROGRAMA DE ALIMENTACIÓN ESCOLAR DE LA SED, Y GARANTIZAR EL CUMPLIMIENTO DEL CONTRATO VINCULANTE.</t>
  </si>
  <si>
    <t>ODS 1252</t>
  </si>
  <si>
    <t>APOYAR DE MANERA INTEGRAL, EFECTIVA Y OPORTUNA LA COORDIANACIÓN DEL PROCESO TÉCNICO DE LOS CONTRATOS ASIGNADOS, ATENDIENDO LOS REQUERIMIENTOS DE ORDEN TÉCNICO FORMULADOS POR LA SECRETARÍA DE EDUCACIÓN DEL DISTRITO CAPITAL "SED" PARA LAS DIFERENTES MODALIDADES, EN DESARROLLO DEL PROYECTO DE INTERVENTORIA REALIZADO A LOS CONTRATOS Y CONVENIOS CELEBRADOS PARA LA EJECUCIÓN DEL PROGRAMA DE ALIMENTACION ESCOLAR DE LA "SED" Y GARANTIZAR EL CUMPLIMIENTO DEL CONTRATO VINCULANTE.</t>
  </si>
  <si>
    <t>APOYAR DE MANERA INTEGRAL, EFECTIVA Y OPORTUNA LA COORDINACIÓN DEL PROCESO TÉCNICO DE LOS CONTRATOS ASIGNADOS, ATENDIENDO LOS REQUERIMIENTOS DE ORDEN TÉCNICO FORMULADOS POR LA SECRETARÍA DE EDUCACIÓN DEL DISTRITO CAPITAL "SED" PARA LAS DIFERENTES MODALIDADES, EN DESARROLLO DEL PROYECTO DE INTERVENTORIA REALIZADO A LOS CONTRATOS Y CONVENIOS CELEBRADOS PARA LA EJECUCIÓN DEL PROGRAMA DE ALIMENTACION ESCOLAR DE LA "SED" Y GARANTIZAR EL CUMPLIMIENTO DEL CONTRATO VINCULANTE.</t>
  </si>
  <si>
    <t>333 ADS</t>
  </si>
  <si>
    <t>CONSORCIO EMPRESARIAL 2017</t>
  </si>
  <si>
    <t>REALIZAR LA INTERVENTORÍA INTEGRAL, TÉCNICA,  FINANCIERA, AMINISTRATIVA  Y JURÍDICA A LOS CONTRATOS Y CONVENIOS E INSTRUMENTOS DE AGREGACIÓN DE DEMANDA O CUALQUIER OTRA MODALIDAD DE CONTRATACIÓN SUSCRITA PARA LA EJECUCIÓN DEL PROGRAMA DE ALIMENTACIÓN ESCOLAR.</t>
  </si>
  <si>
    <t>1462 DE 2017</t>
  </si>
  <si>
    <t xml:space="preserve">DL ASSETS LIMITADA </t>
  </si>
  <si>
    <t xml:space="preserve">COORDINADOR </t>
  </si>
  <si>
    <t xml:space="preserve">PROAL </t>
  </si>
  <si>
    <t>NAYDU MARDADY BUSTOS ROMERO</t>
  </si>
  <si>
    <t>FUNDACIÓN UNIVERSITARIA UNITRÓPICO</t>
  </si>
  <si>
    <t>ESPECIALISTA EN EVALUACIÓN Y GESTIÓN AMBIENTAL</t>
  </si>
  <si>
    <t xml:space="preserve">SECRETARÍA DE AGRICULTURA, GANADERÍA Y MEDIO AMBIENTE DE LA GOBERNACIÓN DE CASANARE </t>
  </si>
  <si>
    <t>IMPULSAR LA INOCUIDAD DE LA CARNE Y LOS PRODUCTOS CARNICOS COMESTIBLES EN LOS EXPENDIOS DE CARNE DE LOS MUNICIPIOS DE TAURAMENA, SABANALARGA Y OROCUÉ.</t>
  </si>
  <si>
    <t>2593 DE 2017</t>
  </si>
  <si>
    <t>SECRETARIA DE SALUD DE LA ALCALDÍA DE YOPAL</t>
  </si>
  <si>
    <t xml:space="preserve">REALIZAR LAS ACCIONES DE INSPECCIÓN, VIGILANCIA Y CONTROL CON ENFOQUE DE RIESGO EN EL PROCESO DE SALUD A LOS ESTABLECIMIENTOS DE INTERÉS SANITARIO ASOCIADOS AL CONSUMO DE ALIMENTOS Y BEBIDAS COMO PANADERÍAS, CEFETERÍAS Y FRUTERIAS EN EL ÁREA URBANA DEL MUNICIPIO DE YOPAL, ENMARCADO EN EL PROCEDIMIENTO DE INSPECCIÓN, VIGILANCIA Y CONTROL DE LOS FACTORES PARA EL PROCESO DE SALUD. </t>
  </si>
  <si>
    <t xml:space="preserve">101.19.447 </t>
  </si>
  <si>
    <t xml:space="preserve">ACCIONES DE VIGILANCIA SANITARIA DIMENSIÓN SEGURIDAD ALIMENTARIA Y NUTRICIONAL EN LA TRANSVERSALIDAD COMO AUTORIDAD SANITARIA CON ENFOQUE DE RIESGO A ESTABLECIMIENTOS TALES COMO CAFETERÍAS, HELADERÍAS, PANADERÍAS EN EL PROCESO DE SALUD EN EL ÁREA URBANA DEL MUNICIPO DE YOPAL. </t>
  </si>
  <si>
    <t>101.19.987</t>
  </si>
  <si>
    <t xml:space="preserve">SUPERVISORA EN ALIMENTOS </t>
  </si>
  <si>
    <t xml:space="preserve">GRUPO NUTRESA </t>
  </si>
  <si>
    <t>SECRETARIA DE EDUCACIÓN DE LA ALCALDÍA DE YOPAL</t>
  </si>
  <si>
    <t>PRESTAR APOYO TÉCNICO EN EL MONITOREO Y SEGUIMIENTO A LA EJECUCIÓN DEL PROGRAMA DE ALIMENTACIÓN ESCOLAR PAE-MEN Y PLAN DE SEGURIDAD ALIMENTARIA Y NUTRICIONAL CON SENTIDO NUTRITIVO 2011 - 2020 EN LAS INSTITUCIONES EDUCATIVAS Y SUS SEDES ANEXAS: JORGE ELIECER GAITÁN, LA ESMERALDA, SANTA TERESA, LA INMACULADA, POLICARPA SALAVARRIETA, EL TRIUNFO, LLANO LINDO, TERESA DE CALCUTA DEL MUNICIPIO DE YOPAL.</t>
  </si>
  <si>
    <t>101.19.1449</t>
  </si>
  <si>
    <t>PRESTAR APOYO A LA GESTIÓN DE LA SECRETARÍA DE EDUCACIÓN EN LAS ACTIVIDADES DE SEGUIMIENTO A LA EJECUCIÓN DEL PROGRAMA DE ALIMENTACIÓN ESCOLAR PAE MEN Y PLAN DE SEGURIDAD ALIMENTARIA Y NUTRICIONAL CON SENTIDO NUTRITIVO 2011 -2020 EN LAS INSTITUCIONES EDUCATIVAS Y SUS SEDES ANEXAS: ESMERALDA, EL TRIUNFO, SANTA TERESA, INMACULADA, POLICARPA SALAVARRIETA, TERESA DE CALCUTA, CAMPIÑA, PARAÍSO Y LLANO LINDO DEL MUNICIPIO DE YOPAL</t>
  </si>
  <si>
    <t>101.19.342</t>
  </si>
  <si>
    <t xml:space="preserve">PRESTAR APOYO TÉCNICO A LA SECRETARÍA DE EDUCACIÓN EN LA RECOLECCIÓN Y DIGITALIZACIÓN DE LA INFORMACIÓN DE LAS CONDICIONES DE INFRAESTRUCTURA, EXISTENCIA Y CALIDAD DE LOS SERVICIOS PÚBLICOS Y CONDICIONES DE DOTACIÓN DE MENAJE Y EQUIPOS DE LOS COMEDORES ESCOLARES EN LAS INSTITUCIONES EDUCATIVAS Y SUS SEDES ANEXAS: I.E TERESA DE CALCUTA (3), CAMPIÑA Y LUIS HERNÁNDES VARGAS (3). </t>
  </si>
  <si>
    <t>101.19.1482</t>
  </si>
  <si>
    <t>VICTORIA DEL PILAR PERÉZ ARENAS</t>
  </si>
  <si>
    <t>LA UNIVERSIDAD DE LA SALLE</t>
  </si>
  <si>
    <t>REALIZAR LA INTERVENTORÍA TÉCNICA. ADMINISTRATIVA, JURÍDICA. CONTABLE, FINANCIERA Y AMBIENTAL AL SERVICIO DE ALIMENTACIÓN ESCOLAR PARA LOS ESTUDIANTES QUE SE ENCUENTRAN MATRICULADOS COMO INTERNOS EN LAS INSTITUCIONES EDUCATIVAS OFICIALES DEL DEPARTAMENTO DE CASANARE</t>
  </si>
  <si>
    <t>1543 DE 17</t>
  </si>
  <si>
    <t>GERENTE DE ZONA</t>
  </si>
  <si>
    <t>BEL STAR S.A.</t>
  </si>
  <si>
    <t>MYRIAM GUTIÉRREZ PATIÑO</t>
  </si>
  <si>
    <t>CONTADOR PÚBLICO</t>
  </si>
  <si>
    <t xml:space="preserve">LA UNIVERSIDAD PEDAGÓGICA Y TECNOLÓGICA DE COLOMBIA </t>
  </si>
  <si>
    <t>ESPECIALISTA EN TRIBUTARIA</t>
  </si>
  <si>
    <t>949 DE 2016</t>
  </si>
  <si>
    <t>REALIZAR LA  INTERVENTORÍA TÉCNICA, ADMINISTRATIVA Y  FINANCIERA AL SERVICIO DE ALIMENTACIÓN ESCOLAR PARA LOS ESTUDIANTES QUE SE ENCUENTRAN MATRICULADOS COMO INTERNOS EN LAS INSTITUCIONES EDUCATIVAS OFICIALES DEL DEPARTAMENTO DE CASANARE</t>
  </si>
  <si>
    <t>Union Temporal Consultorias S&amp;O 2014</t>
  </si>
  <si>
    <t>812 DE 2014</t>
  </si>
  <si>
    <t>ANDREA MORALES CIFUENTES</t>
  </si>
  <si>
    <t>ABOGADA</t>
  </si>
  <si>
    <t>UNIVERSIDAD DE PAMPLONA</t>
  </si>
  <si>
    <t>ESPECIALIDAD EN DERECHO ADMINISTRATIVO</t>
  </si>
  <si>
    <t>ABOGADO</t>
  </si>
  <si>
    <t>APODERADO JUDICAL</t>
  </si>
  <si>
    <t>HERMES ISIDRO PEREZ Y OTROS</t>
  </si>
  <si>
    <t>APODERADO JUDICIAL DE LA PARTE DEMANDANTE</t>
  </si>
  <si>
    <t xml:space="preserve">EDELMIRA SIERRA GUTIERREZ </t>
  </si>
  <si>
    <t xml:space="preserve">PROFESIONAL DE APOYO LEGAL EXTERNO, DESARROLLANDO FUNCIONES JURÍDICAS EN LOS DIFERENTES PROYECTOS EJECUTADOS POR LA CONTRATANTE. </t>
  </si>
  <si>
    <t>OMER ADAME ANGEL</t>
  </si>
  <si>
    <t>DEPENDENCIA JUDICIAL, PROYECCIÓN DE DEMANDAS AGRARIAS, ADMINISTRATIVAS, CIVILES Y LABORALES, ASISTENCIA A AUDIENCIAS ADMINISTRATIVAS Y REVISIÓN DE PROCESOS</t>
  </si>
  <si>
    <t xml:space="preserve">CARGO A PROVEER: </t>
  </si>
  <si>
    <t>DIRECTOR DE INTERVENTORIA</t>
  </si>
  <si>
    <t>CUMPLE</t>
  </si>
  <si>
    <t>NO CUMPLE</t>
  </si>
  <si>
    <t>EXPEREINCIA 
ESPECÍFICA</t>
  </si>
  <si>
    <t>TIEMPO LABORADO (AÑOS)</t>
  </si>
  <si>
    <t>Esta certificación se valida como DIRECTOR DE INTERVENTORIA
(Participación proyecto No.1)</t>
  </si>
  <si>
    <t>Esta certificación se valida como DIRECTOR DE INTERVENTORIA
(Participación proyecto No.2)</t>
  </si>
  <si>
    <t>N/A</t>
  </si>
  <si>
    <t xml:space="preserve">EXPERIENCIA GENERAL 
HABILITANTE (Años) </t>
  </si>
  <si>
    <t>EXPERIENCIA ESPECIFICA HABILITANTE (Años)</t>
  </si>
  <si>
    <t>JESÚS MARIA CHINCHILLA CUEVAS</t>
  </si>
  <si>
    <t>Evaluador Técnico</t>
  </si>
  <si>
    <t>NA: No aplica</t>
  </si>
  <si>
    <t>PROCESO:</t>
  </si>
  <si>
    <t>COORDINADOR OPERATIVO DE INTERVENTORIA</t>
  </si>
  <si>
    <t>EXPERIENCIA 
GENERAL</t>
  </si>
  <si>
    <r>
      <t xml:space="preserve">Nota del Evaluador: </t>
    </r>
    <r>
      <rPr>
        <sz val="11"/>
        <rFont val="Arial"/>
        <family val="2"/>
      </rPr>
      <t xml:space="preserve">De conformidad con lo expresado por el proponente se toman los items por él relacionados para las respectivas sumatorias. El proponente podrá realizar las observaciones y aclaraciones pertinentes al presente anexo y su correspondiente informe preliminar. </t>
    </r>
  </si>
  <si>
    <t>Se valida desde inicio 22-07-2013, según Acta de liquidación Convenio 012 de de 2013.</t>
  </si>
  <si>
    <t>Se valida hasta el día 27-11-2015, de conformidad con acta de liquidación del contrato 2015217 de 2015. (298 días)</t>
  </si>
  <si>
    <t>Se valida del 08/02/2016 al 14-07-2016 (156 días) - De conformidad con Acta Liquidación Convenio 01 de 2016. (156 días)</t>
  </si>
  <si>
    <t>Se valida desde el 14-08-2012, fecha de inicio de acuerdo a Acta de liquidación del Conv. 019 de 2012. (177 días)</t>
  </si>
  <si>
    <t>COORDINADOR DE CALIDAD DE INTERVENTORIA</t>
  </si>
  <si>
    <t>Se valida de confomridad con cálculo del proponente por traslapo con Contrato de Consultoria 209 de 2020 
(200 días)</t>
  </si>
  <si>
    <t>Se valida  desde 05 de septiembre de 2016 hasta 12 de abril de 2017, de conformidad con fecha de terminación en acta de liquidación del Cto 382 de 2016. (103 días)</t>
  </si>
  <si>
    <t>SUPERVISOR DE INTERVENTORIA No. 1</t>
  </si>
  <si>
    <t>SUPERVISOR DE INTERVENTORIA No. 2</t>
  </si>
  <si>
    <t>EXPERIENCIA 
ESPECÍFICA</t>
  </si>
  <si>
    <t>SUPERVISOR DE INTERVENTORIA No. 3</t>
  </si>
  <si>
    <t>Solo se valida por el periodo indicado en el acta de liquidación / 5 meses y 15 días + proroga de 57 días 
(222 días)</t>
  </si>
  <si>
    <t>SUPERVISOR DE INTERVENTORIA No. 4</t>
  </si>
  <si>
    <t>SUPERVISOR DE INTERVENTORIA No. 5</t>
  </si>
  <si>
    <t>EXPERIENCIA ESPECIFICA HABILITANTE 
(Años)</t>
  </si>
  <si>
    <t>CONTADOR DE INTERVENTORIA</t>
  </si>
  <si>
    <t>ABOGADO DE INTERVENTORIA</t>
  </si>
  <si>
    <t>No se presenta certificación de conformidad con numeral 7.2. numeral 2. Cuando haya sido contratado por un contratista de una entidad estatal:
No obstante lo anterior se valida la información contenida en la certificación de la entidad territorial y se valida la experiencia general del profesional.</t>
  </si>
  <si>
    <t>No se presenta certificación de conformidad con numeral 7.2. numeral 4. Cuando haya sido contratado por una entidad privada. Experiencia por validar.
Firmada por representante legal y debe poder ser verificada con certificado de existencia y representación legal pertinente.
Se subsana de acuerdo con la revisión de los pliegos de condiciones solicitada por el proponente, numeral 7.2. numeral 4. "Cuando haya sido contratado por una entidad privada", requisito que solo aplica para certificar experiencia específica.  El presente ITEM se valida para computo de experiencia General.</t>
  </si>
  <si>
    <t>CAS-OAJ-CMA-001-2025</t>
  </si>
  <si>
    <t>REALIZAR INTERVENTORIA TÉCNICA, ADMINISTRATIVA, JURIDICA, FINANCIERA, CONTABLE Y AMBIENTAL A LA IMPLEMENTACIÓN DEL PROGRAMA DE ALIMENTACIÓN ESCOLAR, PARA LOS ESTUDIANTES FOCALIZADOS DE ACUERDO A LOS LINEAMIENTOS TÉCNICOS ESTABLECIDOS EN LA RESOLUCIÓN 0335 DE 2021, MATRICULADOS EN LAS INSTITUCIONES EDUCATIVAS OFICIALES PRIORIZADAS POR EL DEPARTAMENTO DE CASANARE.</t>
  </si>
  <si>
    <t>2398 DE 2023</t>
  </si>
  <si>
    <r>
      <rPr>
        <b/>
        <sz val="12"/>
        <color rgb="FFFF0000"/>
        <rFont val="Arial"/>
        <family val="2"/>
      </rPr>
      <t>Nota 1</t>
    </r>
    <r>
      <rPr>
        <b/>
        <sz val="12"/>
        <rFont val="Arial"/>
        <family val="2"/>
      </rPr>
      <t>: Experiencia general Habilitante:</t>
    </r>
    <r>
      <rPr>
        <sz val="12"/>
        <rFont val="Arial"/>
        <family val="2"/>
      </rPr>
      <t xml:space="preserve"> Esta experiencia la conforma los items de 1 al 22. </t>
    </r>
    <r>
      <rPr>
        <b/>
        <sz val="12"/>
        <rFont val="Arial"/>
        <family val="2"/>
      </rPr>
      <t>Experiencia General Adicional:</t>
    </r>
    <r>
      <rPr>
        <sz val="12"/>
        <rFont val="Arial"/>
        <family val="2"/>
      </rPr>
      <t xml:space="preserve"> Esta experiencia la conforman los items del 23 al 26.</t>
    </r>
  </si>
  <si>
    <r>
      <rPr>
        <b/>
        <sz val="12"/>
        <color rgb="FFFF0000"/>
        <rFont val="Arial"/>
        <family val="2"/>
      </rPr>
      <t>Nota  2.</t>
    </r>
    <r>
      <rPr>
        <sz val="12"/>
        <color rgb="FFFF0000"/>
        <rFont val="Arial"/>
        <family val="2"/>
      </rPr>
      <t xml:space="preserve"> </t>
    </r>
    <r>
      <rPr>
        <b/>
        <sz val="12"/>
        <rFont val="Arial"/>
        <family val="2"/>
      </rPr>
      <t>Experiencia especifica habilitante</t>
    </r>
    <r>
      <rPr>
        <sz val="12"/>
        <rFont val="Arial"/>
        <family val="2"/>
      </rPr>
      <t xml:space="preserve">: Esta expereincia la conforma los items 1 al 10. </t>
    </r>
    <r>
      <rPr>
        <b/>
        <sz val="12"/>
        <rFont val="Arial"/>
        <family val="2"/>
      </rPr>
      <t>Experiencia especifica adicional:</t>
    </r>
    <r>
      <rPr>
        <sz val="12"/>
        <rFont val="Arial"/>
        <family val="2"/>
      </rPr>
      <t xml:space="preserve"> Esta  experiencia la conforman los items 11 al 16  y el item 18.</t>
    </r>
  </si>
  <si>
    <t>Al menos haber participado como director de interventoría en dos (2) proyectos similares (Del ITEM 1 al Item 10 presenta el ITEM 6 y el ITEM 8 debidamente certificados)</t>
  </si>
  <si>
    <t>Esta certificación se valida como DIRECTOR DE INTERVENTORIA
(Participación proyecto No.4)
(Específica adicional)
Ponderable</t>
  </si>
  <si>
    <t>Esta certificación se valida como DIRECTOR DE PROYECTO
(Participación proyecto No.5)
(Específica Adicional)
Ponderable</t>
  </si>
  <si>
    <t>Esta certificación se valida como DIRECTOR DE PROYECTO
(Participación proyecto No.6)
(Específica Adicional)
Ponderable</t>
  </si>
  <si>
    <t>Esta certificación se valida como DIRECTOR DE INTERVENTORIA
(Participación proyecto No.7)
(Específica Adicional)
Ponderable</t>
  </si>
  <si>
    <t>EXPERIENCIA GENERAL 
ADICIONAL
(Ponderable)</t>
  </si>
  <si>
    <t>EXPERIENCIA ESPECÍFICA
ADICIONAL
(Ponderable)</t>
  </si>
  <si>
    <t>No se presenta certificación de conformidad con numeral 7.2. numeral 2. Cuando haya sido contratado por un contratista de una entidad estatal. No se anexa copia del acta de liquidación. Experiencia por validar.</t>
  </si>
  <si>
    <t>No se incluye dentro de la sumatoria de experiencia general habilitante de acuerdo a la Nota del proponente. (Adicional ponderable)</t>
  </si>
  <si>
    <t>No se incluye dentro de la sumatoria de experiencia general  habilitante de acuerdo a la Nota del proponente.(Adicional ponderable)</t>
  </si>
  <si>
    <t>Solo se valida por el periodo indicado en el acta de liquidación / 5 meses y 15 días + prorroga de 57 días 
(222 días)</t>
  </si>
  <si>
    <t>Se valida plazo establecido en acta de liquidación Cto 849 de 2026 (249 días)</t>
  </si>
  <si>
    <t>Se toman los 3 periodos relacionados en la certificación privada.</t>
  </si>
  <si>
    <t>COORDINADORA DE CALIDAD</t>
  </si>
  <si>
    <t>Esta certificación se valida como DIRECTOR DE INTERVENTORIA
(Participación proyecto No.3)
(Específica Adicional)
Ponderable
El palzo de ejecución total de 307 días es tomado del acta de liquidación del contrato 2685 de 2017.</t>
  </si>
  <si>
    <t>El palzo de ejecución total de 307 días es tomado del acta de liquidación del contrato 2685 de 2017.</t>
  </si>
  <si>
    <t>SUPERVISOR DE INTERVENTORIA</t>
  </si>
  <si>
    <t>CAS-OAJ-CMA-001-2025.</t>
  </si>
  <si>
    <t>CONSORCIO EMPRESARIAL 2017 / SECRETARIA DE EDUCACIÓN DEL DISTRITO CAPITAL  DE BOGOTÁ SED</t>
  </si>
  <si>
    <t>COOPERATIVA DE TRABAJO ASOCIADO PROAL</t>
  </si>
  <si>
    <t>DL ASSEST LIMITADA</t>
  </si>
  <si>
    <t>PROFESIONAL
DE ASISTENCIA TÉCNICA</t>
  </si>
  <si>
    <t>No se presenta certificación de conformidad con numeral 7.2. numeral 2. Cuando haya sido contratado por un contratista de una entidad estatal.
Se deben anexar actas de liquidación de los contratos principales entre Consorcio empresarial 2017 y la Secretaria de Educación de Bogotá. Experiencia específica por validar.</t>
  </si>
  <si>
    <t>No se presenta certificación de conformidad con numeral 7.2. numeral 2. Cuando haya sido contratado por un contratista de una entidad estatal.
Se deben anexar actas de liquidación de los contratos principales entre C&amp;M consultores y la Secretaria de Educación de Bogotá. Experiencia espécífica por validar.</t>
  </si>
  <si>
    <t>Se valida como expereincia específica por desarrollarse en el marco de un contrato de interventoría</t>
  </si>
  <si>
    <t>ANEXO DE EVALUACIÓN Y VERIFICACIÓN TÉCNICA DEFINITIVA - EDELMIRA SIERRA</t>
  </si>
  <si>
    <t>FECHA EVALUACIÓN PRELIMINAR:</t>
  </si>
  <si>
    <t>FECHA EVALUACIÓN DEFINITIVA:</t>
  </si>
  <si>
    <t>FECHA EVALUACION
PRELIMINAR:</t>
  </si>
  <si>
    <t>FECHA EVALUACIÓN
PRELIMINAR: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</si>
</sst>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164" formatCode="_(* #,##0.00_);_(* \(#,##0.00\);_(* &quot;-&quot;??_);_(@_)"/>
    <numFmt numFmtId="165" formatCode="[$-240A]d&quot; de &quot;mmmm&quot; de &quot;yyyy;@"/>
    <numFmt numFmtId="166" formatCode="dd/mm/yyyy;@"/>
    <numFmt numFmtId="167" formatCode="_(&quot;$&quot;* #,##0_);_(&quot;$&quot;* \(#,##0\);_(&quot;$&quot;* &quot;-&quot;_);_(@_)"/>
    <numFmt numFmtId="168" formatCode="0.0"/>
  </numFmts>
  <fonts count="22" x14ac:knownFonts="1">
    <font>
      <sz val="11"/>
      <color theme="1"/>
      <name val="Calibri"/>
      <family val="2"/>
      <scheme val="minor"/>
    </font>
    <font>
      <sz val="10"/>
      <name val="Arial"/>
      <family val="2"/>
    </font>
    <font>
      <b/>
      <sz val="10"/>
      <name val="Arial"/>
      <family val="2"/>
    </font>
    <font>
      <b/>
      <sz val="10"/>
      <color rgb="FFFFFF00"/>
      <name val="Arial"/>
      <family val="2"/>
    </font>
    <font>
      <sz val="12"/>
      <name val="Arial"/>
      <family val="2"/>
    </font>
    <font>
      <b/>
      <sz val="12"/>
      <name val="Arial"/>
      <family val="2"/>
    </font>
    <font>
      <b/>
      <sz val="12"/>
      <color rgb="FFFF0000"/>
      <name val="Arial"/>
      <family val="2"/>
    </font>
    <font>
      <sz val="12"/>
      <color rgb="FFFF0000"/>
      <name val="Arial"/>
      <family val="2"/>
    </font>
    <font>
      <sz val="11"/>
      <color theme="1"/>
      <name val="Calibri"/>
      <family val="2"/>
      <scheme val="minor"/>
    </font>
    <font>
      <sz val="10"/>
      <color theme="1"/>
      <name val="Arial"/>
      <family val="2"/>
    </font>
    <font>
      <sz val="10"/>
      <color rgb="FFFF0000"/>
      <name val="Arial"/>
      <family val="2"/>
    </font>
    <font>
      <sz val="10"/>
      <name val="Arial"/>
      <family val="2"/>
    </font>
    <font>
      <b/>
      <sz val="10"/>
      <color indexed="13"/>
      <name val="Arial"/>
      <family val="2"/>
    </font>
    <font>
      <sz val="9"/>
      <name val="Calibri"/>
      <family val="2"/>
    </font>
    <font>
      <b/>
      <sz val="10"/>
      <color indexed="10"/>
      <name val="Arial"/>
      <family val="2"/>
    </font>
    <font>
      <b/>
      <sz val="9"/>
      <color indexed="13"/>
      <name val="Calibri"/>
      <family val="2"/>
    </font>
    <font>
      <sz val="11"/>
      <name val="Arial"/>
      <family val="2"/>
    </font>
    <font>
      <b/>
      <sz val="11"/>
      <color rgb="FFFF0000"/>
      <name val="Arial"/>
      <family val="2"/>
    </font>
    <font>
      <b/>
      <sz val="10"/>
      <color rgb="FFC00000"/>
      <name val="Arial"/>
      <family val="2"/>
    </font>
    <font>
      <b/>
      <sz val="9"/>
      <name val="Arial"/>
      <family val="2"/>
    </font>
    <font>
      <b/>
      <sz val="8"/>
      <name val="Arial"/>
      <family val="2"/>
    </font>
    <font>
      <sz val="9"/>
      <name val="Arial"/>
      <family val="2"/>
    </font>
  </fonts>
  <fills count="5">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theme="9" tint="0.59999389629810485"/>
        <bgColor indexed="64"/>
      </patternFill>
    </fill>
  </fills>
  <borders count="4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s>
  <cellStyleXfs count="9">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11" fillId="0" borderId="0"/>
    <xf numFmtId="44" fontId="1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44" fontId="8" fillId="0" borderId="0" applyFont="0" applyFill="0" applyBorder="0" applyAlignment="0" applyProtection="0"/>
  </cellStyleXfs>
  <cellXfs count="579">
    <xf numFmtId="0" fontId="0" fillId="0" borderId="0" xfId="0"/>
    <xf numFmtId="0" fontId="1" fillId="0" borderId="0" xfId="3" applyAlignment="1">
      <alignment vertical="center"/>
    </xf>
    <xf numFmtId="0" fontId="1" fillId="0" borderId="1" xfId="3" applyBorder="1" applyAlignment="1">
      <alignment vertical="center"/>
    </xf>
    <xf numFmtId="0" fontId="1" fillId="0" borderId="0" xfId="3" applyAlignment="1">
      <alignment horizontal="center" vertical="center"/>
    </xf>
    <xf numFmtId="0" fontId="1" fillId="0" borderId="3" xfId="3" applyBorder="1" applyAlignment="1">
      <alignment vertical="center"/>
    </xf>
    <xf numFmtId="0" fontId="1" fillId="0" borderId="7" xfId="3" applyBorder="1" applyAlignment="1">
      <alignment vertical="center"/>
    </xf>
    <xf numFmtId="0" fontId="2" fillId="0" borderId="7" xfId="3" applyFont="1" applyBorder="1" applyAlignment="1">
      <alignment vertical="center"/>
    </xf>
    <xf numFmtId="0" fontId="1" fillId="0" borderId="8" xfId="3" applyBorder="1" applyAlignment="1">
      <alignment vertical="center"/>
    </xf>
    <xf numFmtId="0" fontId="2" fillId="0" borderId="8" xfId="3" applyFont="1" applyBorder="1" applyAlignment="1">
      <alignment vertical="center"/>
    </xf>
    <xf numFmtId="0" fontId="1" fillId="0" borderId="8" xfId="3" applyBorder="1" applyAlignment="1">
      <alignment horizontal="left" vertical="center"/>
    </xf>
    <xf numFmtId="0" fontId="2" fillId="0" borderId="8" xfId="3" applyFont="1" applyBorder="1" applyAlignment="1">
      <alignment horizontal="left" vertical="center"/>
    </xf>
    <xf numFmtId="14" fontId="1" fillId="0" borderId="8" xfId="3" applyNumberFormat="1" applyBorder="1" applyAlignment="1">
      <alignment horizontal="left" vertical="center"/>
    </xf>
    <xf numFmtId="2" fontId="1" fillId="0" borderId="0" xfId="3" applyNumberFormat="1" applyAlignment="1">
      <alignment horizontal="center" vertical="center"/>
    </xf>
    <xf numFmtId="14" fontId="1" fillId="0" borderId="0" xfId="3" applyNumberFormat="1" applyAlignment="1">
      <alignment vertical="center"/>
    </xf>
    <xf numFmtId="9" fontId="1" fillId="0" borderId="10" xfId="2" applyFont="1" applyFill="1" applyBorder="1" applyAlignment="1">
      <alignment horizontal="center" vertical="center" wrapText="1"/>
    </xf>
    <xf numFmtId="2" fontId="1" fillId="0" borderId="0" xfId="3" applyNumberFormat="1" applyAlignment="1">
      <alignment vertical="center"/>
    </xf>
    <xf numFmtId="0" fontId="1" fillId="0" borderId="5" xfId="3" applyBorder="1" applyAlignment="1">
      <alignment vertical="center"/>
    </xf>
    <xf numFmtId="0" fontId="1" fillId="0" borderId="13" xfId="3" applyBorder="1" applyAlignment="1">
      <alignment vertical="center"/>
    </xf>
    <xf numFmtId="49" fontId="2" fillId="0" borderId="0" xfId="3" applyNumberFormat="1" applyFont="1" applyAlignment="1">
      <alignment horizontal="center" vertical="center" wrapText="1"/>
    </xf>
    <xf numFmtId="0" fontId="2" fillId="0" borderId="7" xfId="3" applyFont="1" applyBorder="1" applyAlignment="1">
      <alignment horizontal="left" vertical="center"/>
    </xf>
    <xf numFmtId="9" fontId="1" fillId="0" borderId="10" xfId="2" applyFill="1" applyBorder="1" applyAlignment="1">
      <alignment horizontal="center" vertical="center" wrapText="1"/>
    </xf>
    <xf numFmtId="9" fontId="1" fillId="0" borderId="19" xfId="2" applyFont="1" applyFill="1" applyBorder="1" applyAlignment="1">
      <alignment horizontal="center" vertical="center" wrapText="1"/>
    </xf>
    <xf numFmtId="1" fontId="1" fillId="0" borderId="0" xfId="3" applyNumberFormat="1"/>
    <xf numFmtId="0" fontId="1" fillId="0" borderId="0" xfId="3"/>
    <xf numFmtId="0" fontId="1" fillId="0" borderId="4" xfId="3" applyBorder="1" applyAlignment="1">
      <alignment horizontal="center" vertical="center"/>
    </xf>
    <xf numFmtId="0" fontId="1" fillId="0" borderId="6" xfId="3" applyBorder="1" applyAlignment="1">
      <alignment horizontal="center" vertical="center"/>
    </xf>
    <xf numFmtId="0" fontId="1" fillId="0" borderId="14" xfId="3" applyBorder="1" applyAlignment="1">
      <alignment horizontal="center" vertical="center"/>
    </xf>
    <xf numFmtId="14" fontId="1" fillId="0" borderId="10" xfId="3" applyNumberFormat="1" applyFill="1" applyBorder="1" applyAlignment="1">
      <alignment horizontal="center" vertical="center" wrapText="1"/>
    </xf>
    <xf numFmtId="0" fontId="1" fillId="0" borderId="10" xfId="3" applyFill="1" applyBorder="1" applyAlignment="1">
      <alignment horizontal="center" vertical="center" wrapText="1"/>
    </xf>
    <xf numFmtId="165" fontId="1" fillId="0" borderId="10" xfId="3" applyNumberFormat="1" applyFill="1" applyBorder="1" applyAlignment="1">
      <alignment horizontal="justify" vertical="center" wrapText="1"/>
    </xf>
    <xf numFmtId="49" fontId="1" fillId="0" borderId="10" xfId="3" applyNumberFormat="1" applyFill="1" applyBorder="1" applyAlignment="1">
      <alignment horizontal="center" vertical="center" wrapText="1"/>
    </xf>
    <xf numFmtId="14" fontId="1" fillId="0" borderId="10" xfId="3" applyNumberFormat="1" applyFill="1" applyBorder="1" applyAlignment="1">
      <alignment vertical="center"/>
    </xf>
    <xf numFmtId="2" fontId="1" fillId="0" borderId="10" xfId="3" applyNumberFormat="1" applyFill="1" applyBorder="1" applyAlignment="1">
      <alignment horizontal="center" vertical="center"/>
    </xf>
    <xf numFmtId="0" fontId="1" fillId="0" borderId="10" xfId="3" applyFill="1" applyBorder="1" applyAlignment="1">
      <alignment horizontal="justify" vertical="center" wrapText="1"/>
    </xf>
    <xf numFmtId="2" fontId="1" fillId="0" borderId="10" xfId="3" applyNumberFormat="1" applyFill="1" applyBorder="1" applyAlignment="1">
      <alignment horizontal="center" vertical="center" wrapText="1"/>
    </xf>
    <xf numFmtId="49" fontId="1" fillId="0" borderId="19" xfId="3" applyNumberFormat="1" applyFill="1" applyBorder="1" applyAlignment="1">
      <alignment horizontal="center" vertical="center" wrapText="1"/>
    </xf>
    <xf numFmtId="14" fontId="1" fillId="0" borderId="19" xfId="3" applyNumberFormat="1" applyFill="1" applyBorder="1" applyAlignment="1">
      <alignment vertical="center"/>
    </xf>
    <xf numFmtId="2" fontId="1" fillId="0" borderId="19" xfId="3" applyNumberFormat="1" applyFill="1" applyBorder="1" applyAlignment="1">
      <alignment horizontal="center" vertical="center"/>
    </xf>
    <xf numFmtId="0" fontId="1" fillId="0" borderId="10" xfId="3" applyFill="1" applyBorder="1" applyAlignment="1" applyProtection="1">
      <alignment horizontal="center" vertical="center" wrapText="1"/>
      <protection locked="0"/>
    </xf>
    <xf numFmtId="166" fontId="1" fillId="0" borderId="10" xfId="3" applyNumberFormat="1" applyFill="1" applyBorder="1" applyAlignment="1">
      <alignment horizontal="center" vertical="center" wrapText="1"/>
    </xf>
    <xf numFmtId="14" fontId="1" fillId="0" borderId="10" xfId="3" applyNumberFormat="1" applyFill="1" applyBorder="1" applyAlignment="1">
      <alignment horizontal="center" vertical="center"/>
    </xf>
    <xf numFmtId="2" fontId="1" fillId="0" borderId="12" xfId="3" applyNumberFormat="1" applyFill="1" applyBorder="1" applyAlignment="1">
      <alignment horizontal="center" vertical="center"/>
    </xf>
    <xf numFmtId="164" fontId="1" fillId="0" borderId="12" xfId="1" applyFont="1" applyFill="1" applyBorder="1" applyAlignment="1">
      <alignment horizontal="center" vertical="center" wrapText="1"/>
    </xf>
    <xf numFmtId="0" fontId="1" fillId="0" borderId="12" xfId="3" applyFill="1" applyBorder="1" applyAlignment="1">
      <alignment horizontal="center" vertical="center"/>
    </xf>
    <xf numFmtId="0" fontId="1" fillId="0" borderId="12" xfId="3" applyFill="1" applyBorder="1" applyAlignment="1">
      <alignment horizontal="center" vertical="center" wrapText="1"/>
    </xf>
    <xf numFmtId="49" fontId="2" fillId="0" borderId="0" xfId="3" applyNumberFormat="1" applyFont="1" applyBorder="1" applyAlignment="1">
      <alignment horizontal="center" vertical="center" wrapText="1"/>
    </xf>
    <xf numFmtId="0" fontId="1" fillId="0" borderId="10" xfId="3" applyFont="1" applyBorder="1" applyAlignment="1">
      <alignment horizontal="center" vertical="center" wrapText="1"/>
    </xf>
    <xf numFmtId="0" fontId="1" fillId="0" borderId="12" xfId="3" applyFont="1" applyBorder="1" applyAlignment="1">
      <alignment horizontal="center" vertical="center" wrapText="1"/>
    </xf>
    <xf numFmtId="0" fontId="1" fillId="0" borderId="10" xfId="3" applyFont="1" applyBorder="1" applyAlignment="1">
      <alignment horizontal="justify" vertical="justify" wrapText="1"/>
    </xf>
    <xf numFmtId="9" fontId="1" fillId="0" borderId="10" xfId="3" applyNumberFormat="1" applyFont="1" applyBorder="1" applyAlignment="1">
      <alignment horizontal="center" vertical="center" wrapText="1"/>
    </xf>
    <xf numFmtId="0" fontId="1" fillId="0" borderId="0" xfId="3" applyNumberFormat="1" applyFont="1" applyBorder="1" applyAlignment="1">
      <alignment horizontal="center" vertical="center" wrapText="1"/>
    </xf>
    <xf numFmtId="0" fontId="1" fillId="0" borderId="0" xfId="3" applyBorder="1" applyAlignment="1">
      <alignment vertical="center"/>
    </xf>
    <xf numFmtId="0" fontId="2" fillId="0" borderId="0" xfId="3" applyFont="1" applyBorder="1" applyAlignment="1">
      <alignment horizontal="left" vertical="center"/>
    </xf>
    <xf numFmtId="0" fontId="1" fillId="0" borderId="0" xfId="3" applyBorder="1" applyAlignment="1">
      <alignment horizontal="left" vertical="center"/>
    </xf>
    <xf numFmtId="0" fontId="1" fillId="0" borderId="0" xfId="3" applyBorder="1" applyAlignment="1">
      <alignment horizontal="center" vertical="center"/>
    </xf>
    <xf numFmtId="0" fontId="2" fillId="0" borderId="0" xfId="3" applyFont="1" applyBorder="1" applyAlignment="1">
      <alignment vertical="center"/>
    </xf>
    <xf numFmtId="0" fontId="2" fillId="0" borderId="0" xfId="3" applyFont="1" applyBorder="1" applyAlignment="1">
      <alignment horizontal="left" vertical="center" wrapText="1"/>
    </xf>
    <xf numFmtId="0" fontId="2" fillId="0" borderId="0" xfId="3" applyFont="1" applyBorder="1" applyAlignment="1">
      <alignment vertical="center" wrapText="1"/>
    </xf>
    <xf numFmtId="0" fontId="1" fillId="0" borderId="2" xfId="3" applyBorder="1" applyAlignment="1">
      <alignment vertical="center"/>
    </xf>
    <xf numFmtId="0" fontId="1" fillId="0" borderId="0" xfId="3" applyBorder="1" applyAlignment="1">
      <alignment horizontal="justify" vertical="center" wrapText="1"/>
    </xf>
    <xf numFmtId="0" fontId="2" fillId="0" borderId="0" xfId="3" applyFont="1" applyBorder="1" applyAlignment="1">
      <alignment horizontal="center" vertical="center"/>
    </xf>
    <xf numFmtId="0" fontId="2" fillId="0" borderId="0" xfId="3" applyFont="1" applyBorder="1" applyAlignment="1">
      <alignment horizontal="centerContinuous" vertical="center"/>
    </xf>
    <xf numFmtId="0" fontId="4" fillId="0" borderId="6" xfId="3" applyFont="1" applyBorder="1" applyAlignment="1">
      <alignment horizontal="center" vertical="center"/>
    </xf>
    <xf numFmtId="0" fontId="1" fillId="0" borderId="9" xfId="3" applyFill="1" applyBorder="1" applyAlignment="1" applyProtection="1">
      <alignment horizontal="center" vertical="center" wrapText="1"/>
      <protection locked="0"/>
    </xf>
    <xf numFmtId="0" fontId="1" fillId="0" borderId="9" xfId="3" applyFill="1" applyBorder="1" applyAlignment="1">
      <alignment horizontal="center" vertical="center" wrapText="1"/>
    </xf>
    <xf numFmtId="0" fontId="1" fillId="0" borderId="11" xfId="3" applyBorder="1" applyAlignment="1">
      <alignment horizontal="center" vertical="center"/>
    </xf>
    <xf numFmtId="0" fontId="1" fillId="0" borderId="18" xfId="3" applyBorder="1" applyAlignment="1">
      <alignment horizontal="center" vertical="center"/>
    </xf>
    <xf numFmtId="0" fontId="1" fillId="0" borderId="0" xfId="3" applyBorder="1" applyAlignment="1">
      <alignment horizontal="left" vertical="center" wrapText="1"/>
    </xf>
    <xf numFmtId="0" fontId="2" fillId="0" borderId="0" xfId="3" applyFont="1" applyBorder="1" applyAlignment="1">
      <alignment horizontal="center" vertical="center"/>
    </xf>
    <xf numFmtId="0" fontId="2" fillId="0" borderId="0" xfId="3" applyFont="1" applyBorder="1" applyAlignment="1">
      <alignment horizontal="left" vertical="center"/>
    </xf>
    <xf numFmtId="0" fontId="1" fillId="0" borderId="0" xfId="3" applyBorder="1" applyAlignment="1">
      <alignment horizontal="left" vertical="center"/>
    </xf>
    <xf numFmtId="0" fontId="1" fillId="0" borderId="0" xfId="3" applyBorder="1" applyAlignment="1">
      <alignment horizontal="left" vertical="center"/>
    </xf>
    <xf numFmtId="0" fontId="2" fillId="0" borderId="0" xfId="3" applyFont="1" applyBorder="1" applyAlignment="1">
      <alignment horizontal="center" vertical="center"/>
    </xf>
    <xf numFmtId="0" fontId="2" fillId="0" borderId="6" xfId="3" applyFont="1" applyBorder="1" applyAlignment="1">
      <alignment horizontal="center" vertical="center"/>
    </xf>
    <xf numFmtId="0" fontId="4" fillId="0" borderId="6" xfId="3" applyFont="1" applyBorder="1" applyAlignment="1">
      <alignment horizontal="justify" vertical="justify"/>
    </xf>
    <xf numFmtId="0" fontId="1" fillId="0" borderId="1" xfId="3" applyBorder="1" applyAlignment="1">
      <alignment horizontal="center"/>
    </xf>
    <xf numFmtId="0" fontId="1" fillId="0" borderId="1" xfId="3" applyBorder="1"/>
    <xf numFmtId="0" fontId="1" fillId="0" borderId="0" xfId="3" applyBorder="1"/>
    <xf numFmtId="0" fontId="1" fillId="0" borderId="0" xfId="3" applyAlignment="1">
      <alignment horizontal="center"/>
    </xf>
    <xf numFmtId="0" fontId="1" fillId="0" borderId="3" xfId="3" applyBorder="1" applyAlignment="1">
      <alignment horizontal="center"/>
    </xf>
    <xf numFmtId="0" fontId="1" fillId="0" borderId="3" xfId="3" applyBorder="1"/>
    <xf numFmtId="0" fontId="1" fillId="0" borderId="4" xfId="3" applyBorder="1"/>
    <xf numFmtId="0" fontId="2" fillId="0" borderId="6" xfId="3" applyFont="1" applyBorder="1" applyAlignment="1">
      <alignment horizontal="center"/>
    </xf>
    <xf numFmtId="0" fontId="2" fillId="0" borderId="5" xfId="3" applyFont="1" applyBorder="1" applyAlignment="1">
      <alignment horizontal="left"/>
    </xf>
    <xf numFmtId="0" fontId="2" fillId="0" borderId="0" xfId="3" applyFont="1" applyBorder="1" applyAlignment="1">
      <alignment horizontal="left"/>
    </xf>
    <xf numFmtId="0" fontId="1" fillId="0" borderId="0" xfId="3" applyBorder="1" applyAlignment="1">
      <alignment horizontal="center"/>
    </xf>
    <xf numFmtId="0" fontId="1" fillId="0" borderId="6" xfId="3" applyBorder="1"/>
    <xf numFmtId="0" fontId="1" fillId="0" borderId="6" xfId="3" applyBorder="1" applyAlignment="1">
      <alignment vertical="center"/>
    </xf>
    <xf numFmtId="0" fontId="1" fillId="0" borderId="0" xfId="3" applyBorder="1" applyAlignment="1">
      <alignment horizontal="justify" vertical="justify" wrapText="1"/>
    </xf>
    <xf numFmtId="0" fontId="1" fillId="0" borderId="31" xfId="3" applyBorder="1"/>
    <xf numFmtId="0" fontId="1" fillId="0" borderId="0" xfId="3" applyAlignment="1">
      <alignment horizontal="center" vertical="top"/>
    </xf>
    <xf numFmtId="0" fontId="1" fillId="0" borderId="0" xfId="3" applyAlignment="1">
      <alignment vertical="top"/>
    </xf>
    <xf numFmtId="0" fontId="2" fillId="0" borderId="5" xfId="3" applyFont="1" applyBorder="1" applyAlignment="1">
      <alignment horizontal="left" vertical="center" wrapText="1"/>
    </xf>
    <xf numFmtId="0" fontId="2" fillId="0" borderId="8" xfId="3" applyFont="1" applyBorder="1" applyAlignment="1">
      <alignment horizontal="center" vertical="center"/>
    </xf>
    <xf numFmtId="0" fontId="2" fillId="0" borderId="5" xfId="3" applyFont="1" applyBorder="1"/>
    <xf numFmtId="0" fontId="2" fillId="0" borderId="0" xfId="3" applyFont="1" applyBorder="1"/>
    <xf numFmtId="0" fontId="2" fillId="0" borderId="0" xfId="3" applyFont="1" applyAlignment="1">
      <alignment horizontal="center"/>
    </xf>
    <xf numFmtId="0" fontId="1" fillId="0" borderId="32" xfId="3" applyFont="1" applyBorder="1" applyAlignment="1">
      <alignment horizontal="center" vertical="center" wrapText="1"/>
    </xf>
    <xf numFmtId="0" fontId="1" fillId="0" borderId="33" xfId="3" applyFont="1" applyBorder="1" applyAlignment="1">
      <alignment horizontal="center" vertical="center" wrapText="1"/>
    </xf>
    <xf numFmtId="0" fontId="1" fillId="0" borderId="33" xfId="3" applyBorder="1" applyAlignment="1" applyProtection="1">
      <alignment horizontal="center" vertical="center" wrapText="1"/>
      <protection locked="0"/>
    </xf>
    <xf numFmtId="0" fontId="1" fillId="0" borderId="33" xfId="3" applyFont="1" applyBorder="1" applyAlignment="1">
      <alignment horizontal="justify" vertical="justify" wrapText="1"/>
    </xf>
    <xf numFmtId="9" fontId="1" fillId="3" borderId="33" xfId="3" applyNumberFormat="1" applyFont="1" applyFill="1" applyBorder="1" applyAlignment="1">
      <alignment horizontal="center" vertical="center" wrapText="1"/>
    </xf>
    <xf numFmtId="166" fontId="1" fillId="0" borderId="33" xfId="3" applyNumberFormat="1" applyFill="1" applyBorder="1" applyAlignment="1">
      <alignment horizontal="center" vertical="center" wrapText="1"/>
    </xf>
    <xf numFmtId="14" fontId="1" fillId="0" borderId="33" xfId="3" applyNumberFormat="1" applyFill="1" applyBorder="1" applyAlignment="1">
      <alignment horizontal="center" vertical="center"/>
    </xf>
    <xf numFmtId="2" fontId="1" fillId="0" borderId="33" xfId="3" applyNumberFormat="1" applyFill="1" applyBorder="1" applyAlignment="1">
      <alignment horizontal="center" vertical="center"/>
    </xf>
    <xf numFmtId="0" fontId="1" fillId="0" borderId="0" xfId="3" applyFont="1" applyBorder="1" applyAlignment="1">
      <alignment horizontal="center" vertical="center" wrapText="1"/>
    </xf>
    <xf numFmtId="0" fontId="1" fillId="0" borderId="35" xfId="3" applyFont="1" applyBorder="1" applyAlignment="1">
      <alignment horizontal="center" vertical="center" wrapText="1"/>
    </xf>
    <xf numFmtId="0" fontId="1" fillId="0" borderId="36" xfId="3" applyBorder="1" applyAlignment="1">
      <alignment horizontal="justify" vertical="center" wrapText="1"/>
    </xf>
    <xf numFmtId="49" fontId="1" fillId="0" borderId="33" xfId="3" applyNumberFormat="1" applyBorder="1" applyAlignment="1">
      <alignment horizontal="center" vertical="center" wrapText="1"/>
    </xf>
    <xf numFmtId="9" fontId="1" fillId="0" borderId="33" xfId="2" applyFill="1" applyBorder="1" applyAlignment="1">
      <alignment horizontal="center" vertical="center" wrapText="1"/>
    </xf>
    <xf numFmtId="2" fontId="1" fillId="0" borderId="33" xfId="3" applyNumberFormat="1" applyBorder="1" applyAlignment="1">
      <alignment horizontal="center" vertical="center"/>
    </xf>
    <xf numFmtId="2" fontId="1" fillId="0" borderId="0" xfId="3" applyNumberFormat="1" applyBorder="1" applyAlignment="1">
      <alignment horizontal="center" vertical="center"/>
    </xf>
    <xf numFmtId="166" fontId="1" fillId="0" borderId="36" xfId="3" applyNumberFormat="1" applyFont="1" applyBorder="1" applyAlignment="1">
      <alignment horizontal="center" vertical="center" wrapText="1"/>
    </xf>
    <xf numFmtId="14" fontId="1" fillId="0" borderId="33" xfId="3" applyNumberFormat="1" applyBorder="1" applyAlignment="1">
      <alignment horizontal="center" vertical="center"/>
    </xf>
    <xf numFmtId="0" fontId="1" fillId="0" borderId="11" xfId="3" applyFont="1" applyBorder="1" applyAlignment="1">
      <alignment horizontal="center" vertical="center" wrapText="1"/>
    </xf>
    <xf numFmtId="0" fontId="1" fillId="0" borderId="9" xfId="3" applyFont="1" applyBorder="1" applyAlignment="1">
      <alignment horizontal="center" vertical="center" wrapText="1"/>
    </xf>
    <xf numFmtId="165" fontId="1" fillId="0" borderId="10" xfId="3" applyNumberFormat="1" applyFont="1" applyBorder="1" applyAlignment="1">
      <alignment horizontal="justify" vertical="center" wrapText="1"/>
    </xf>
    <xf numFmtId="1" fontId="1" fillId="0" borderId="10" xfId="3" quotePrefix="1" applyNumberFormat="1" applyFont="1" applyBorder="1" applyAlignment="1">
      <alignment horizontal="center" vertical="center" wrapText="1"/>
    </xf>
    <xf numFmtId="166" fontId="1" fillId="0" borderId="37" xfId="3" applyNumberFormat="1" applyFont="1" applyBorder="1" applyAlignment="1">
      <alignment horizontal="center" vertical="center" wrapText="1"/>
    </xf>
    <xf numFmtId="14" fontId="1" fillId="0" borderId="10" xfId="3" applyNumberFormat="1" applyBorder="1" applyAlignment="1">
      <alignment horizontal="center" vertical="center"/>
    </xf>
    <xf numFmtId="2" fontId="1" fillId="0" borderId="10" xfId="3" applyNumberFormat="1" applyBorder="1" applyAlignment="1">
      <alignment horizontal="center" vertical="center"/>
    </xf>
    <xf numFmtId="2" fontId="1" fillId="0" borderId="0" xfId="3" applyNumberFormat="1" applyAlignment="1">
      <alignment horizontal="center"/>
    </xf>
    <xf numFmtId="1" fontId="1" fillId="0" borderId="10" xfId="3" applyNumberFormat="1" applyFont="1" applyBorder="1" applyAlignment="1">
      <alignment horizontal="center" vertical="center" wrapText="1"/>
    </xf>
    <xf numFmtId="0" fontId="1" fillId="0" borderId="11" xfId="3" applyFont="1" applyFill="1" applyBorder="1" applyAlignment="1">
      <alignment horizontal="center" vertical="center" wrapText="1"/>
    </xf>
    <xf numFmtId="0" fontId="9" fillId="0" borderId="10" xfId="3" applyFont="1" applyFill="1" applyBorder="1" applyAlignment="1">
      <alignment horizontal="center" vertical="center" wrapText="1"/>
    </xf>
    <xf numFmtId="0" fontId="1" fillId="0" borderId="9" xfId="3" applyFont="1" applyFill="1" applyBorder="1" applyAlignment="1">
      <alignment horizontal="center" vertical="center" wrapText="1"/>
    </xf>
    <xf numFmtId="165" fontId="1" fillId="0" borderId="10" xfId="3" applyNumberFormat="1" applyFont="1" applyFill="1" applyBorder="1" applyAlignment="1">
      <alignment horizontal="justify" vertical="center" wrapText="1"/>
    </xf>
    <xf numFmtId="1" fontId="1" fillId="0" borderId="10" xfId="3" applyNumberFormat="1" applyFont="1" applyFill="1" applyBorder="1" applyAlignment="1">
      <alignment horizontal="center" vertical="center" wrapText="1"/>
    </xf>
    <xf numFmtId="166" fontId="1" fillId="0" borderId="37" xfId="3" applyNumberFormat="1" applyFont="1" applyFill="1" applyBorder="1" applyAlignment="1">
      <alignment horizontal="center" vertical="center" wrapText="1"/>
    </xf>
    <xf numFmtId="2" fontId="1" fillId="0" borderId="0" xfId="3" applyNumberFormat="1" applyAlignment="1">
      <alignment horizontal="right"/>
    </xf>
    <xf numFmtId="0" fontId="1" fillId="0" borderId="10" xfId="3" applyFont="1" applyFill="1" applyBorder="1" applyAlignment="1">
      <alignment horizontal="center" vertical="center" wrapText="1"/>
    </xf>
    <xf numFmtId="0" fontId="1" fillId="0" borderId="6" xfId="3" applyFill="1" applyBorder="1"/>
    <xf numFmtId="0" fontId="1" fillId="0" borderId="0" xfId="3" applyFill="1" applyAlignment="1">
      <alignment horizontal="center"/>
    </xf>
    <xf numFmtId="2" fontId="1" fillId="0" borderId="0" xfId="3" applyNumberFormat="1" applyFill="1" applyAlignment="1">
      <alignment horizontal="center"/>
    </xf>
    <xf numFmtId="0" fontId="1" fillId="0" borderId="0" xfId="3" applyFill="1"/>
    <xf numFmtId="2" fontId="1" fillId="0" borderId="0" xfId="3" applyNumberFormat="1" applyFill="1" applyAlignment="1">
      <alignment horizontal="right"/>
    </xf>
    <xf numFmtId="0" fontId="1" fillId="0" borderId="0" xfId="3" applyAlignment="1">
      <alignment horizontal="right"/>
    </xf>
    <xf numFmtId="9" fontId="1" fillId="0" borderId="10" xfId="2" applyBorder="1" applyAlignment="1">
      <alignment horizontal="center" vertical="center" wrapText="1"/>
    </xf>
    <xf numFmtId="2" fontId="10" fillId="0" borderId="0" xfId="3" applyNumberFormat="1" applyFont="1" applyAlignment="1">
      <alignment horizontal="center"/>
    </xf>
    <xf numFmtId="0" fontId="1" fillId="0" borderId="18" xfId="3" applyFont="1" applyBorder="1" applyAlignment="1">
      <alignment horizontal="center" vertical="center" wrapText="1"/>
    </xf>
    <xf numFmtId="0" fontId="1" fillId="0" borderId="27" xfId="3" applyFont="1" applyBorder="1" applyAlignment="1">
      <alignment horizontal="center" vertical="center" wrapText="1"/>
    </xf>
    <xf numFmtId="165" fontId="1" fillId="0" borderId="19" xfId="3" applyNumberFormat="1" applyFont="1" applyBorder="1" applyAlignment="1">
      <alignment horizontal="justify" vertical="center" wrapText="1"/>
    </xf>
    <xf numFmtId="1" fontId="1" fillId="0" borderId="19" xfId="3" applyNumberFormat="1" applyFont="1" applyBorder="1" applyAlignment="1">
      <alignment horizontal="center" vertical="center" wrapText="1"/>
    </xf>
    <xf numFmtId="9" fontId="1" fillId="0" borderId="19" xfId="2" applyBorder="1" applyAlignment="1">
      <alignment horizontal="center" vertical="center" wrapText="1"/>
    </xf>
    <xf numFmtId="166" fontId="1" fillId="0" borderId="24" xfId="3" applyNumberFormat="1" applyFont="1" applyBorder="1" applyAlignment="1">
      <alignment horizontal="center" vertical="center" wrapText="1"/>
    </xf>
    <xf numFmtId="14" fontId="1" fillId="0" borderId="19" xfId="3" applyNumberFormat="1" applyBorder="1" applyAlignment="1">
      <alignment horizontal="center" vertical="center"/>
    </xf>
    <xf numFmtId="2" fontId="1" fillId="0" borderId="19" xfId="3" applyNumberFormat="1" applyBorder="1" applyAlignment="1">
      <alignment horizontal="center" vertical="center"/>
    </xf>
    <xf numFmtId="0" fontId="1" fillId="0" borderId="5" xfId="3" applyBorder="1"/>
    <xf numFmtId="0" fontId="2" fillId="0" borderId="0" xfId="3" applyFont="1"/>
    <xf numFmtId="2" fontId="2" fillId="0" borderId="0" xfId="3" applyNumberFormat="1" applyFont="1" applyAlignment="1">
      <alignment horizontal="center"/>
    </xf>
    <xf numFmtId="0" fontId="1" fillId="0" borderId="5" xfId="3" applyBorder="1" applyAlignment="1">
      <alignment horizontal="left"/>
    </xf>
    <xf numFmtId="0" fontId="1" fillId="0" borderId="6" xfId="3" applyBorder="1" applyAlignment="1">
      <alignment horizontal="center"/>
    </xf>
    <xf numFmtId="0" fontId="1" fillId="0" borderId="0" xfId="3" applyAlignment="1">
      <alignment horizontal="center"/>
    </xf>
    <xf numFmtId="0" fontId="1" fillId="0" borderId="13" xfId="3" applyBorder="1"/>
    <xf numFmtId="0" fontId="1" fillId="0" borderId="14" xfId="3" applyBorder="1"/>
    <xf numFmtId="0" fontId="1" fillId="0" borderId="0" xfId="3" applyFont="1" applyFill="1"/>
    <xf numFmtId="0" fontId="1" fillId="0" borderId="0" xfId="3" applyFont="1" applyFill="1" applyAlignment="1">
      <alignment horizontal="center"/>
    </xf>
    <xf numFmtId="2" fontId="1" fillId="0" borderId="0" xfId="3" applyNumberFormat="1" applyFont="1" applyFill="1" applyAlignment="1">
      <alignment horizontal="center"/>
    </xf>
    <xf numFmtId="0" fontId="1" fillId="0" borderId="14" xfId="3" applyFont="1" applyFill="1" applyBorder="1"/>
    <xf numFmtId="0" fontId="1" fillId="0" borderId="1" xfId="3" applyFont="1" applyFill="1" applyBorder="1"/>
    <xf numFmtId="0" fontId="1" fillId="0" borderId="13" xfId="3" applyFont="1" applyFill="1" applyBorder="1"/>
    <xf numFmtId="0" fontId="1" fillId="0" borderId="6" xfId="3" applyFont="1" applyFill="1" applyBorder="1"/>
    <xf numFmtId="0" fontId="1" fillId="0" borderId="0" xfId="3" applyFont="1" applyFill="1" applyBorder="1"/>
    <xf numFmtId="0" fontId="1" fillId="0" borderId="5" xfId="3" applyFont="1" applyFill="1" applyBorder="1" applyAlignment="1">
      <alignment horizontal="left"/>
    </xf>
    <xf numFmtId="0" fontId="2" fillId="0" borderId="0" xfId="3" applyFont="1" applyFill="1" applyBorder="1"/>
    <xf numFmtId="0" fontId="2" fillId="0" borderId="5" xfId="3" applyFont="1" applyFill="1" applyBorder="1" applyAlignment="1">
      <alignment horizontal="left"/>
    </xf>
    <xf numFmtId="0" fontId="1" fillId="0" borderId="7" xfId="3" applyFont="1" applyFill="1" applyBorder="1"/>
    <xf numFmtId="2" fontId="2" fillId="0" borderId="0" xfId="3" applyNumberFormat="1" applyFont="1" applyFill="1" applyBorder="1" applyAlignment="1">
      <alignment horizontal="center"/>
    </xf>
    <xf numFmtId="0" fontId="1" fillId="0" borderId="5" xfId="3" applyFont="1" applyFill="1" applyBorder="1"/>
    <xf numFmtId="2" fontId="1" fillId="0" borderId="10" xfId="3" applyNumberFormat="1" applyFont="1" applyFill="1" applyBorder="1" applyAlignment="1">
      <alignment horizontal="center" vertical="center"/>
    </xf>
    <xf numFmtId="14" fontId="1" fillId="0" borderId="10" xfId="3" applyNumberFormat="1" applyFont="1" applyFill="1" applyBorder="1" applyAlignment="1">
      <alignment vertical="center"/>
    </xf>
    <xf numFmtId="166" fontId="1" fillId="0" borderId="37" xfId="4" applyNumberFormat="1" applyFont="1" applyFill="1" applyBorder="1" applyAlignment="1">
      <alignment horizontal="center" vertical="center" wrapText="1"/>
    </xf>
    <xf numFmtId="1" fontId="1" fillId="0" borderId="10" xfId="4" applyNumberFormat="1" applyFont="1" applyFill="1" applyBorder="1" applyAlignment="1">
      <alignment horizontal="center" vertical="center" wrapText="1"/>
    </xf>
    <xf numFmtId="165" fontId="1" fillId="0" borderId="10" xfId="4" applyNumberFormat="1" applyFont="1" applyFill="1" applyBorder="1" applyAlignment="1">
      <alignment horizontal="justify" vertical="center" wrapText="1"/>
    </xf>
    <xf numFmtId="0" fontId="1" fillId="0" borderId="10" xfId="4" applyFont="1" applyFill="1" applyBorder="1" applyAlignment="1">
      <alignment horizontal="center" vertical="center" wrapText="1"/>
    </xf>
    <xf numFmtId="0" fontId="1" fillId="0" borderId="9" xfId="4" applyFont="1" applyFill="1" applyBorder="1" applyAlignment="1">
      <alignment horizontal="center" vertical="center" wrapText="1"/>
    </xf>
    <xf numFmtId="0" fontId="1" fillId="0" borderId="11" xfId="4" applyFont="1" applyFill="1" applyBorder="1" applyAlignment="1">
      <alignment horizontal="center" vertical="center" wrapText="1"/>
    </xf>
    <xf numFmtId="2" fontId="1" fillId="0" borderId="0" xfId="3" applyNumberFormat="1" applyFont="1" applyFill="1" applyAlignment="1">
      <alignment horizontal="center" vertical="center"/>
    </xf>
    <xf numFmtId="1" fontId="9" fillId="0" borderId="10" xfId="4" applyNumberFormat="1" applyFont="1" applyFill="1" applyBorder="1" applyAlignment="1">
      <alignment horizontal="center" vertical="center" wrapText="1"/>
    </xf>
    <xf numFmtId="0" fontId="2" fillId="0" borderId="0" xfId="3" applyFont="1" applyFill="1" applyAlignment="1">
      <alignment horizontal="center"/>
    </xf>
    <xf numFmtId="1" fontId="1" fillId="0" borderId="10" xfId="4" quotePrefix="1" applyNumberFormat="1" applyFont="1" applyFill="1" applyBorder="1" applyAlignment="1">
      <alignment horizontal="center" vertical="center" wrapText="1"/>
    </xf>
    <xf numFmtId="0" fontId="2" fillId="0" borderId="7" xfId="3" applyFont="1" applyFill="1" applyBorder="1" applyAlignment="1">
      <alignment horizontal="centerContinuous" vertical="center"/>
    </xf>
    <xf numFmtId="0" fontId="2" fillId="0" borderId="0" xfId="3" applyFont="1" applyFill="1" applyBorder="1" applyAlignment="1">
      <alignment horizontal="centerContinuous" vertical="center"/>
    </xf>
    <xf numFmtId="0" fontId="2" fillId="0" borderId="5" xfId="3" applyFont="1" applyFill="1" applyBorder="1"/>
    <xf numFmtId="0" fontId="1" fillId="0" borderId="0" xfId="3" applyFont="1" applyFill="1" applyAlignment="1">
      <alignment vertical="center"/>
    </xf>
    <xf numFmtId="14" fontId="1" fillId="0" borderId="0" xfId="3" applyNumberFormat="1" applyBorder="1" applyAlignment="1">
      <alignment horizontal="left" vertical="center"/>
    </xf>
    <xf numFmtId="0" fontId="2" fillId="0" borderId="0" xfId="3" applyFont="1" applyFill="1" applyBorder="1" applyAlignment="1">
      <alignment horizontal="left" vertical="center"/>
    </xf>
    <xf numFmtId="0" fontId="2" fillId="0" borderId="0" xfId="3" applyFont="1" applyFill="1" applyBorder="1" applyAlignment="1">
      <alignment horizontal="left" vertical="center" wrapText="1"/>
    </xf>
    <xf numFmtId="0" fontId="2" fillId="0" borderId="5" xfId="3" applyFont="1" applyFill="1" applyBorder="1" applyAlignment="1">
      <alignment horizontal="left" vertical="center" wrapText="1"/>
    </xf>
    <xf numFmtId="0" fontId="1" fillId="0" borderId="0" xfId="3" applyFont="1" applyFill="1" applyAlignment="1">
      <alignment vertical="top"/>
    </xf>
    <xf numFmtId="0" fontId="1" fillId="0" borderId="0" xfId="3" applyFont="1" applyFill="1" applyAlignment="1">
      <alignment horizontal="center" vertical="top"/>
    </xf>
    <xf numFmtId="0" fontId="1" fillId="0" borderId="6" xfId="3" applyFont="1" applyFill="1" applyBorder="1" applyAlignment="1">
      <alignment vertical="center"/>
    </xf>
    <xf numFmtId="0" fontId="1" fillId="0" borderId="0" xfId="3" applyFont="1" applyFill="1" applyBorder="1" applyAlignment="1">
      <alignment vertical="center"/>
    </xf>
    <xf numFmtId="0" fontId="2" fillId="0" borderId="0" xfId="3" applyFont="1" applyFill="1" applyBorder="1" applyAlignment="1">
      <alignment horizontal="left" vertical="center"/>
    </xf>
    <xf numFmtId="0" fontId="2" fillId="0" borderId="5" xfId="3" applyFont="1" applyFill="1" applyBorder="1" applyAlignment="1">
      <alignment horizontal="left" vertical="center"/>
    </xf>
    <xf numFmtId="0" fontId="2" fillId="0" borderId="0" xfId="3" applyFont="1" applyFill="1" applyBorder="1" applyAlignment="1">
      <alignment vertical="center"/>
    </xf>
    <xf numFmtId="0" fontId="2" fillId="0" borderId="0" xfId="3" applyFont="1" applyFill="1" applyBorder="1" applyAlignment="1">
      <alignment horizontal="left"/>
    </xf>
    <xf numFmtId="0" fontId="2" fillId="0" borderId="6" xfId="3" applyFont="1" applyFill="1" applyBorder="1" applyAlignment="1">
      <alignment horizontal="center"/>
    </xf>
    <xf numFmtId="0" fontId="1" fillId="0" borderId="4" xfId="3" applyFont="1" applyFill="1" applyBorder="1"/>
    <xf numFmtId="0" fontId="1" fillId="0" borderId="3" xfId="3" applyFont="1" applyFill="1" applyBorder="1"/>
    <xf numFmtId="0" fontId="2" fillId="0" borderId="2" xfId="3" applyFont="1" applyFill="1" applyBorder="1" applyAlignment="1">
      <alignment horizontal="centerContinuous"/>
    </xf>
    <xf numFmtId="0" fontId="2" fillId="0" borderId="3" xfId="3" applyFont="1" applyFill="1" applyBorder="1" applyAlignment="1">
      <alignment horizontal="centerContinuous"/>
    </xf>
    <xf numFmtId="0" fontId="2" fillId="0" borderId="5" xfId="3" applyFont="1" applyFill="1" applyBorder="1" applyAlignment="1">
      <alignment horizontal="centerContinuous"/>
    </xf>
    <xf numFmtId="0" fontId="2" fillId="0" borderId="0" xfId="3" applyFont="1" applyFill="1" applyBorder="1" applyAlignment="1">
      <alignment horizontal="centerContinuous"/>
    </xf>
    <xf numFmtId="0" fontId="2" fillId="0" borderId="6" xfId="3" applyFont="1" applyFill="1" applyBorder="1" applyAlignment="1">
      <alignment horizontal="centerContinuous"/>
    </xf>
    <xf numFmtId="0" fontId="1" fillId="0" borderId="6" xfId="3" applyBorder="1" applyAlignment="1">
      <alignment horizontal="justify" vertical="justify" wrapText="1"/>
    </xf>
    <xf numFmtId="0" fontId="1" fillId="0" borderId="0" xfId="3" applyFont="1" applyFill="1" applyBorder="1" applyAlignment="1">
      <alignment vertical="top"/>
    </xf>
    <xf numFmtId="0" fontId="1" fillId="0" borderId="6" xfId="3" applyFont="1" applyFill="1" applyBorder="1" applyAlignment="1">
      <alignment vertical="top"/>
    </xf>
    <xf numFmtId="0" fontId="1" fillId="0" borderId="7" xfId="3" applyFont="1" applyFill="1" applyBorder="1" applyAlignment="1">
      <alignment horizontal="left" vertical="center"/>
    </xf>
    <xf numFmtId="0" fontId="1" fillId="0" borderId="8" xfId="3" applyFont="1" applyFill="1" applyBorder="1" applyAlignment="1">
      <alignment vertical="center"/>
    </xf>
    <xf numFmtId="0" fontId="1" fillId="0" borderId="8" xfId="3" applyFont="1" applyFill="1" applyBorder="1"/>
    <xf numFmtId="0" fontId="2" fillId="0" borderId="8" xfId="3" applyFont="1" applyFill="1" applyBorder="1" applyAlignment="1">
      <alignment vertical="center"/>
    </xf>
    <xf numFmtId="0" fontId="1" fillId="0" borderId="8" xfId="3" applyFont="1" applyFill="1" applyBorder="1" applyAlignment="1">
      <alignment horizontal="left" vertical="center"/>
    </xf>
    <xf numFmtId="0" fontId="2" fillId="0" borderId="8" xfId="3" applyFont="1" applyFill="1" applyBorder="1" applyAlignment="1">
      <alignment horizontal="left" vertical="center"/>
    </xf>
    <xf numFmtId="14" fontId="1" fillId="0" borderId="8" xfId="3" applyNumberFormat="1" applyFont="1" applyFill="1" applyBorder="1" applyAlignment="1">
      <alignment horizontal="left" vertical="center"/>
    </xf>
    <xf numFmtId="0" fontId="2" fillId="0" borderId="8" xfId="3" applyFont="1" applyFill="1" applyBorder="1" applyAlignment="1">
      <alignment horizontal="center" vertical="center"/>
    </xf>
    <xf numFmtId="49" fontId="2" fillId="0" borderId="10" xfId="4" applyNumberFormat="1" applyFont="1" applyFill="1" applyBorder="1" applyAlignment="1">
      <alignment horizontal="centerContinuous" vertical="center" wrapText="1"/>
    </xf>
    <xf numFmtId="49" fontId="2" fillId="0" borderId="0" xfId="4" applyNumberFormat="1" applyFont="1" applyFill="1" applyBorder="1" applyAlignment="1">
      <alignment horizontal="centerContinuous" vertical="center" wrapText="1"/>
    </xf>
    <xf numFmtId="0" fontId="1" fillId="0" borderId="10" xfId="4" applyNumberFormat="1" applyFont="1" applyFill="1" applyBorder="1" applyAlignment="1">
      <alignment horizontal="justify" vertical="center" wrapText="1"/>
    </xf>
    <xf numFmtId="0" fontId="1" fillId="0" borderId="0" xfId="3" applyFont="1" applyFill="1" applyAlignment="1">
      <alignment vertical="center" wrapText="1"/>
    </xf>
    <xf numFmtId="2" fontId="1" fillId="0" borderId="0" xfId="3" applyNumberFormat="1" applyFont="1" applyFill="1" applyAlignment="1">
      <alignment vertical="center"/>
    </xf>
    <xf numFmtId="0" fontId="2" fillId="0" borderId="10" xfId="3" applyFont="1" applyBorder="1" applyAlignment="1">
      <alignment horizontal="center" vertical="center"/>
    </xf>
    <xf numFmtId="0" fontId="12" fillId="0" borderId="0" xfId="3" applyFont="1" applyFill="1" applyAlignment="1">
      <alignment horizontal="center" vertical="center" wrapText="1"/>
    </xf>
    <xf numFmtId="0" fontId="1" fillId="0" borderId="7" xfId="3" applyFont="1" applyFill="1" applyBorder="1" applyAlignment="1">
      <alignment vertical="center"/>
    </xf>
    <xf numFmtId="0" fontId="2" fillId="0" borderId="7" xfId="3" applyFont="1" applyFill="1" applyBorder="1" applyAlignment="1">
      <alignment vertical="center"/>
    </xf>
    <xf numFmtId="0" fontId="2" fillId="0" borderId="0" xfId="4" applyFont="1" applyFill="1" applyBorder="1" applyAlignment="1">
      <alignment horizontal="center" vertical="center" wrapText="1"/>
    </xf>
    <xf numFmtId="0" fontId="2" fillId="0" borderId="0" xfId="3" applyFont="1" applyFill="1" applyAlignment="1">
      <alignment horizontal="center" vertical="center" wrapText="1"/>
    </xf>
    <xf numFmtId="0" fontId="1" fillId="0" borderId="32" xfId="4" applyFont="1" applyFill="1" applyBorder="1" applyAlignment="1">
      <alignment horizontal="center" vertical="center" wrapText="1"/>
    </xf>
    <xf numFmtId="9" fontId="1" fillId="0" borderId="33" xfId="3" applyNumberFormat="1" applyFont="1" applyBorder="1" applyAlignment="1">
      <alignment horizontal="center" vertical="center" wrapText="1"/>
    </xf>
    <xf numFmtId="0" fontId="13" fillId="0" borderId="0" xfId="3" applyFont="1" applyFill="1"/>
    <xf numFmtId="0" fontId="1" fillId="0" borderId="10" xfId="3" applyBorder="1" applyAlignment="1" applyProtection="1">
      <alignment horizontal="center" vertical="center" wrapText="1"/>
      <protection locked="0"/>
    </xf>
    <xf numFmtId="0" fontId="1" fillId="0" borderId="37" xfId="3" applyBorder="1" applyAlignment="1">
      <alignment horizontal="justify" vertical="center" wrapText="1"/>
    </xf>
    <xf numFmtId="49" fontId="1" fillId="0" borderId="10" xfId="3" applyNumberFormat="1" applyBorder="1" applyAlignment="1">
      <alignment horizontal="center" vertical="center" wrapText="1"/>
    </xf>
    <xf numFmtId="2" fontId="1" fillId="0" borderId="0" xfId="3" applyNumberFormat="1" applyFont="1" applyFill="1" applyBorder="1" applyAlignment="1">
      <alignment horizontal="center" vertical="center"/>
    </xf>
    <xf numFmtId="0" fontId="14" fillId="0" borderId="0" xfId="3" applyFont="1" applyFill="1" applyAlignment="1">
      <alignment horizontal="center" vertical="center" wrapText="1"/>
    </xf>
    <xf numFmtId="0" fontId="1" fillId="0" borderId="0" xfId="3" applyFont="1" applyFill="1" applyBorder="1" applyAlignment="1">
      <alignment horizontal="center" vertical="center"/>
    </xf>
    <xf numFmtId="164" fontId="1" fillId="0" borderId="0" xfId="1" applyFont="1" applyFill="1" applyAlignment="1">
      <alignment vertical="center"/>
    </xf>
    <xf numFmtId="0" fontId="1" fillId="0" borderId="10" xfId="4" applyFont="1" applyFill="1" applyBorder="1" applyAlignment="1">
      <alignment horizontal="justify" vertical="center" wrapText="1"/>
    </xf>
    <xf numFmtId="166" fontId="1" fillId="0" borderId="10" xfId="4" applyNumberFormat="1" applyFont="1" applyFill="1" applyBorder="1" applyAlignment="1">
      <alignment horizontal="center" vertical="center" wrapText="1"/>
    </xf>
    <xf numFmtId="0" fontId="13" fillId="0" borderId="0" xfId="3" applyFont="1" applyFill="1" applyBorder="1"/>
    <xf numFmtId="14" fontId="1" fillId="0" borderId="10" xfId="4" applyNumberFormat="1" applyFont="1" applyFill="1" applyBorder="1" applyAlignment="1">
      <alignment vertical="center"/>
    </xf>
    <xf numFmtId="164" fontId="13" fillId="0" borderId="0" xfId="1" applyFont="1" applyFill="1" applyAlignment="1">
      <alignment vertical="center"/>
    </xf>
    <xf numFmtId="0" fontId="15" fillId="0" borderId="0" xfId="3" applyFont="1" applyFill="1" applyAlignment="1">
      <alignment horizontal="center" vertical="center" wrapText="1"/>
    </xf>
    <xf numFmtId="2" fontId="1" fillId="0" borderId="0" xfId="3" applyNumberFormat="1" applyFont="1" applyFill="1"/>
    <xf numFmtId="0" fontId="2" fillId="0" borderId="0" xfId="3" applyFont="1" applyAlignment="1">
      <alignment horizontal="center"/>
    </xf>
    <xf numFmtId="0" fontId="2" fillId="0" borderId="0" xfId="3" applyFont="1" applyAlignment="1">
      <alignment horizontal="left"/>
    </xf>
    <xf numFmtId="0" fontId="2" fillId="0" borderId="0" xfId="3" applyFont="1" applyAlignment="1">
      <alignment vertical="center"/>
    </xf>
    <xf numFmtId="0" fontId="2" fillId="0" borderId="0" xfId="3" applyFont="1" applyAlignment="1">
      <alignment horizontal="left" vertical="center"/>
    </xf>
    <xf numFmtId="0" fontId="1" fillId="0" borderId="6" xfId="3" applyBorder="1" applyAlignment="1">
      <alignment horizontal="justify" vertical="center" wrapText="1"/>
    </xf>
    <xf numFmtId="0" fontId="2" fillId="0" borderId="0" xfId="3" applyFont="1" applyAlignment="1">
      <alignment horizontal="left" vertical="center" wrapText="1"/>
    </xf>
    <xf numFmtId="0" fontId="2" fillId="0" borderId="0" xfId="3" applyFont="1" applyAlignment="1">
      <alignment horizontal="centerContinuous" vertical="center"/>
    </xf>
    <xf numFmtId="0" fontId="1" fillId="0" borderId="32" xfId="3" applyBorder="1" applyAlignment="1" applyProtection="1">
      <alignment horizontal="center" vertical="center" wrapText="1"/>
      <protection locked="0"/>
    </xf>
    <xf numFmtId="0" fontId="1" fillId="0" borderId="35" xfId="4" applyFont="1" applyBorder="1" applyAlignment="1">
      <alignment horizontal="center" vertical="center" wrapText="1"/>
    </xf>
    <xf numFmtId="0" fontId="1" fillId="0" borderId="33" xfId="4" applyFont="1" applyBorder="1" applyAlignment="1">
      <alignment horizontal="center" vertical="center" wrapText="1"/>
    </xf>
    <xf numFmtId="165" fontId="1" fillId="0" borderId="33" xfId="4" applyNumberFormat="1" applyFont="1" applyBorder="1" applyAlignment="1">
      <alignment horizontal="justify" vertical="center" wrapText="1"/>
    </xf>
    <xf numFmtId="1" fontId="1" fillId="0" borderId="33" xfId="4" quotePrefix="1" applyNumberFormat="1" applyFont="1" applyBorder="1" applyAlignment="1">
      <alignment horizontal="center" vertical="center" wrapText="1"/>
    </xf>
    <xf numFmtId="9" fontId="1" fillId="0" borderId="33" xfId="2" applyFont="1" applyFill="1" applyBorder="1" applyAlignment="1">
      <alignment horizontal="center" vertical="center" wrapText="1"/>
    </xf>
    <xf numFmtId="166" fontId="1" fillId="0" borderId="36" xfId="4" applyNumberFormat="1" applyFont="1" applyBorder="1" applyAlignment="1">
      <alignment horizontal="center" vertical="center" wrapText="1"/>
    </xf>
    <xf numFmtId="14" fontId="1" fillId="0" borderId="33" xfId="3" applyNumberFormat="1" applyBorder="1" applyAlignment="1">
      <alignment vertical="center"/>
    </xf>
    <xf numFmtId="166" fontId="1" fillId="0" borderId="37" xfId="3" applyNumberFormat="1" applyFill="1" applyBorder="1" applyAlignment="1">
      <alignment horizontal="center" vertical="center" wrapText="1"/>
    </xf>
    <xf numFmtId="0" fontId="1" fillId="0" borderId="11" xfId="3" applyBorder="1" applyAlignment="1">
      <alignment horizontal="center" vertical="center" wrapText="1"/>
    </xf>
    <xf numFmtId="0" fontId="1" fillId="0" borderId="9" xfId="3" applyBorder="1" applyAlignment="1">
      <alignment horizontal="center" vertical="center" wrapText="1"/>
    </xf>
    <xf numFmtId="165" fontId="1" fillId="0" borderId="10" xfId="3" applyNumberFormat="1" applyBorder="1" applyAlignment="1">
      <alignment horizontal="justify" vertical="center" wrapText="1"/>
    </xf>
    <xf numFmtId="1" fontId="1" fillId="0" borderId="10" xfId="3" applyNumberFormat="1" applyBorder="1" applyAlignment="1">
      <alignment horizontal="center" vertical="center" wrapText="1"/>
    </xf>
    <xf numFmtId="166" fontId="1" fillId="0" borderId="37" xfId="3" applyNumberFormat="1" applyBorder="1" applyAlignment="1">
      <alignment horizontal="center" vertical="center" wrapText="1"/>
    </xf>
    <xf numFmtId="14" fontId="1" fillId="0" borderId="10" xfId="3" applyNumberFormat="1" applyBorder="1" applyAlignment="1">
      <alignment vertical="center"/>
    </xf>
    <xf numFmtId="0" fontId="1" fillId="0" borderId="32" xfId="3" applyBorder="1" applyAlignment="1">
      <alignment horizontal="center" vertical="center" wrapText="1"/>
    </xf>
    <xf numFmtId="0" fontId="1" fillId="0" borderId="35" xfId="3" applyBorder="1" applyAlignment="1">
      <alignment horizontal="center" vertical="center" wrapText="1"/>
    </xf>
    <xf numFmtId="165" fontId="1" fillId="0" borderId="33" xfId="3" applyNumberFormat="1" applyBorder="1" applyAlignment="1">
      <alignment horizontal="left" vertical="center" wrapText="1"/>
    </xf>
    <xf numFmtId="1" fontId="1" fillId="0" borderId="33" xfId="3" applyNumberFormat="1" applyBorder="1" applyAlignment="1">
      <alignment horizontal="center" vertical="center" wrapText="1"/>
    </xf>
    <xf numFmtId="9" fontId="1" fillId="0" borderId="33" xfId="2" applyBorder="1" applyAlignment="1">
      <alignment horizontal="center" vertical="center" wrapText="1"/>
    </xf>
    <xf numFmtId="0" fontId="1" fillId="0" borderId="6" xfId="3" applyBorder="1" applyAlignment="1">
      <alignment vertical="center" wrapText="1"/>
    </xf>
    <xf numFmtId="0" fontId="2" fillId="0" borderId="8" xfId="3" applyFont="1" applyFill="1" applyBorder="1" applyAlignment="1">
      <alignment horizontal="left" vertical="center"/>
    </xf>
    <xf numFmtId="0" fontId="1" fillId="0" borderId="33" xfId="4" applyFont="1" applyFill="1" applyBorder="1" applyAlignment="1" applyProtection="1">
      <alignment horizontal="center" vertical="center" wrapText="1"/>
      <protection locked="0"/>
    </xf>
    <xf numFmtId="49" fontId="1" fillId="0" borderId="0" xfId="4" applyNumberFormat="1" applyFont="1" applyFill="1" applyBorder="1" applyAlignment="1">
      <alignment horizontal="center" vertical="center" wrapText="1"/>
    </xf>
    <xf numFmtId="0" fontId="1" fillId="0" borderId="10" xfId="4" applyFont="1" applyFill="1" applyBorder="1" applyAlignment="1" applyProtection="1">
      <alignment horizontal="center" vertical="center" wrapText="1"/>
      <protection locked="0"/>
    </xf>
    <xf numFmtId="0" fontId="1" fillId="0" borderId="35" xfId="4" applyFont="1" applyFill="1" applyBorder="1" applyAlignment="1" applyProtection="1">
      <alignment horizontal="center" vertical="center" wrapText="1"/>
      <protection locked="0"/>
    </xf>
    <xf numFmtId="0" fontId="1" fillId="0" borderId="35" xfId="4" applyFont="1" applyFill="1" applyBorder="1" applyAlignment="1">
      <alignment horizontal="center" vertical="center" wrapText="1"/>
    </xf>
    <xf numFmtId="165" fontId="1" fillId="0" borderId="33" xfId="4" applyNumberFormat="1" applyFont="1" applyFill="1" applyBorder="1" applyAlignment="1">
      <alignment horizontal="justify" vertical="center" wrapText="1"/>
    </xf>
    <xf numFmtId="1" fontId="1" fillId="0" borderId="33" xfId="4" quotePrefix="1" applyNumberFormat="1" applyFont="1" applyFill="1" applyBorder="1" applyAlignment="1">
      <alignment horizontal="center" vertical="center" wrapText="1"/>
    </xf>
    <xf numFmtId="166" fontId="1" fillId="0" borderId="36" xfId="4" applyNumberFormat="1" applyFont="1" applyFill="1" applyBorder="1" applyAlignment="1">
      <alignment horizontal="center" vertical="center" wrapText="1"/>
    </xf>
    <xf numFmtId="14" fontId="1" fillId="0" borderId="33" xfId="3" applyNumberFormat="1" applyFont="1" applyFill="1" applyBorder="1" applyAlignment="1">
      <alignment vertical="center"/>
    </xf>
    <xf numFmtId="2" fontId="1" fillId="0" borderId="33" xfId="3" applyNumberFormat="1" applyFont="1" applyFill="1" applyBorder="1" applyAlignment="1">
      <alignment horizontal="center" vertical="center"/>
    </xf>
    <xf numFmtId="0" fontId="1" fillId="0" borderId="32" xfId="4" applyFont="1" applyFill="1" applyBorder="1" applyAlignment="1" applyProtection="1">
      <alignment horizontal="center" vertical="center" wrapText="1"/>
      <protection locked="0"/>
    </xf>
    <xf numFmtId="2" fontId="1" fillId="0" borderId="0" xfId="5" applyNumberFormat="1" applyFont="1" applyFill="1" applyBorder="1" applyAlignment="1">
      <alignment horizontal="center" vertical="center" wrapText="1"/>
    </xf>
    <xf numFmtId="0" fontId="1" fillId="0" borderId="11" xfId="4" applyFont="1" applyFill="1" applyBorder="1" applyAlignment="1" applyProtection="1">
      <alignment horizontal="center" vertical="center" wrapText="1"/>
      <protection locked="0"/>
    </xf>
    <xf numFmtId="0" fontId="1" fillId="0" borderId="36" xfId="3" applyBorder="1" applyAlignment="1">
      <alignment horizontal="justify" vertical="justify" wrapText="1"/>
    </xf>
    <xf numFmtId="0" fontId="1" fillId="0" borderId="1" xfId="3" applyFont="1" applyFill="1" applyBorder="1" applyAlignment="1">
      <alignment vertical="center"/>
    </xf>
    <xf numFmtId="0" fontId="2" fillId="0" borderId="2" xfId="3" applyFont="1" applyFill="1" applyBorder="1" applyAlignment="1">
      <alignment horizontal="centerContinuous" vertical="center"/>
    </xf>
    <xf numFmtId="0" fontId="2" fillId="0" borderId="3" xfId="3" applyFont="1" applyFill="1" applyBorder="1" applyAlignment="1">
      <alignment horizontal="centerContinuous" vertical="center"/>
    </xf>
    <xf numFmtId="0" fontId="1" fillId="0" borderId="3" xfId="3" applyFont="1" applyFill="1" applyBorder="1" applyAlignment="1">
      <alignment vertical="center"/>
    </xf>
    <xf numFmtId="0" fontId="1" fillId="0" borderId="4" xfId="3" applyFont="1" applyFill="1" applyBorder="1" applyAlignment="1">
      <alignment vertical="center"/>
    </xf>
    <xf numFmtId="0" fontId="2" fillId="0" borderId="5" xfId="3" applyFont="1" applyFill="1" applyBorder="1" applyAlignment="1">
      <alignment horizontal="centerContinuous" vertical="center"/>
    </xf>
    <xf numFmtId="0" fontId="2" fillId="0" borderId="6" xfId="3" applyFont="1" applyFill="1" applyBorder="1" applyAlignment="1">
      <alignment horizontal="centerContinuous" vertical="center"/>
    </xf>
    <xf numFmtId="0" fontId="2" fillId="0" borderId="5" xfId="3" applyFont="1" applyFill="1" applyBorder="1" applyAlignment="1">
      <alignment vertical="center"/>
    </xf>
    <xf numFmtId="0" fontId="1" fillId="0" borderId="5" xfId="3" applyFont="1" applyFill="1" applyBorder="1" applyAlignment="1">
      <alignment horizontal="left" vertical="center"/>
    </xf>
    <xf numFmtId="0" fontId="1" fillId="0" borderId="0" xfId="3" applyFont="1" applyFill="1" applyBorder="1" applyAlignment="1">
      <alignment horizontal="left" vertical="center"/>
    </xf>
    <xf numFmtId="0" fontId="2" fillId="0" borderId="35" xfId="3" applyFont="1" applyFill="1" applyBorder="1" applyAlignment="1" applyProtection="1">
      <alignment horizontal="center" vertical="center" wrapText="1"/>
      <protection locked="0"/>
    </xf>
    <xf numFmtId="0" fontId="1" fillId="0" borderId="33" xfId="3" applyFont="1" applyFill="1" applyBorder="1" applyAlignment="1">
      <alignment horizontal="justify" vertical="justify" wrapText="1"/>
    </xf>
    <xf numFmtId="166" fontId="1" fillId="0" borderId="37" xfId="0" applyNumberFormat="1" applyFont="1" applyFill="1" applyBorder="1" applyAlignment="1">
      <alignment horizontal="center" vertical="center" wrapText="1"/>
    </xf>
    <xf numFmtId="0" fontId="1" fillId="0" borderId="10" xfId="3" applyNumberFormat="1" applyFont="1" applyFill="1" applyBorder="1" applyAlignment="1">
      <alignment horizontal="justify" vertical="center" wrapText="1"/>
    </xf>
    <xf numFmtId="1" fontId="1" fillId="0" borderId="10" xfId="3" quotePrefix="1" applyNumberFormat="1" applyFont="1" applyFill="1" applyBorder="1" applyAlignment="1">
      <alignment horizontal="center" vertical="center" wrapText="1"/>
    </xf>
    <xf numFmtId="0" fontId="1" fillId="0" borderId="5" xfId="3" applyFont="1" applyFill="1" applyBorder="1" applyAlignment="1">
      <alignment vertical="center"/>
    </xf>
    <xf numFmtId="0" fontId="1" fillId="0" borderId="6" xfId="3" applyFont="1" applyFill="1" applyBorder="1" applyAlignment="1">
      <alignment horizontal="left" vertical="center"/>
    </xf>
    <xf numFmtId="0" fontId="1" fillId="0" borderId="13" xfId="3" applyFont="1" applyFill="1" applyBorder="1" applyAlignment="1">
      <alignment vertical="center"/>
    </xf>
    <xf numFmtId="0" fontId="1" fillId="0" borderId="14" xfId="3" applyFont="1" applyFill="1" applyBorder="1" applyAlignment="1">
      <alignment vertical="center"/>
    </xf>
    <xf numFmtId="0" fontId="2" fillId="0" borderId="0" xfId="3" applyFont="1" applyFill="1" applyBorder="1" applyAlignment="1">
      <alignment horizontal="center" vertical="center"/>
    </xf>
    <xf numFmtId="0" fontId="1" fillId="0" borderId="6" xfId="3" applyFont="1" applyFill="1" applyBorder="1" applyAlignment="1">
      <alignment horizontal="left" vertical="center" wrapText="1"/>
    </xf>
    <xf numFmtId="0" fontId="1" fillId="0" borderId="0" xfId="3" applyFont="1" applyFill="1" applyBorder="1" applyAlignment="1">
      <alignment horizontal="justify" vertical="center" wrapText="1"/>
    </xf>
    <xf numFmtId="0" fontId="2" fillId="0" borderId="0" xfId="3" applyFont="1" applyFill="1" applyBorder="1" applyAlignment="1">
      <alignment horizontal="center" vertical="center" wrapText="1"/>
    </xf>
    <xf numFmtId="0" fontId="1" fillId="0" borderId="32" xfId="3" applyFont="1" applyFill="1" applyBorder="1" applyAlignment="1">
      <alignment horizontal="center" vertical="center" wrapText="1"/>
    </xf>
    <xf numFmtId="0" fontId="1" fillId="0" borderId="33" xfId="3" applyFont="1" applyBorder="1" applyAlignment="1">
      <alignment horizontal="justify" vertical="center" wrapText="1"/>
    </xf>
    <xf numFmtId="166" fontId="1" fillId="0" borderId="36" xfId="3" applyNumberFormat="1" applyFill="1" applyBorder="1" applyAlignment="1">
      <alignment horizontal="center" vertical="center" wrapText="1"/>
    </xf>
    <xf numFmtId="0" fontId="1" fillId="0" borderId="35" xfId="3" applyFont="1" applyFill="1" applyBorder="1" applyAlignment="1">
      <alignment horizontal="center" vertical="center" wrapText="1"/>
    </xf>
    <xf numFmtId="0" fontId="1" fillId="0" borderId="33" xfId="3" applyFont="1" applyFill="1" applyBorder="1" applyAlignment="1">
      <alignment horizontal="center" vertical="center" wrapText="1"/>
    </xf>
    <xf numFmtId="0" fontId="1" fillId="0" borderId="33" xfId="3" applyNumberFormat="1" applyFont="1" applyFill="1" applyBorder="1" applyAlignment="1">
      <alignment horizontal="justify" vertical="center" wrapText="1"/>
    </xf>
    <xf numFmtId="1" fontId="1" fillId="0" borderId="33" xfId="3" quotePrefix="1" applyNumberFormat="1" applyFont="1" applyFill="1" applyBorder="1" applyAlignment="1">
      <alignment horizontal="center" vertical="center" wrapText="1"/>
    </xf>
    <xf numFmtId="166" fontId="1" fillId="0" borderId="36" xfId="3" applyNumberFormat="1" applyFont="1" applyFill="1" applyBorder="1" applyAlignment="1">
      <alignment horizontal="center" vertical="center" wrapText="1"/>
    </xf>
    <xf numFmtId="168" fontId="1" fillId="0" borderId="10" xfId="3" applyNumberFormat="1" applyFont="1" applyFill="1" applyBorder="1" applyAlignment="1">
      <alignment horizontal="center" vertical="center"/>
    </xf>
    <xf numFmtId="2" fontId="12" fillId="0" borderId="0" xfId="3" applyNumberFormat="1" applyFont="1" applyFill="1" applyBorder="1" applyAlignment="1">
      <alignment horizontal="center" vertical="center" wrapText="1"/>
    </xf>
    <xf numFmtId="1" fontId="1" fillId="0" borderId="0" xfId="3" applyNumberFormat="1" applyFont="1" applyFill="1" applyAlignment="1">
      <alignment vertical="center"/>
    </xf>
    <xf numFmtId="0" fontId="1" fillId="0" borderId="10" xfId="3" applyBorder="1" applyAlignment="1">
      <alignment horizontal="center" vertical="center"/>
    </xf>
    <xf numFmtId="0" fontId="4" fillId="0" borderId="0" xfId="3" applyFont="1" applyBorder="1" applyAlignment="1">
      <alignment horizontal="center" vertical="center"/>
    </xf>
    <xf numFmtId="1" fontId="1" fillId="0" borderId="0" xfId="3" applyNumberFormat="1" applyBorder="1"/>
    <xf numFmtId="0" fontId="3" fillId="0" borderId="0" xfId="3" applyFont="1" applyBorder="1" applyAlignment="1">
      <alignment vertical="center"/>
    </xf>
    <xf numFmtId="0" fontId="3" fillId="0" borderId="0" xfId="3" applyFont="1" applyBorder="1" applyAlignment="1">
      <alignment vertical="center" wrapText="1"/>
    </xf>
    <xf numFmtId="0" fontId="1" fillId="2" borderId="0" xfId="3" applyFill="1" applyBorder="1" applyAlignment="1">
      <alignment vertical="center"/>
    </xf>
    <xf numFmtId="2" fontId="1" fillId="0" borderId="0" xfId="3" applyNumberFormat="1" applyBorder="1" applyAlignment="1">
      <alignment vertical="center"/>
    </xf>
    <xf numFmtId="0" fontId="2" fillId="4" borderId="10" xfId="3" applyFont="1" applyFill="1" applyBorder="1" applyAlignment="1">
      <alignment horizontal="center" vertical="center"/>
    </xf>
    <xf numFmtId="0" fontId="2" fillId="4" borderId="10" xfId="3" applyFont="1" applyFill="1" applyBorder="1" applyAlignment="1">
      <alignment horizontal="center" vertical="center" wrapText="1"/>
    </xf>
    <xf numFmtId="0" fontId="1" fillId="0" borderId="27" xfId="3" applyFill="1" applyBorder="1" applyAlignment="1">
      <alignment horizontal="center" vertical="center" wrapText="1"/>
    </xf>
    <xf numFmtId="0" fontId="1" fillId="0" borderId="19" xfId="3" applyFill="1" applyBorder="1" applyAlignment="1">
      <alignment horizontal="center" vertical="center" wrapText="1"/>
    </xf>
    <xf numFmtId="165" fontId="1" fillId="0" borderId="19" xfId="3" applyNumberFormat="1" applyFill="1" applyBorder="1" applyAlignment="1">
      <alignment horizontal="justify" vertical="center" wrapText="1"/>
    </xf>
    <xf numFmtId="9" fontId="1" fillId="0" borderId="0" xfId="2" applyFont="1" applyFill="1" applyBorder="1" applyAlignment="1">
      <alignment horizontal="center" vertical="center" wrapText="1"/>
    </xf>
    <xf numFmtId="2" fontId="1" fillId="0" borderId="0" xfId="3" applyNumberFormat="1" applyFill="1" applyBorder="1" applyAlignment="1">
      <alignment horizontal="center" vertical="center"/>
    </xf>
    <xf numFmtId="0" fontId="1" fillId="0" borderId="3" xfId="3" applyBorder="1" applyAlignment="1">
      <alignment horizontal="center" vertical="center"/>
    </xf>
    <xf numFmtId="0" fontId="1" fillId="0" borderId="3" xfId="3" applyFill="1" applyBorder="1" applyAlignment="1">
      <alignment horizontal="center" vertical="center" wrapText="1"/>
    </xf>
    <xf numFmtId="165" fontId="1" fillId="0" borderId="3" xfId="3" applyNumberFormat="1" applyFill="1" applyBorder="1" applyAlignment="1">
      <alignment horizontal="justify" vertical="center" wrapText="1"/>
    </xf>
    <xf numFmtId="49" fontId="1" fillId="0" borderId="3" xfId="3" applyNumberFormat="1" applyFill="1" applyBorder="1" applyAlignment="1">
      <alignment horizontal="center" vertical="center" wrapText="1"/>
    </xf>
    <xf numFmtId="9" fontId="1" fillId="0" borderId="3" xfId="2" applyFont="1" applyFill="1" applyBorder="1" applyAlignment="1">
      <alignment horizontal="center" vertical="center" wrapText="1"/>
    </xf>
    <xf numFmtId="2" fontId="1" fillId="0" borderId="3" xfId="3" applyNumberFormat="1" applyFill="1" applyBorder="1" applyAlignment="1">
      <alignment horizontal="center" vertical="center"/>
    </xf>
    <xf numFmtId="14" fontId="1" fillId="0" borderId="28" xfId="3" applyNumberFormat="1" applyFill="1" applyBorder="1" applyAlignment="1">
      <alignment vertical="center"/>
    </xf>
    <xf numFmtId="2" fontId="1" fillId="0" borderId="28" xfId="3" applyNumberFormat="1" applyFill="1" applyBorder="1" applyAlignment="1">
      <alignment horizontal="center" vertical="center"/>
    </xf>
    <xf numFmtId="2" fontId="1" fillId="0" borderId="25" xfId="3" applyNumberFormat="1" applyFill="1" applyBorder="1" applyAlignment="1">
      <alignment horizontal="center" vertical="center"/>
    </xf>
    <xf numFmtId="2" fontId="1" fillId="0" borderId="21" xfId="3" applyNumberFormat="1" applyBorder="1" applyAlignment="1">
      <alignment horizontal="center" vertical="center"/>
    </xf>
    <xf numFmtId="0" fontId="2" fillId="4" borderId="21" xfId="3" applyFont="1" applyFill="1" applyBorder="1" applyAlignment="1">
      <alignment horizontal="center" vertical="center" wrapText="1"/>
    </xf>
    <xf numFmtId="0" fontId="2" fillId="4" borderId="0" xfId="3" applyFont="1" applyFill="1" applyBorder="1" applyAlignment="1">
      <alignment vertical="center"/>
    </xf>
    <xf numFmtId="0" fontId="2" fillId="4" borderId="0" xfId="3" applyFont="1" applyFill="1" applyBorder="1" applyAlignment="1">
      <alignment horizontal="center" vertical="center"/>
    </xf>
    <xf numFmtId="2" fontId="1" fillId="0" borderId="12" xfId="3" applyNumberFormat="1" applyFill="1" applyBorder="1" applyAlignment="1">
      <alignment horizontal="center" vertical="center" wrapText="1"/>
    </xf>
    <xf numFmtId="0" fontId="2" fillId="4" borderId="10" xfId="4" applyFont="1" applyFill="1" applyBorder="1" applyAlignment="1">
      <alignment horizontal="center" vertical="center" wrapText="1"/>
    </xf>
    <xf numFmtId="164" fontId="2" fillId="0" borderId="4" xfId="1" applyFont="1" applyFill="1" applyBorder="1" applyAlignment="1">
      <alignment horizontal="center" vertical="center"/>
    </xf>
    <xf numFmtId="0" fontId="2" fillId="4" borderId="6" xfId="3" applyFont="1" applyFill="1" applyBorder="1" applyAlignment="1">
      <alignment vertical="center"/>
    </xf>
    <xf numFmtId="0" fontId="2" fillId="4" borderId="37" xfId="4" applyFont="1" applyFill="1" applyBorder="1" applyAlignment="1">
      <alignment horizontal="centerContinuous" vertical="center" wrapText="1"/>
    </xf>
    <xf numFmtId="0" fontId="2" fillId="4" borderId="9" xfId="4" applyFont="1" applyFill="1" applyBorder="1" applyAlignment="1">
      <alignment horizontal="centerContinuous" vertical="center" wrapText="1"/>
    </xf>
    <xf numFmtId="0" fontId="2" fillId="4" borderId="6" xfId="3" applyFont="1" applyFill="1" applyBorder="1" applyAlignment="1">
      <alignment horizontal="center" vertical="center"/>
    </xf>
    <xf numFmtId="0" fontId="1" fillId="0" borderId="12" xfId="1" applyNumberFormat="1" applyFont="1" applyFill="1" applyBorder="1" applyAlignment="1">
      <alignment horizontal="center" vertical="center" wrapText="1"/>
    </xf>
    <xf numFmtId="0" fontId="1" fillId="0" borderId="5" xfId="4" applyFont="1" applyFill="1" applyBorder="1" applyAlignment="1">
      <alignment horizontal="center" vertical="center" wrapText="1"/>
    </xf>
    <xf numFmtId="0" fontId="1" fillId="0" borderId="0" xfId="4" applyFont="1" applyFill="1" applyBorder="1" applyAlignment="1">
      <alignment horizontal="center" vertical="center" wrapText="1"/>
    </xf>
    <xf numFmtId="0" fontId="1" fillId="0" borderId="0" xfId="4" applyNumberFormat="1" applyFont="1" applyFill="1" applyBorder="1" applyAlignment="1">
      <alignment horizontal="justify" vertical="center" wrapText="1"/>
    </xf>
    <xf numFmtId="1" fontId="1" fillId="0" borderId="0" xfId="4" applyNumberFormat="1" applyFont="1" applyFill="1" applyBorder="1" applyAlignment="1">
      <alignment horizontal="center" vertical="center" wrapText="1"/>
    </xf>
    <xf numFmtId="166" fontId="1" fillId="0" borderId="0" xfId="4" applyNumberFormat="1" applyFont="1" applyFill="1" applyBorder="1" applyAlignment="1">
      <alignment horizontal="center" vertical="center" wrapText="1"/>
    </xf>
    <xf numFmtId="14" fontId="1" fillId="0" borderId="0" xfId="3" applyNumberFormat="1" applyFont="1" applyFill="1" applyBorder="1" applyAlignment="1">
      <alignment vertical="center"/>
    </xf>
    <xf numFmtId="164" fontId="2" fillId="0" borderId="6" xfId="1" applyFont="1" applyFill="1" applyBorder="1" applyAlignment="1">
      <alignment horizontal="center" vertical="center"/>
    </xf>
    <xf numFmtId="0" fontId="1" fillId="0" borderId="6" xfId="1" applyNumberFormat="1" applyFont="1" applyFill="1" applyBorder="1" applyAlignment="1">
      <alignment horizontal="center" vertical="center" wrapText="1"/>
    </xf>
    <xf numFmtId="0" fontId="18" fillId="0" borderId="10" xfId="3" applyFont="1" applyBorder="1" applyAlignment="1">
      <alignment horizontal="center" vertical="center"/>
    </xf>
    <xf numFmtId="0" fontId="2" fillId="4" borderId="23" xfId="4" applyFont="1" applyFill="1" applyBorder="1" applyAlignment="1">
      <alignment horizontal="centerContinuous" vertical="center" wrapText="1"/>
    </xf>
    <xf numFmtId="0" fontId="2" fillId="4" borderId="26" xfId="4" applyFont="1" applyFill="1" applyBorder="1" applyAlignment="1">
      <alignment horizontal="centerContinuous" vertical="center" wrapText="1"/>
    </xf>
    <xf numFmtId="0" fontId="2" fillId="4" borderId="19" xfId="4" applyFont="1" applyFill="1" applyBorder="1" applyAlignment="1">
      <alignment horizontal="center" vertical="center" wrapText="1"/>
    </xf>
    <xf numFmtId="0" fontId="2" fillId="4" borderId="19" xfId="3" applyFont="1" applyFill="1" applyBorder="1" applyAlignment="1">
      <alignment horizontal="center" vertical="center" wrapText="1"/>
    </xf>
    <xf numFmtId="0" fontId="2" fillId="0" borderId="1" xfId="3" applyFont="1" applyFill="1" applyBorder="1" applyAlignment="1">
      <alignment horizontal="centerContinuous" vertical="center"/>
    </xf>
    <xf numFmtId="2" fontId="1" fillId="0" borderId="38" xfId="3" applyNumberFormat="1" applyFill="1" applyBorder="1" applyAlignment="1">
      <alignment horizontal="center" vertical="center" wrapText="1"/>
    </xf>
    <xf numFmtId="0" fontId="18" fillId="0" borderId="4" xfId="3" applyFont="1" applyFill="1" applyBorder="1" applyAlignment="1">
      <alignment horizontal="center"/>
    </xf>
    <xf numFmtId="0" fontId="2" fillId="0" borderId="13" xfId="3" applyFont="1" applyFill="1" applyBorder="1"/>
    <xf numFmtId="0" fontId="2" fillId="0" borderId="1" xfId="3" applyFont="1" applyFill="1" applyBorder="1"/>
    <xf numFmtId="0" fontId="1" fillId="0" borderId="0" xfId="3" applyBorder="1" applyAlignment="1"/>
    <xf numFmtId="0" fontId="1" fillId="0" borderId="6" xfId="3" applyBorder="1" applyAlignment="1"/>
    <xf numFmtId="0" fontId="2" fillId="4" borderId="37" xfId="3" applyFont="1" applyFill="1" applyBorder="1" applyAlignment="1">
      <alignment horizontal="centerContinuous" vertical="center" wrapText="1"/>
    </xf>
    <xf numFmtId="0" fontId="2" fillId="4" borderId="9" xfId="3" applyFont="1" applyFill="1" applyBorder="1" applyAlignment="1">
      <alignment horizontal="centerContinuous" vertical="center" wrapText="1"/>
    </xf>
    <xf numFmtId="0" fontId="2" fillId="4" borderId="41" xfId="3" applyFont="1" applyFill="1" applyBorder="1" applyAlignment="1" applyProtection="1">
      <alignment horizontal="centerContinuous" vertical="center" wrapText="1"/>
      <protection locked="0"/>
    </xf>
    <xf numFmtId="0" fontId="2" fillId="4" borderId="23" xfId="3" applyFont="1" applyFill="1" applyBorder="1" applyAlignment="1">
      <alignment horizontal="centerContinuous" vertical="center" wrapText="1"/>
    </xf>
    <xf numFmtId="0" fontId="2" fillId="4" borderId="26" xfId="3" applyFont="1" applyFill="1" applyBorder="1" applyAlignment="1">
      <alignment horizontal="centerContinuous" vertical="center" wrapText="1"/>
    </xf>
    <xf numFmtId="0" fontId="2" fillId="4" borderId="43" xfId="3" applyFont="1" applyFill="1" applyBorder="1" applyAlignment="1" applyProtection="1">
      <alignment horizontal="centerContinuous" vertical="center" wrapText="1"/>
      <protection locked="0"/>
    </xf>
    <xf numFmtId="2" fontId="1" fillId="0" borderId="46" xfId="3" applyNumberFormat="1" applyFill="1" applyBorder="1" applyAlignment="1">
      <alignment horizontal="center" vertical="center"/>
    </xf>
    <xf numFmtId="0" fontId="1" fillId="0" borderId="18" xfId="3" applyFont="1" applyFill="1" applyBorder="1" applyAlignment="1">
      <alignment horizontal="center" vertical="center" wrapText="1"/>
    </xf>
    <xf numFmtId="0" fontId="1" fillId="0" borderId="19" xfId="3" applyFont="1" applyFill="1" applyBorder="1" applyAlignment="1">
      <alignment horizontal="center" vertical="center" wrapText="1"/>
    </xf>
    <xf numFmtId="0" fontId="1" fillId="0" borderId="19" xfId="3" applyNumberFormat="1" applyFont="1" applyFill="1" applyBorder="1" applyAlignment="1">
      <alignment horizontal="justify" vertical="center" wrapText="1"/>
    </xf>
    <xf numFmtId="1" fontId="1" fillId="0" borderId="19" xfId="3" quotePrefix="1" applyNumberFormat="1" applyFont="1" applyFill="1" applyBorder="1" applyAlignment="1">
      <alignment horizontal="center" vertical="center" wrapText="1"/>
    </xf>
    <xf numFmtId="166" fontId="1" fillId="0" borderId="24" xfId="3" applyNumberFormat="1" applyFont="1" applyFill="1" applyBorder="1" applyAlignment="1">
      <alignment horizontal="center" vertical="center" wrapText="1"/>
    </xf>
    <xf numFmtId="14" fontId="1" fillId="0" borderId="19" xfId="3" applyNumberFormat="1" applyFont="1" applyFill="1" applyBorder="1" applyAlignment="1">
      <alignment vertical="center"/>
    </xf>
    <xf numFmtId="2" fontId="1" fillId="0" borderId="19" xfId="3" applyNumberFormat="1" applyFont="1" applyFill="1" applyBorder="1" applyAlignment="1">
      <alignment horizontal="center" vertical="center"/>
    </xf>
    <xf numFmtId="2" fontId="1" fillId="0" borderId="20" xfId="3" applyNumberFormat="1" applyFill="1" applyBorder="1" applyAlignment="1">
      <alignment horizontal="center" vertical="center" wrapText="1"/>
    </xf>
    <xf numFmtId="0" fontId="2" fillId="0" borderId="0" xfId="3" applyFont="1" applyBorder="1" applyAlignment="1">
      <alignment horizontal="center" vertical="center"/>
    </xf>
    <xf numFmtId="2" fontId="1" fillId="0" borderId="12" xfId="3" applyNumberFormat="1" applyFill="1" applyBorder="1" applyAlignment="1">
      <alignment horizontal="left" vertical="center" wrapText="1"/>
    </xf>
    <xf numFmtId="0" fontId="4" fillId="0" borderId="0" xfId="3" applyFont="1" applyBorder="1" applyAlignment="1">
      <alignment horizontal="justify" vertical="justify"/>
    </xf>
    <xf numFmtId="0" fontId="1" fillId="0" borderId="0" xfId="3" applyBorder="1" applyAlignment="1">
      <alignment horizontal="left" vertical="center"/>
    </xf>
    <xf numFmtId="0" fontId="2" fillId="0" borderId="0" xfId="3" applyFont="1" applyBorder="1" applyAlignment="1">
      <alignment horizontal="center" vertical="center"/>
    </xf>
    <xf numFmtId="0" fontId="4" fillId="0" borderId="0" xfId="3" applyFont="1" applyBorder="1" applyAlignment="1">
      <alignment horizontal="left" vertical="center" wrapText="1"/>
    </xf>
    <xf numFmtId="0" fontId="2" fillId="4" borderId="21" xfId="3" applyFont="1" applyFill="1" applyBorder="1" applyAlignment="1">
      <alignment horizontal="center" vertical="center"/>
    </xf>
    <xf numFmtId="0" fontId="17" fillId="0" borderId="0" xfId="3" applyFont="1" applyBorder="1" applyAlignment="1">
      <alignment horizontal="left" vertical="center" wrapText="1"/>
    </xf>
    <xf numFmtId="0" fontId="1" fillId="0" borderId="0" xfId="3" applyBorder="1" applyAlignment="1">
      <alignment horizontal="justify" vertical="center" wrapText="1"/>
    </xf>
    <xf numFmtId="164" fontId="2" fillId="0" borderId="3" xfId="1" applyFont="1" applyFill="1" applyBorder="1" applyAlignment="1">
      <alignment horizontal="center" vertical="center"/>
    </xf>
    <xf numFmtId="0" fontId="2" fillId="0" borderId="4" xfId="3" applyFont="1" applyFill="1" applyBorder="1" applyAlignment="1">
      <alignment horizontal="center"/>
    </xf>
    <xf numFmtId="0" fontId="21" fillId="0" borderId="12" xfId="1" applyNumberFormat="1" applyFont="1" applyFill="1" applyBorder="1" applyAlignment="1">
      <alignment horizontal="left" vertical="center" wrapText="1"/>
    </xf>
    <xf numFmtId="0" fontId="2" fillId="0" borderId="0" xfId="3" applyFont="1" applyAlignment="1">
      <alignment horizontal="center"/>
    </xf>
    <xf numFmtId="0" fontId="1" fillId="3" borderId="15" xfId="3" applyFill="1" applyBorder="1" applyAlignment="1">
      <alignment horizontal="center" vertical="center"/>
    </xf>
    <xf numFmtId="0" fontId="1" fillId="3" borderId="26" xfId="3" applyFill="1" applyBorder="1" applyAlignment="1" applyProtection="1">
      <alignment horizontal="center" vertical="center" wrapText="1"/>
      <protection locked="0"/>
    </xf>
    <xf numFmtId="0" fontId="1" fillId="3" borderId="16" xfId="3" applyFill="1" applyBorder="1" applyAlignment="1" applyProtection="1">
      <alignment horizontal="center" vertical="center" wrapText="1"/>
      <protection locked="0"/>
    </xf>
    <xf numFmtId="0" fontId="1" fillId="3" borderId="16" xfId="3" applyFill="1" applyBorder="1" applyAlignment="1">
      <alignment horizontal="justify" vertical="center" wrapText="1"/>
    </xf>
    <xf numFmtId="0" fontId="1" fillId="3" borderId="16" xfId="3" applyFill="1" applyBorder="1" applyAlignment="1">
      <alignment horizontal="center" vertical="center" wrapText="1"/>
    </xf>
    <xf numFmtId="9" fontId="1" fillId="3" borderId="16" xfId="3" applyNumberFormat="1" applyFill="1" applyBorder="1" applyAlignment="1">
      <alignment horizontal="center" vertical="center" wrapText="1"/>
    </xf>
    <xf numFmtId="166" fontId="1" fillId="3" borderId="16" xfId="3" applyNumberFormat="1" applyFill="1" applyBorder="1" applyAlignment="1">
      <alignment horizontal="center" vertical="center" wrapText="1"/>
    </xf>
    <xf numFmtId="14" fontId="1" fillId="3" borderId="16" xfId="3" applyNumberFormat="1" applyFill="1" applyBorder="1" applyAlignment="1">
      <alignment horizontal="center" vertical="center"/>
    </xf>
    <xf numFmtId="2" fontId="1" fillId="0" borderId="37" xfId="3" applyNumberFormat="1" applyFill="1" applyBorder="1" applyAlignment="1">
      <alignment horizontal="center" vertical="center"/>
    </xf>
    <xf numFmtId="2" fontId="1" fillId="0" borderId="21" xfId="3" applyNumberFormat="1" applyFill="1" applyBorder="1" applyAlignment="1">
      <alignment horizontal="center" vertical="center"/>
    </xf>
    <xf numFmtId="0" fontId="16" fillId="0" borderId="0" xfId="3" applyFont="1" applyFill="1" applyBorder="1" applyAlignment="1">
      <alignment horizontal="left" vertical="center" wrapText="1"/>
    </xf>
    <xf numFmtId="0" fontId="10" fillId="0" borderId="12" xfId="3" applyFont="1" applyFill="1" applyBorder="1" applyAlignment="1">
      <alignment horizontal="left" vertical="center" wrapText="1"/>
    </xf>
    <xf numFmtId="0" fontId="2" fillId="0" borderId="0" xfId="3" applyFont="1" applyAlignment="1">
      <alignment horizontal="center"/>
    </xf>
    <xf numFmtId="0" fontId="1" fillId="3" borderId="15" xfId="3" applyFill="1" applyBorder="1" applyAlignment="1">
      <alignment horizontal="center" vertical="center" wrapText="1"/>
    </xf>
    <xf numFmtId="0" fontId="2" fillId="3" borderId="16" xfId="3" applyFont="1" applyFill="1" applyBorder="1" applyAlignment="1" applyProtection="1">
      <alignment horizontal="center" vertical="center" wrapText="1"/>
      <protection locked="0"/>
    </xf>
    <xf numFmtId="14" fontId="1" fillId="0" borderId="0" xfId="3" applyNumberFormat="1" applyFont="1" applyFill="1" applyBorder="1" applyAlignment="1">
      <alignment horizontal="left" vertical="center"/>
    </xf>
    <xf numFmtId="49" fontId="2" fillId="0" borderId="0" xfId="4" applyNumberFormat="1" applyFont="1" applyFill="1" applyBorder="1" applyAlignment="1">
      <alignment horizontal="center" vertical="center" wrapText="1"/>
    </xf>
    <xf numFmtId="14" fontId="1" fillId="0" borderId="0" xfId="3" applyNumberFormat="1" applyAlignment="1">
      <alignment horizontal="left" vertical="center"/>
    </xf>
    <xf numFmtId="0" fontId="2" fillId="0" borderId="5" xfId="3" applyFont="1" applyBorder="1" applyAlignment="1">
      <alignment horizontal="left" vertical="center" wrapText="1"/>
    </xf>
    <xf numFmtId="0" fontId="2" fillId="4" borderId="0" xfId="3" applyFont="1" applyFill="1" applyBorder="1" applyAlignment="1">
      <alignment horizontal="center" vertical="center" wrapText="1"/>
    </xf>
    <xf numFmtId="0" fontId="19" fillId="4" borderId="0" xfId="3" applyFont="1" applyFill="1" applyBorder="1" applyAlignment="1">
      <alignment horizontal="center" vertical="center" wrapText="1"/>
    </xf>
    <xf numFmtId="0" fontId="2" fillId="0" borderId="0" xfId="3" applyFont="1" applyBorder="1" applyAlignment="1">
      <alignment horizontal="right" vertical="center"/>
    </xf>
    <xf numFmtId="14" fontId="1" fillId="0" borderId="0" xfId="3" applyNumberFormat="1" applyBorder="1" applyAlignment="1">
      <alignment vertical="center"/>
    </xf>
    <xf numFmtId="0" fontId="19" fillId="0" borderId="5" xfId="3" applyFont="1" applyFill="1" applyBorder="1" applyAlignment="1">
      <alignment horizontal="left" vertical="center" wrapText="1"/>
    </xf>
    <xf numFmtId="0" fontId="4" fillId="0" borderId="0" xfId="3" applyFont="1" applyBorder="1" applyAlignment="1">
      <alignment horizontal="left" vertical="center" wrapText="1"/>
    </xf>
    <xf numFmtId="0" fontId="2" fillId="4" borderId="45" xfId="3" applyFont="1" applyFill="1" applyBorder="1" applyAlignment="1">
      <alignment horizontal="center" vertical="center"/>
    </xf>
    <xf numFmtId="0" fontId="2" fillId="4" borderId="21" xfId="3" applyFont="1" applyFill="1" applyBorder="1" applyAlignment="1">
      <alignment horizontal="center" vertical="center"/>
    </xf>
    <xf numFmtId="14" fontId="2" fillId="4" borderId="29" xfId="3" applyNumberFormat="1" applyFont="1" applyFill="1" applyBorder="1" applyAlignment="1">
      <alignment horizontal="center" vertical="center" wrapText="1"/>
    </xf>
    <xf numFmtId="14" fontId="2" fillId="4" borderId="22" xfId="3" applyNumberFormat="1" applyFont="1" applyFill="1" applyBorder="1" applyAlignment="1">
      <alignment horizontal="center" vertical="center"/>
    </xf>
    <xf numFmtId="14" fontId="2" fillId="4" borderId="30" xfId="3" applyNumberFormat="1" applyFont="1" applyFill="1" applyBorder="1" applyAlignment="1">
      <alignment horizontal="center" vertical="center"/>
    </xf>
    <xf numFmtId="0" fontId="16" fillId="4" borderId="29" xfId="3" applyFont="1" applyFill="1" applyBorder="1" applyAlignment="1">
      <alignment horizontal="left" vertical="center" wrapText="1"/>
    </xf>
    <xf numFmtId="0" fontId="16" fillId="4" borderId="22" xfId="3" applyFont="1" applyFill="1" applyBorder="1" applyAlignment="1">
      <alignment horizontal="left" vertical="center" wrapText="1"/>
    </xf>
    <xf numFmtId="0" fontId="16" fillId="4" borderId="30" xfId="3" applyFont="1" applyFill="1" applyBorder="1" applyAlignment="1">
      <alignment horizontal="left" vertical="center" wrapText="1"/>
    </xf>
    <xf numFmtId="0" fontId="17" fillId="0" borderId="0" xfId="3" applyFont="1" applyBorder="1" applyAlignment="1">
      <alignment horizontal="left" vertical="center" wrapText="1"/>
    </xf>
    <xf numFmtId="49" fontId="2" fillId="0" borderId="9" xfId="3" applyNumberFormat="1" applyFont="1" applyBorder="1" applyAlignment="1">
      <alignment horizontal="center" vertical="center" wrapText="1"/>
    </xf>
    <xf numFmtId="49" fontId="2" fillId="0" borderId="10" xfId="3" applyNumberFormat="1" applyFont="1" applyBorder="1" applyAlignment="1">
      <alignment horizontal="center" vertical="center" wrapText="1"/>
    </xf>
    <xf numFmtId="0" fontId="2" fillId="4" borderId="26" xfId="3" applyFont="1" applyFill="1" applyBorder="1" applyAlignment="1" applyProtection="1">
      <alignment horizontal="center" vertical="center" wrapText="1"/>
      <protection locked="0"/>
    </xf>
    <xf numFmtId="0" fontId="2" fillId="4" borderId="9" xfId="3" applyFont="1" applyFill="1" applyBorder="1" applyAlignment="1" applyProtection="1">
      <alignment horizontal="center" vertical="center" wrapText="1"/>
      <protection locked="0"/>
    </xf>
    <xf numFmtId="0" fontId="2" fillId="4" borderId="16" xfId="3" applyFont="1" applyFill="1" applyBorder="1" applyAlignment="1" applyProtection="1">
      <alignment horizontal="center" vertical="center" wrapText="1"/>
      <protection locked="0"/>
    </xf>
    <xf numFmtId="0" fontId="2" fillId="4" borderId="10" xfId="3" applyFont="1" applyFill="1" applyBorder="1" applyAlignment="1" applyProtection="1">
      <alignment horizontal="center" vertical="center" wrapText="1"/>
      <protection locked="0"/>
    </xf>
    <xf numFmtId="0" fontId="2" fillId="4" borderId="16" xfId="3" applyFont="1" applyFill="1" applyBorder="1" applyAlignment="1">
      <alignment horizontal="center" vertical="center" wrapText="1"/>
    </xf>
    <xf numFmtId="0" fontId="2" fillId="4" borderId="10" xfId="3" applyFont="1" applyFill="1" applyBorder="1" applyAlignment="1">
      <alignment horizontal="center" vertical="center" wrapText="1"/>
    </xf>
    <xf numFmtId="0" fontId="2" fillId="0" borderId="0" xfId="3" applyFont="1" applyBorder="1" applyAlignment="1">
      <alignment horizontal="center" vertical="center"/>
    </xf>
    <xf numFmtId="0" fontId="2" fillId="4" borderId="17" xfId="3" applyFont="1" applyFill="1" applyBorder="1" applyAlignment="1">
      <alignment horizontal="center" vertical="center" wrapText="1"/>
    </xf>
    <xf numFmtId="0" fontId="2" fillId="4" borderId="12" xfId="3" applyFont="1" applyFill="1" applyBorder="1" applyAlignment="1">
      <alignment horizontal="center" vertical="center" wrapText="1"/>
    </xf>
    <xf numFmtId="0" fontId="2" fillId="0" borderId="3" xfId="3" applyFont="1" applyBorder="1" applyAlignment="1">
      <alignment horizontal="center" vertical="center"/>
    </xf>
    <xf numFmtId="0" fontId="2" fillId="4" borderId="0" xfId="3" applyFont="1" applyFill="1" applyBorder="1" applyAlignment="1">
      <alignment horizontal="center" vertical="center"/>
    </xf>
    <xf numFmtId="0" fontId="2" fillId="4" borderId="6" xfId="3" applyFont="1" applyFill="1" applyBorder="1" applyAlignment="1">
      <alignment horizontal="center" vertical="center"/>
    </xf>
    <xf numFmtId="0" fontId="1" fillId="0" borderId="0" xfId="3" applyBorder="1" applyAlignment="1">
      <alignment horizontal="center" vertical="center" wrapText="1"/>
    </xf>
    <xf numFmtId="0" fontId="1" fillId="0" borderId="6" xfId="3" applyBorder="1" applyAlignment="1">
      <alignment horizontal="center" vertical="center" wrapText="1"/>
    </xf>
    <xf numFmtId="0" fontId="1" fillId="4" borderId="15" xfId="3" applyFill="1" applyBorder="1" applyAlignment="1">
      <alignment horizontal="center" vertical="center"/>
    </xf>
    <xf numFmtId="0" fontId="1" fillId="4" borderId="11" xfId="3" applyFill="1" applyBorder="1" applyAlignment="1">
      <alignment horizontal="center" vertical="center"/>
    </xf>
    <xf numFmtId="0" fontId="4" fillId="0" borderId="0" xfId="3" applyFont="1" applyBorder="1" applyAlignment="1">
      <alignment horizontal="justify" vertical="justify"/>
    </xf>
    <xf numFmtId="0" fontId="2" fillId="4" borderId="23" xfId="3" applyFont="1" applyFill="1" applyBorder="1" applyAlignment="1">
      <alignment horizontal="center" vertical="center" wrapText="1"/>
    </xf>
    <xf numFmtId="0" fontId="2" fillId="4" borderId="37" xfId="3" applyFont="1" applyFill="1" applyBorder="1" applyAlignment="1">
      <alignment horizontal="center" vertical="center" wrapText="1"/>
    </xf>
    <xf numFmtId="0" fontId="2" fillId="4" borderId="10" xfId="3" applyFont="1" applyFill="1" applyBorder="1" applyAlignment="1">
      <alignment horizontal="center" vertical="center"/>
    </xf>
    <xf numFmtId="0" fontId="1" fillId="0" borderId="0" xfId="3" applyBorder="1" applyAlignment="1">
      <alignment horizontal="left" vertical="center"/>
    </xf>
    <xf numFmtId="0" fontId="2" fillId="4" borderId="41" xfId="3" applyFont="1" applyFill="1" applyBorder="1" applyAlignment="1">
      <alignment horizontal="center" vertical="center" wrapText="1"/>
    </xf>
    <xf numFmtId="0" fontId="2" fillId="4" borderId="33" xfId="3" applyFont="1" applyFill="1" applyBorder="1" applyAlignment="1">
      <alignment horizontal="center" vertical="center" wrapText="1"/>
    </xf>
    <xf numFmtId="0" fontId="1" fillId="0" borderId="0" xfId="3" applyBorder="1" applyAlignment="1">
      <alignment horizontal="center"/>
    </xf>
    <xf numFmtId="0" fontId="2" fillId="0" borderId="2" xfId="3" applyFont="1" applyBorder="1" applyAlignment="1">
      <alignment horizontal="center"/>
    </xf>
    <xf numFmtId="0" fontId="2" fillId="0" borderId="3" xfId="3" applyFont="1" applyBorder="1" applyAlignment="1">
      <alignment horizontal="center"/>
    </xf>
    <xf numFmtId="0" fontId="2" fillId="0" borderId="5" xfId="3" applyFont="1" applyBorder="1" applyAlignment="1">
      <alignment horizontal="center"/>
    </xf>
    <xf numFmtId="0" fontId="2" fillId="0" borderId="0" xfId="3" applyFont="1" applyBorder="1" applyAlignment="1">
      <alignment horizontal="center"/>
    </xf>
    <xf numFmtId="0" fontId="2" fillId="0" borderId="5" xfId="3" applyFont="1" applyBorder="1" applyAlignment="1">
      <alignment horizontal="left" vertical="center" wrapText="1"/>
    </xf>
    <xf numFmtId="0" fontId="2" fillId="0" borderId="0" xfId="3" applyFont="1" applyBorder="1" applyAlignment="1">
      <alignment horizontal="left" vertical="center" wrapText="1"/>
    </xf>
    <xf numFmtId="0" fontId="2" fillId="0" borderId="5" xfId="3" applyFont="1" applyBorder="1" applyAlignment="1">
      <alignment horizontal="left" vertical="center"/>
    </xf>
    <xf numFmtId="0" fontId="2" fillId="0" borderId="0" xfId="3" applyFont="1" applyBorder="1" applyAlignment="1">
      <alignment horizontal="left" vertical="center"/>
    </xf>
    <xf numFmtId="0" fontId="1" fillId="0" borderId="0" xfId="3" applyBorder="1" applyAlignment="1">
      <alignment horizontal="left" vertical="justify" wrapText="1"/>
    </xf>
    <xf numFmtId="0" fontId="1" fillId="0" borderId="6" xfId="3" applyBorder="1" applyAlignment="1">
      <alignment horizontal="left" vertical="justify" wrapText="1"/>
    </xf>
    <xf numFmtId="0" fontId="2" fillId="0" borderId="8" xfId="3" applyFont="1" applyBorder="1" applyAlignment="1">
      <alignment horizontal="left" vertical="center"/>
    </xf>
    <xf numFmtId="0" fontId="2" fillId="4" borderId="21" xfId="3" applyFont="1" applyFill="1" applyBorder="1" applyAlignment="1" applyProtection="1">
      <alignment horizontal="center" vertical="center" wrapText="1"/>
      <protection locked="0"/>
    </xf>
    <xf numFmtId="0" fontId="2" fillId="4" borderId="21" xfId="3" applyFont="1" applyFill="1" applyBorder="1" applyAlignment="1">
      <alignment horizontal="center" vertical="center" wrapText="1"/>
    </xf>
    <xf numFmtId="0" fontId="2" fillId="0" borderId="5" xfId="3" applyFont="1" applyFill="1" applyBorder="1" applyAlignment="1">
      <alignment horizontal="left" vertical="center" wrapText="1"/>
    </xf>
    <xf numFmtId="0" fontId="2" fillId="0" borderId="0" xfId="3" applyFont="1" applyFill="1" applyBorder="1" applyAlignment="1">
      <alignment horizontal="left" vertical="center" wrapText="1"/>
    </xf>
    <xf numFmtId="0" fontId="2" fillId="4" borderId="28" xfId="4" applyFont="1" applyFill="1" applyBorder="1" applyAlignment="1">
      <alignment horizontal="center" vertical="center" wrapText="1"/>
    </xf>
    <xf numFmtId="0" fontId="2" fillId="4" borderId="33" xfId="4" applyFont="1" applyFill="1" applyBorder="1" applyAlignment="1">
      <alignment horizontal="center" vertical="center" wrapText="1"/>
    </xf>
    <xf numFmtId="0" fontId="2" fillId="4" borderId="39" xfId="4" applyFont="1" applyFill="1" applyBorder="1" applyAlignment="1" applyProtection="1">
      <alignment horizontal="center" vertical="center" wrapText="1"/>
      <protection locked="0"/>
    </xf>
    <xf numFmtId="0" fontId="2" fillId="4" borderId="32" xfId="4" applyFont="1" applyFill="1" applyBorder="1" applyAlignment="1" applyProtection="1">
      <alignment horizontal="center" vertical="center" wrapText="1"/>
      <protection locked="0"/>
    </xf>
    <xf numFmtId="0" fontId="2" fillId="4" borderId="28" xfId="4" applyFont="1" applyFill="1" applyBorder="1" applyAlignment="1" applyProtection="1">
      <alignment horizontal="center" vertical="center" wrapText="1"/>
      <protection locked="0"/>
    </xf>
    <xf numFmtId="0" fontId="2" fillId="4" borderId="33" xfId="4" applyFont="1" applyFill="1" applyBorder="1" applyAlignment="1" applyProtection="1">
      <alignment horizontal="center" vertical="center" wrapText="1"/>
      <protection locked="0"/>
    </xf>
    <xf numFmtId="0" fontId="1" fillId="0" borderId="0" xfId="3" applyFont="1" applyFill="1" applyBorder="1" applyAlignment="1">
      <alignment horizontal="left" vertical="center" wrapText="1"/>
    </xf>
    <xf numFmtId="0" fontId="1" fillId="0" borderId="6" xfId="3" applyFont="1" applyFill="1" applyBorder="1" applyAlignment="1">
      <alignment horizontal="left" vertical="center" wrapText="1"/>
    </xf>
    <xf numFmtId="0" fontId="2" fillId="4" borderId="37" xfId="4" applyFont="1" applyFill="1" applyBorder="1" applyAlignment="1">
      <alignment horizontal="center" vertical="center" wrapText="1"/>
    </xf>
    <xf numFmtId="0" fontId="2" fillId="4" borderId="9" xfId="4" applyFont="1" applyFill="1" applyBorder="1" applyAlignment="1">
      <alignment horizontal="center" vertical="center" wrapText="1"/>
    </xf>
    <xf numFmtId="49" fontId="2" fillId="0" borderId="10" xfId="4" applyNumberFormat="1" applyFont="1" applyFill="1" applyBorder="1" applyAlignment="1">
      <alignment horizontal="center" vertical="center" wrapText="1"/>
    </xf>
    <xf numFmtId="0" fontId="1" fillId="0" borderId="0" xfId="3" applyBorder="1" applyAlignment="1">
      <alignment horizontal="left" vertical="center" wrapText="1"/>
    </xf>
    <xf numFmtId="0" fontId="1" fillId="0" borderId="6" xfId="3" applyBorder="1" applyAlignment="1">
      <alignment horizontal="left" vertical="center" wrapText="1"/>
    </xf>
    <xf numFmtId="0" fontId="2" fillId="0" borderId="2" xfId="3" applyFont="1" applyFill="1" applyBorder="1" applyAlignment="1">
      <alignment horizontal="center"/>
    </xf>
    <xf numFmtId="0" fontId="2" fillId="0" borderId="3" xfId="3" applyFont="1" applyFill="1" applyBorder="1" applyAlignment="1">
      <alignment horizontal="center"/>
    </xf>
    <xf numFmtId="0" fontId="2" fillId="0" borderId="5" xfId="3" applyFont="1" applyFill="1" applyBorder="1" applyAlignment="1">
      <alignment horizontal="center"/>
    </xf>
    <xf numFmtId="0" fontId="2" fillId="0" borderId="0" xfId="3" applyFont="1" applyFill="1" applyBorder="1" applyAlignment="1">
      <alignment horizontal="center"/>
    </xf>
    <xf numFmtId="0" fontId="2" fillId="4" borderId="5" xfId="3" applyFont="1" applyFill="1" applyBorder="1" applyAlignment="1">
      <alignment horizontal="center"/>
    </xf>
    <xf numFmtId="0" fontId="2" fillId="4" borderId="0" xfId="3" applyFont="1" applyFill="1" applyBorder="1" applyAlignment="1">
      <alignment horizontal="center"/>
    </xf>
    <xf numFmtId="0" fontId="2" fillId="4" borderId="6" xfId="3" applyFont="1" applyFill="1" applyBorder="1" applyAlignment="1">
      <alignment horizontal="center"/>
    </xf>
    <xf numFmtId="0" fontId="2" fillId="0" borderId="5" xfId="3" applyFont="1" applyFill="1" applyBorder="1" applyAlignment="1">
      <alignment horizontal="left" vertical="center"/>
    </xf>
    <xf numFmtId="0" fontId="2" fillId="0" borderId="0" xfId="3" applyFont="1" applyFill="1" applyBorder="1" applyAlignment="1">
      <alignment horizontal="left" vertical="center"/>
    </xf>
    <xf numFmtId="0" fontId="2" fillId="4" borderId="5" xfId="3" applyFont="1" applyFill="1" applyBorder="1" applyAlignment="1">
      <alignment horizontal="center" vertical="center"/>
    </xf>
    <xf numFmtId="0" fontId="1" fillId="0" borderId="0" xfId="3" applyBorder="1" applyAlignment="1">
      <alignment horizontal="justify" vertical="justify" wrapText="1"/>
    </xf>
    <xf numFmtId="0" fontId="1" fillId="0" borderId="0" xfId="3" applyFont="1" applyFill="1" applyBorder="1" applyAlignment="1">
      <alignment horizontal="left" vertical="center"/>
    </xf>
    <xf numFmtId="0" fontId="1" fillId="0" borderId="7" xfId="3" applyFont="1" applyFill="1" applyBorder="1" applyAlignment="1">
      <alignment horizontal="left" vertical="center"/>
    </xf>
    <xf numFmtId="0" fontId="19" fillId="4" borderId="45" xfId="3" applyFont="1" applyFill="1" applyBorder="1" applyAlignment="1">
      <alignment horizontal="center" vertical="center"/>
    </xf>
    <xf numFmtId="0" fontId="19" fillId="4" borderId="21" xfId="3" applyFont="1" applyFill="1" applyBorder="1" applyAlignment="1">
      <alignment horizontal="center" vertical="center"/>
    </xf>
    <xf numFmtId="0" fontId="11" fillId="0" borderId="0" xfId="4" applyBorder="1" applyAlignment="1">
      <alignment horizontal="left" vertical="center" wrapText="1"/>
    </xf>
    <xf numFmtId="0" fontId="2" fillId="4" borderId="40" xfId="4" applyFont="1" applyFill="1" applyBorder="1" applyAlignment="1" applyProtection="1">
      <alignment horizontal="center" vertical="center" wrapText="1"/>
      <protection locked="0"/>
    </xf>
    <xf numFmtId="0" fontId="2" fillId="4" borderId="42" xfId="4" applyFont="1" applyFill="1" applyBorder="1" applyAlignment="1" applyProtection="1">
      <alignment horizontal="center" vertical="center" wrapText="1"/>
      <protection locked="0"/>
    </xf>
    <xf numFmtId="0" fontId="2" fillId="4" borderId="41" xfId="4" applyFont="1" applyFill="1" applyBorder="1" applyAlignment="1">
      <alignment horizontal="center" vertical="center" wrapText="1"/>
    </xf>
    <xf numFmtId="0" fontId="2" fillId="4" borderId="43" xfId="4" applyFont="1" applyFill="1" applyBorder="1" applyAlignment="1">
      <alignment horizontal="center" vertical="center" wrapText="1"/>
    </xf>
    <xf numFmtId="0" fontId="2" fillId="4" borderId="16" xfId="4" applyFont="1" applyFill="1" applyBorder="1" applyAlignment="1" applyProtection="1">
      <alignment horizontal="center" vertical="center" wrapText="1"/>
      <protection locked="0"/>
    </xf>
    <xf numFmtId="0" fontId="2" fillId="4" borderId="19" xfId="4" applyFont="1" applyFill="1" applyBorder="1" applyAlignment="1" applyProtection="1">
      <alignment horizontal="center" vertical="center" wrapText="1"/>
      <protection locked="0"/>
    </xf>
    <xf numFmtId="0" fontId="2" fillId="4" borderId="16" xfId="4" applyFont="1" applyFill="1" applyBorder="1" applyAlignment="1">
      <alignment horizontal="center" vertical="center" wrapText="1"/>
    </xf>
    <xf numFmtId="0" fontId="2" fillId="4" borderId="19" xfId="4" applyFont="1" applyFill="1" applyBorder="1" applyAlignment="1">
      <alignment horizontal="center" vertical="center" wrapText="1"/>
    </xf>
    <xf numFmtId="0" fontId="2" fillId="0" borderId="0" xfId="3" applyFont="1" applyAlignment="1">
      <alignment horizontal="left" vertical="center" wrapText="1"/>
    </xf>
    <xf numFmtId="0" fontId="2" fillId="0" borderId="40" xfId="3" applyFont="1" applyBorder="1" applyAlignment="1" applyProtection="1">
      <alignment horizontal="center" vertical="center" wrapText="1"/>
      <protection locked="0"/>
    </xf>
    <xf numFmtId="0" fontId="2" fillId="0" borderId="42" xfId="3" applyFont="1" applyBorder="1" applyAlignment="1" applyProtection="1">
      <alignment horizontal="center" vertical="center" wrapText="1"/>
      <protection locked="0"/>
    </xf>
    <xf numFmtId="0" fontId="2" fillId="0" borderId="41" xfId="3" applyFont="1" applyBorder="1" applyAlignment="1" applyProtection="1">
      <alignment horizontal="center" vertical="center" wrapText="1"/>
      <protection locked="0"/>
    </xf>
    <xf numFmtId="0" fontId="2" fillId="0" borderId="43" xfId="3" applyFont="1" applyBorder="1" applyAlignment="1" applyProtection="1">
      <alignment horizontal="center" vertical="center" wrapText="1"/>
      <protection locked="0"/>
    </xf>
    <xf numFmtId="1" fontId="1" fillId="0" borderId="28" xfId="3" applyNumberFormat="1" applyBorder="1" applyAlignment="1">
      <alignment horizontal="center" vertical="center" wrapText="1"/>
    </xf>
    <xf numFmtId="1" fontId="1" fillId="0" borderId="33" xfId="3" applyNumberFormat="1" applyBorder="1" applyAlignment="1">
      <alignment horizontal="center" vertical="center" wrapText="1"/>
    </xf>
    <xf numFmtId="9" fontId="1" fillId="0" borderId="28" xfId="2" applyBorder="1" applyAlignment="1">
      <alignment horizontal="center" vertical="center" wrapText="1"/>
    </xf>
    <xf numFmtId="9" fontId="1" fillId="0" borderId="33" xfId="2" applyBorder="1" applyAlignment="1">
      <alignment horizontal="center" vertical="center" wrapText="1"/>
    </xf>
    <xf numFmtId="0" fontId="2" fillId="4" borderId="43" xfId="3" applyFont="1" applyFill="1" applyBorder="1" applyAlignment="1">
      <alignment horizontal="center" vertical="center" wrapText="1"/>
    </xf>
    <xf numFmtId="0" fontId="1" fillId="0" borderId="39" xfId="3" applyBorder="1" applyAlignment="1">
      <alignment horizontal="center" vertical="center" wrapText="1"/>
    </xf>
    <xf numFmtId="0" fontId="1" fillId="0" borderId="32" xfId="3" applyBorder="1" applyAlignment="1">
      <alignment horizontal="center" vertical="center" wrapText="1"/>
    </xf>
    <xf numFmtId="0" fontId="1" fillId="0" borderId="28" xfId="3" applyBorder="1" applyAlignment="1">
      <alignment horizontal="center" vertical="center" wrapText="1"/>
    </xf>
    <xf numFmtId="0" fontId="1" fillId="0" borderId="33" xfId="3" applyBorder="1" applyAlignment="1">
      <alignment horizontal="center" vertical="center" wrapText="1"/>
    </xf>
    <xf numFmtId="165" fontId="1" fillId="0" borderId="28" xfId="3" applyNumberFormat="1" applyFill="1" applyBorder="1" applyAlignment="1">
      <alignment horizontal="center" vertical="center" wrapText="1"/>
    </xf>
    <xf numFmtId="165" fontId="1" fillId="0" borderId="33" xfId="3" applyNumberFormat="1" applyFill="1" applyBorder="1" applyAlignment="1">
      <alignment horizontal="center" vertical="center" wrapText="1"/>
    </xf>
    <xf numFmtId="165" fontId="1" fillId="0" borderId="28" xfId="3" applyNumberFormat="1" applyBorder="1" applyAlignment="1">
      <alignment horizontal="left" vertical="center" wrapText="1"/>
    </xf>
    <xf numFmtId="165" fontId="1" fillId="0" borderId="33" xfId="3" applyNumberFormat="1" applyBorder="1" applyAlignment="1">
      <alignment horizontal="left" vertical="center" wrapText="1"/>
    </xf>
    <xf numFmtId="0" fontId="2" fillId="0" borderId="0" xfId="3" applyFont="1" applyAlignment="1">
      <alignment horizontal="center"/>
    </xf>
    <xf numFmtId="0" fontId="2" fillId="0" borderId="0" xfId="3" applyFont="1" applyAlignment="1">
      <alignment horizontal="left" vertical="center"/>
    </xf>
    <xf numFmtId="0" fontId="1" fillId="0" borderId="0" xfId="3" applyAlignment="1">
      <alignment horizontal="left" vertical="center"/>
    </xf>
    <xf numFmtId="0" fontId="1" fillId="0" borderId="0" xfId="3" applyAlignment="1">
      <alignment horizontal="justify" vertical="center" wrapText="1"/>
    </xf>
    <xf numFmtId="0" fontId="1" fillId="0" borderId="0" xfId="3" applyBorder="1" applyAlignment="1">
      <alignment horizontal="justify" vertical="center" wrapText="1"/>
    </xf>
    <xf numFmtId="0" fontId="2" fillId="4" borderId="26" xfId="3" applyFont="1" applyFill="1" applyBorder="1" applyAlignment="1">
      <alignment horizontal="center" vertical="center" wrapText="1"/>
    </xf>
    <xf numFmtId="2" fontId="1" fillId="0" borderId="38" xfId="3" applyNumberFormat="1" applyFill="1" applyBorder="1" applyAlignment="1">
      <alignment horizontal="center" vertical="center" wrapText="1"/>
    </xf>
    <xf numFmtId="2" fontId="1" fillId="0" borderId="34" xfId="3" applyNumberFormat="1" applyFill="1" applyBorder="1" applyAlignment="1">
      <alignment horizontal="center" vertical="center"/>
    </xf>
    <xf numFmtId="2" fontId="1" fillId="0" borderId="47" xfId="3" applyNumberFormat="1" applyFill="1" applyBorder="1" applyAlignment="1">
      <alignment horizontal="center" vertical="center" wrapText="1"/>
    </xf>
    <xf numFmtId="2" fontId="1" fillId="0" borderId="34" xfId="3" applyNumberFormat="1" applyFill="1" applyBorder="1" applyAlignment="1">
      <alignment horizontal="center" vertical="center" wrapText="1"/>
    </xf>
    <xf numFmtId="0" fontId="19" fillId="4" borderId="17" xfId="3" applyFont="1" applyFill="1" applyBorder="1" applyAlignment="1">
      <alignment horizontal="center" vertical="center" wrapText="1"/>
    </xf>
    <xf numFmtId="0" fontId="19" fillId="4" borderId="12" xfId="3" applyFont="1" applyFill="1" applyBorder="1" applyAlignment="1">
      <alignment horizontal="center" vertical="center" wrapText="1"/>
    </xf>
    <xf numFmtId="0" fontId="20" fillId="4" borderId="45" xfId="3" applyFont="1" applyFill="1" applyBorder="1" applyAlignment="1">
      <alignment horizontal="center" vertical="center" wrapText="1"/>
    </xf>
    <xf numFmtId="0" fontId="20" fillId="4" borderId="21" xfId="3" applyFont="1" applyFill="1" applyBorder="1" applyAlignment="1">
      <alignment horizontal="center" vertical="center" wrapText="1"/>
    </xf>
    <xf numFmtId="0" fontId="2" fillId="4" borderId="23" xfId="4" applyFont="1" applyFill="1" applyBorder="1" applyAlignment="1">
      <alignment horizontal="center" vertical="center" wrapText="1"/>
    </xf>
    <xf numFmtId="0" fontId="2" fillId="4" borderId="26" xfId="4" applyFont="1" applyFill="1" applyBorder="1" applyAlignment="1">
      <alignment horizontal="center" vertical="center" wrapText="1"/>
    </xf>
    <xf numFmtId="0" fontId="19" fillId="4" borderId="16" xfId="3" applyFont="1" applyFill="1" applyBorder="1" applyAlignment="1">
      <alignment horizontal="center" vertical="center" wrapText="1"/>
    </xf>
    <xf numFmtId="0" fontId="19" fillId="4" borderId="10" xfId="3" applyFont="1" applyFill="1" applyBorder="1" applyAlignment="1">
      <alignment horizontal="center" vertical="center" wrapText="1"/>
    </xf>
    <xf numFmtId="0" fontId="19" fillId="4" borderId="23" xfId="3" applyFont="1" applyFill="1" applyBorder="1" applyAlignment="1">
      <alignment horizontal="center" vertical="center" wrapText="1"/>
    </xf>
    <xf numFmtId="0" fontId="19" fillId="4" borderId="37" xfId="3" applyFont="1" applyFill="1" applyBorder="1" applyAlignment="1">
      <alignment horizontal="center" vertical="center" wrapText="1"/>
    </xf>
    <xf numFmtId="0" fontId="2" fillId="0" borderId="8" xfId="3" applyFont="1" applyFill="1" applyBorder="1" applyAlignment="1">
      <alignment horizontal="left" vertical="center"/>
    </xf>
    <xf numFmtId="0" fontId="2" fillId="4" borderId="41" xfId="4" applyFont="1" applyFill="1" applyBorder="1" applyAlignment="1" applyProtection="1">
      <alignment horizontal="center" vertical="center" wrapText="1"/>
      <protection locked="0"/>
    </xf>
    <xf numFmtId="0" fontId="2" fillId="4" borderId="43" xfId="4" applyFont="1" applyFill="1" applyBorder="1" applyAlignment="1" applyProtection="1">
      <alignment horizontal="center" vertical="center" wrapText="1"/>
      <protection locked="0"/>
    </xf>
    <xf numFmtId="0" fontId="1" fillId="0" borderId="44" xfId="3" applyBorder="1" applyAlignment="1">
      <alignment horizontal="center"/>
    </xf>
    <xf numFmtId="0" fontId="1" fillId="0" borderId="6" xfId="3" applyBorder="1" applyAlignment="1">
      <alignment horizontal="center"/>
    </xf>
    <xf numFmtId="0" fontId="2" fillId="0" borderId="40" xfId="4" applyFont="1" applyFill="1" applyBorder="1" applyAlignment="1" applyProtection="1">
      <alignment horizontal="center" vertical="center" wrapText="1"/>
      <protection locked="0"/>
    </xf>
    <xf numFmtId="0" fontId="2" fillId="0" borderId="42" xfId="4" applyFont="1" applyFill="1" applyBorder="1" applyAlignment="1" applyProtection="1">
      <alignment horizontal="center" vertical="center" wrapText="1"/>
      <protection locked="0"/>
    </xf>
    <xf numFmtId="0" fontId="20" fillId="4" borderId="45" xfId="3" applyFont="1" applyFill="1" applyBorder="1" applyAlignment="1">
      <alignment horizontal="center" vertical="center"/>
    </xf>
    <xf numFmtId="0" fontId="20" fillId="4" borderId="21" xfId="3" applyFont="1" applyFill="1" applyBorder="1" applyAlignment="1">
      <alignment horizontal="center" vertical="center"/>
    </xf>
    <xf numFmtId="0" fontId="2" fillId="0" borderId="41" xfId="4" applyFont="1" applyFill="1" applyBorder="1" applyAlignment="1" applyProtection="1">
      <alignment horizontal="center" vertical="center" wrapText="1"/>
      <protection locked="0"/>
    </xf>
    <xf numFmtId="0" fontId="2" fillId="0" borderId="43" xfId="4" applyFont="1" applyFill="1" applyBorder="1" applyAlignment="1" applyProtection="1">
      <alignment horizontal="center" vertical="center" wrapText="1"/>
      <protection locked="0"/>
    </xf>
    <xf numFmtId="0" fontId="1" fillId="0" borderId="0" xfId="3" applyFont="1" applyFill="1" applyBorder="1" applyAlignment="1">
      <alignment horizontal="left" vertical="justify" wrapText="1"/>
    </xf>
    <xf numFmtId="0" fontId="1" fillId="0" borderId="6" xfId="3" applyFont="1" applyFill="1" applyBorder="1" applyAlignment="1">
      <alignment horizontal="left" vertical="justify" wrapText="1"/>
    </xf>
    <xf numFmtId="0" fontId="2" fillId="4" borderId="28" xfId="3" applyFont="1" applyFill="1" applyBorder="1" applyAlignment="1">
      <alignment horizontal="center" vertical="center" wrapText="1"/>
    </xf>
    <xf numFmtId="0" fontId="2" fillId="4" borderId="39" xfId="3" applyFont="1" applyFill="1" applyBorder="1" applyAlignment="1" applyProtection="1">
      <alignment horizontal="center" vertical="center" wrapText="1"/>
      <protection locked="0"/>
    </xf>
    <xf numFmtId="0" fontId="2" fillId="4" borderId="32" xfId="3" applyFont="1" applyFill="1" applyBorder="1" applyAlignment="1" applyProtection="1">
      <alignment horizontal="center" vertical="center" wrapText="1"/>
      <protection locked="0"/>
    </xf>
    <xf numFmtId="0" fontId="2" fillId="4" borderId="28" xfId="3" applyFont="1" applyFill="1" applyBorder="1" applyAlignment="1" applyProtection="1">
      <alignment horizontal="center" vertical="center" wrapText="1"/>
      <protection locked="0"/>
    </xf>
    <xf numFmtId="0" fontId="2" fillId="4" borderId="33" xfId="3" applyFont="1" applyFill="1" applyBorder="1" applyAlignment="1" applyProtection="1">
      <alignment horizontal="center" vertical="center" wrapText="1"/>
      <protection locked="0"/>
    </xf>
    <xf numFmtId="14" fontId="2" fillId="4" borderId="13" xfId="3" applyNumberFormat="1" applyFont="1" applyFill="1" applyBorder="1" applyAlignment="1">
      <alignment horizontal="center" vertical="center" wrapText="1"/>
    </xf>
    <xf numFmtId="14" fontId="2" fillId="4" borderId="1" xfId="3" applyNumberFormat="1" applyFont="1" applyFill="1" applyBorder="1" applyAlignment="1">
      <alignment horizontal="center" vertical="center"/>
    </xf>
    <xf numFmtId="14" fontId="2" fillId="4" borderId="14" xfId="3" applyNumberFormat="1" applyFont="1" applyFill="1" applyBorder="1" applyAlignment="1">
      <alignment horizontal="center" vertical="center"/>
    </xf>
    <xf numFmtId="0" fontId="2" fillId="4" borderId="40" xfId="3" applyFont="1" applyFill="1" applyBorder="1" applyAlignment="1" applyProtection="1">
      <alignment horizontal="center" vertical="center" wrapText="1"/>
      <protection locked="0"/>
    </xf>
    <xf numFmtId="0" fontId="2" fillId="4" borderId="42" xfId="3" applyFont="1" applyFill="1" applyBorder="1" applyAlignment="1" applyProtection="1">
      <alignment horizontal="center" vertical="center" wrapText="1"/>
      <protection locked="0"/>
    </xf>
    <xf numFmtId="0" fontId="2" fillId="4" borderId="41" xfId="3" applyFont="1" applyFill="1" applyBorder="1" applyAlignment="1" applyProtection="1">
      <alignment horizontal="center" vertical="center" wrapText="1"/>
      <protection locked="0"/>
    </xf>
    <xf numFmtId="0" fontId="2" fillId="4" borderId="43" xfId="3" applyFont="1" applyFill="1" applyBorder="1" applyAlignment="1" applyProtection="1">
      <alignment horizontal="center" vertical="center" wrapText="1"/>
      <protection locked="0"/>
    </xf>
  </cellXfs>
  <cellStyles count="9">
    <cellStyle name="Millares" xfId="1" builtinId="3"/>
    <cellStyle name="Moneda [0] 2" xfId="7"/>
    <cellStyle name="Moneda 2" xfId="5"/>
    <cellStyle name="Moneda 3" xfId="6"/>
    <cellStyle name="Moneda 4" xfId="8"/>
    <cellStyle name="Normal" xfId="0" builtinId="0"/>
    <cellStyle name="Normal 2" xfId="3"/>
    <cellStyle name="Normal 3" xfId="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esktop/ESCRITORIO/CONTRATO%200914%20DE%202023/NUEVO%20PROCESO/2.%20EDELMIRA%20-%20copia/1.%20OTROS/CAS-OAJ-CMA-007-2022/CUADRO%20DE%20EXPERIENCIA%20COORDINADOR%20OPERATIV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esktop/CAS-OAJ-CMA-007-2022/CUADRO%20DE%20EXPERIENCIA%20COORDINADOR%20OPERATIV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esktop/CUADRO%20DE%20EXPERIENCIA%20COORDINADOR%20OPERATIV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esktop\ESCRITORIO\CONTRATO%200914%20DE%202023\NUEVO%20PROCESO\2.%20EDELMIRA%20-%20copia\1.%20OTROS\CAS-OAJ-CMA-007-2022\CUADRO%20DE%20EXPERIENCIA%20COORDINADOR%20OPERATIV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esktop/ESCRITORIO/CONTRATO%202248%20DE%202021/PROPUESTA/PROPUESTA%20DEFINITIVA/EXPERIENCIA%20ESPECIFICA%20HABILITANTE%20DEL%20PROPONENTE.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RCHIVOS%20PERSONALES%20VICTOR/PROCESOS%20A&#209;O%202022/EDELMIRA%20SIERRA/CUADRO%20DE%20EXPERIENCIA%20COORDINADOR%20OPERATIV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RCHIVOS%20PERSONALES%20VICTOR/PROCESOS%20A&#209;O%202022/EDELMIRA%20SIERRA/7.7%20ANEXO%20-%20RESUMEN%20HOJA%20DE%20VIDA%20DEL%20PERSONAL%20DEL%20EQUIPO%20DE%20TRABAJO%20CAS-OAJ-CMA-007-202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esktop/CAS-OAJ-CMA-007-2022/7.7%20ANEXO%20-%20RESUMEN%20HOJA%20DE%20VIDA%20DEL%20PERSONAL%20DEL%20EQUIPO%20DE%20TRABAJO%20CAS-OAJ-CMA-007-202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esktop/ESCRITORIO/CAS-OAJ-CMA-013-2023/7.7%20ANEXO%20-%20RESUMEN%20HOJA%20DE%20VIDA%20DEL%20PERSONAL%20DEL%20EQUIPO%20DE%20TRABAJO%20CAS-OAJ-CMA-013-202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esktop/7.7%20ANEX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servi\Desktop\LICITACI&#211;N%20MAYORITARIO\CAS-OAJ-CMA-031-2023\CUADROS%20DE%20EXPERIENCIA\7.7%20ANEXO%20-%20RESUMEN%20HOJA%20DE%20VIDA%20DEL%20PERSONAL%20DEL%20EQUIPO%20DE%20TRABAJO%20CAS-OAJ-CMA-013-202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Desktop/ESCRITORIO/CONTRATO%200914%20DE%202023/7.7%20ANEXO%20-%20RESUMEN%20HOJA%20DE%20VIDA%20DEL%20PERSONAL%20CONTRATO%2009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7 Coordinador Opera (2)"/>
      <sheetName val="CUADRO DE EXPERIENCIA COORDINAD"/>
    </sheetNames>
    <definedNames>
      <definedName name="ERR"/>
    </definedNames>
    <sheetDataSet>
      <sheetData sheetId="0"/>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7 Coordinador Opera (2)"/>
      <sheetName val="CUADRO DE EXPERIENCIA COORDINAD"/>
    </sheetNames>
    <definedNames>
      <definedName name="ERR"/>
    </defined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DE EXPERIENCIA COORDINAD"/>
    </sheetNames>
    <definedNames>
      <definedName name="ERR"/>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7 Coordinador Opera (2)"/>
      <sheetName val="CUADRO DE EXPERIENCIA COORDINAD"/>
    </sheetNames>
    <definedNames>
      <definedName name="ERR"/>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No. 7.8 Experiencia"/>
      <sheetName val="EXPERIENCIA ESPECIFICA HABILITA"/>
    </sheetNames>
    <definedNames>
      <definedName name="ERR"/>
    </definedNames>
    <sheetDataSet>
      <sheetData sheetId="0">
        <row r="26">
          <cell r="B26" t="str">
            <v xml:space="preserve">EDELMIRA SIERRA GUTIÉRREZ </v>
          </cell>
        </row>
      </sheetData>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7 Coordinador Opera (2)"/>
      <sheetName val="CUADRO DE EXPERIENCIA COORDINAD"/>
    </sheetNames>
    <definedNames>
      <definedName name="ERR"/>
    </defined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row r="1">
          <cell r="A1" t="str">
            <v xml:space="preserve">DEPARTAMENTO DE ANTIOQUIA </v>
          </cell>
        </row>
        <row r="2">
          <cell r="A2" t="str">
            <v>SECRETARIA DE OBRAS PUBLICAS</v>
          </cell>
        </row>
        <row r="3">
          <cell r="A3" t="str">
            <v>MANTENIMIENTO Y MEJORAMIENTO DE LA CARRETERA GUARNE - SAN PEDRO ALTIPLANO NORTE, SECTOR LA BANCA LA CHINA</v>
          </cell>
        </row>
        <row r="5">
          <cell r="A5" t="str">
            <v>RELACION DE MATERIALES</v>
          </cell>
        </row>
        <row r="8">
          <cell r="A8" t="str">
            <v>DESCRIPCION</v>
          </cell>
          <cell r="B8" t="str">
            <v>M2</v>
          </cell>
          <cell r="C8" t="str">
            <v>UNIDAD</v>
          </cell>
          <cell r="D8" t="str">
            <v>V/UNITARIO</v>
          </cell>
        </row>
        <row r="9">
          <cell r="A9" t="str">
            <v>Abono triple 15</v>
          </cell>
          <cell r="C9" t="str">
            <v>Kl</v>
          </cell>
          <cell r="D9">
            <v>84</v>
          </cell>
        </row>
        <row r="10">
          <cell r="A10" t="str">
            <v>Acero PDR 60</v>
          </cell>
          <cell r="B10" t="str">
            <v>D6-D</v>
          </cell>
          <cell r="C10" t="str">
            <v>KG</v>
          </cell>
          <cell r="D10">
            <v>900</v>
          </cell>
        </row>
        <row r="11">
          <cell r="A11" t="str">
            <v>Agua</v>
          </cell>
          <cell r="B11" t="str">
            <v>M2</v>
          </cell>
          <cell r="C11" t="str">
            <v>LT</v>
          </cell>
          <cell r="D11">
            <v>8.4</v>
          </cell>
        </row>
        <row r="12">
          <cell r="A12" t="str">
            <v>Agromanto</v>
          </cell>
          <cell r="B12" t="str">
            <v>1000 Gl</v>
          </cell>
          <cell r="C12" t="str">
            <v>M2</v>
          </cell>
          <cell r="D12">
            <v>900</v>
          </cell>
        </row>
        <row r="13">
          <cell r="A13" t="str">
            <v>Alambre de puas</v>
          </cell>
          <cell r="C13" t="str">
            <v>Ml</v>
          </cell>
          <cell r="D13">
            <v>336</v>
          </cell>
        </row>
        <row r="14">
          <cell r="A14" t="str">
            <v>Alambre galvanizado Cal. 12</v>
          </cell>
          <cell r="C14" t="str">
            <v>KG</v>
          </cell>
          <cell r="D14">
            <v>960</v>
          </cell>
        </row>
        <row r="15">
          <cell r="A15" t="str">
            <v>Alambre negro</v>
          </cell>
          <cell r="B15" t="str">
            <v>Electrónico</v>
          </cell>
          <cell r="C15" t="str">
            <v>KG</v>
          </cell>
          <cell r="D15">
            <v>960</v>
          </cell>
        </row>
        <row r="16">
          <cell r="A16" t="str">
            <v>Arena</v>
          </cell>
          <cell r="B16" t="str">
            <v>GL</v>
          </cell>
          <cell r="C16" t="str">
            <v>M3</v>
          </cell>
          <cell r="D16">
            <v>20400</v>
          </cell>
        </row>
        <row r="17">
          <cell r="A17" t="str">
            <v>Asfalto sólido</v>
          </cell>
          <cell r="B17" t="str">
            <v>CAT</v>
          </cell>
          <cell r="C17" t="str">
            <v>KG</v>
          </cell>
          <cell r="D17">
            <v>384</v>
          </cell>
        </row>
        <row r="18">
          <cell r="A18" t="str">
            <v>Base triturada</v>
          </cell>
          <cell r="B18" t="str">
            <v>6´cubicos</v>
          </cell>
          <cell r="C18" t="str">
            <v>M3</v>
          </cell>
          <cell r="D18">
            <v>10333</v>
          </cell>
        </row>
        <row r="19">
          <cell r="A19" t="str">
            <v>Cemento</v>
          </cell>
          <cell r="B19" t="str">
            <v>3"</v>
          </cell>
          <cell r="C19" t="str">
            <v>KG</v>
          </cell>
          <cell r="D19">
            <v>312</v>
          </cell>
        </row>
        <row r="20">
          <cell r="A20" t="str">
            <v>Concreto asfaltico</v>
          </cell>
          <cell r="C20" t="str">
            <v>M3</v>
          </cell>
          <cell r="D20">
            <v>89310</v>
          </cell>
        </row>
        <row r="21">
          <cell r="A21" t="str">
            <v>Concreto clase D</v>
          </cell>
          <cell r="C21" t="str">
            <v>M3</v>
          </cell>
          <cell r="D21">
            <v>175643</v>
          </cell>
        </row>
        <row r="22">
          <cell r="A22" t="str">
            <v>Concreto clase E</v>
          </cell>
          <cell r="C22" t="str">
            <v>M3</v>
          </cell>
          <cell r="D22">
            <v>139176</v>
          </cell>
        </row>
        <row r="23">
          <cell r="A23" t="str">
            <v>Concreto clase F 140 Kg/Cm2</v>
          </cell>
          <cell r="C23" t="str">
            <v>M3</v>
          </cell>
          <cell r="D23">
            <v>146418</v>
          </cell>
        </row>
        <row r="24">
          <cell r="A24" t="str">
            <v>Concreto clase G</v>
          </cell>
          <cell r="B24" t="str">
            <v>510C</v>
          </cell>
          <cell r="C24" t="str">
            <v>M3</v>
          </cell>
          <cell r="D24">
            <v>136810</v>
          </cell>
        </row>
        <row r="25">
          <cell r="A25" t="str">
            <v>Costal de fique</v>
          </cell>
          <cell r="B25" t="str">
            <v>CAT-320</v>
          </cell>
          <cell r="C25" t="str">
            <v>UN</v>
          </cell>
          <cell r="D25">
            <v>360</v>
          </cell>
        </row>
        <row r="26">
          <cell r="A26" t="str">
            <v>Defensa metalica y pedestal</v>
          </cell>
          <cell r="C26" t="str">
            <v>ML</v>
          </cell>
          <cell r="D26">
            <v>26400</v>
          </cell>
        </row>
        <row r="27">
          <cell r="A27" t="str">
            <v>Emulsión CRL-1</v>
          </cell>
          <cell r="C27" t="str">
            <v>KG</v>
          </cell>
          <cell r="D27">
            <v>414</v>
          </cell>
        </row>
        <row r="28">
          <cell r="A28" t="str">
            <v>Especie nativa</v>
          </cell>
          <cell r="B28" t="str">
            <v>1000 Gl</v>
          </cell>
          <cell r="C28" t="str">
            <v>UN</v>
          </cell>
          <cell r="D28">
            <v>54</v>
          </cell>
        </row>
        <row r="29">
          <cell r="A29" t="str">
            <v>Explosivos</v>
          </cell>
          <cell r="B29" t="str">
            <v>Electrico</v>
          </cell>
          <cell r="C29" t="str">
            <v>KG</v>
          </cell>
          <cell r="D29">
            <v>24000</v>
          </cell>
        </row>
        <row r="30">
          <cell r="A30" t="str">
            <v>Gallinaza</v>
          </cell>
          <cell r="C30" t="str">
            <v>KG</v>
          </cell>
          <cell r="D30">
            <v>180</v>
          </cell>
        </row>
        <row r="31">
          <cell r="A31" t="str">
            <v>Geotextil no tejido NT 1400</v>
          </cell>
          <cell r="B31" t="str">
            <v>Sección</v>
          </cell>
          <cell r="C31" t="str">
            <v>M2</v>
          </cell>
          <cell r="D31">
            <v>1320</v>
          </cell>
        </row>
        <row r="32">
          <cell r="A32" t="str">
            <v>Geotextil no tejido 1600</v>
          </cell>
          <cell r="B32" t="str">
            <v>A gasolina</v>
          </cell>
          <cell r="C32" t="str">
            <v>M2</v>
          </cell>
          <cell r="D32">
            <v>1320</v>
          </cell>
        </row>
        <row r="33">
          <cell r="A33" t="str">
            <v>Geored</v>
          </cell>
          <cell r="C33" t="str">
            <v>ML</v>
          </cell>
          <cell r="D33">
            <v>24000</v>
          </cell>
        </row>
        <row r="34">
          <cell r="A34" t="str">
            <v>Gravilla</v>
          </cell>
          <cell r="C34" t="str">
            <v>M3</v>
          </cell>
          <cell r="D34">
            <v>26400</v>
          </cell>
        </row>
        <row r="35">
          <cell r="A35" t="str">
            <v>Guadua</v>
          </cell>
          <cell r="B35" t="str">
            <v>6 M3</v>
          </cell>
          <cell r="C35" t="str">
            <v>M2</v>
          </cell>
          <cell r="D35">
            <v>1800</v>
          </cell>
        </row>
        <row r="36">
          <cell r="A36" t="str">
            <v>Hidroretenedor</v>
          </cell>
          <cell r="C36" t="str">
            <v>KG</v>
          </cell>
          <cell r="D36">
            <v>1800</v>
          </cell>
        </row>
        <row r="37">
          <cell r="A37" t="str">
            <v>Madera rolliza</v>
          </cell>
          <cell r="C37" t="str">
            <v>UN</v>
          </cell>
          <cell r="D37">
            <v>3720</v>
          </cell>
        </row>
        <row r="38">
          <cell r="A38" t="str">
            <v>Malla triple torsión</v>
          </cell>
          <cell r="C38" t="str">
            <v>UN</v>
          </cell>
          <cell r="D38">
            <v>32400</v>
          </cell>
        </row>
        <row r="39">
          <cell r="A39" t="str">
            <v>Material para trituración</v>
          </cell>
          <cell r="C39" t="str">
            <v>M3</v>
          </cell>
          <cell r="D39">
            <v>3000</v>
          </cell>
        </row>
        <row r="40">
          <cell r="A40" t="str">
            <v>Piedra de río</v>
          </cell>
          <cell r="C40" t="str">
            <v>UN</v>
          </cell>
          <cell r="D40">
            <v>22200</v>
          </cell>
        </row>
        <row r="41">
          <cell r="A41" t="str">
            <v>Pintura trafico</v>
          </cell>
          <cell r="C41" t="str">
            <v>Gl</v>
          </cell>
          <cell r="D41">
            <v>11400</v>
          </cell>
        </row>
        <row r="42">
          <cell r="A42" t="str">
            <v>Poste de concreto para cerca</v>
          </cell>
          <cell r="C42" t="str">
            <v>UN</v>
          </cell>
          <cell r="D42">
            <v>4200</v>
          </cell>
        </row>
        <row r="43">
          <cell r="A43" t="str">
            <v>Rajón</v>
          </cell>
          <cell r="C43" t="str">
            <v>M3</v>
          </cell>
          <cell r="D43">
            <v>25200</v>
          </cell>
        </row>
        <row r="44">
          <cell r="A44" t="str">
            <v>Sacos de fibra</v>
          </cell>
          <cell r="C44" t="str">
            <v>UN</v>
          </cell>
          <cell r="D44">
            <v>300</v>
          </cell>
        </row>
        <row r="45">
          <cell r="A45" t="str">
            <v>Señal metalica de trafico</v>
          </cell>
          <cell r="C45" t="str">
            <v>UN</v>
          </cell>
          <cell r="D45">
            <v>90000</v>
          </cell>
        </row>
        <row r="46">
          <cell r="A46" t="str">
            <v>Semilla brachiaria</v>
          </cell>
          <cell r="C46" t="str">
            <v>KG</v>
          </cell>
          <cell r="D46">
            <v>15600</v>
          </cell>
        </row>
        <row r="47">
          <cell r="A47" t="str">
            <v>Subbase triturada</v>
          </cell>
          <cell r="C47" t="str">
            <v>M3</v>
          </cell>
          <cell r="D47">
            <v>8718</v>
          </cell>
        </row>
        <row r="48">
          <cell r="A48" t="str">
            <v>Tabla burra</v>
          </cell>
          <cell r="C48" t="str">
            <v>UN</v>
          </cell>
          <cell r="D48">
            <v>7500</v>
          </cell>
        </row>
        <row r="49">
          <cell r="A49" t="str">
            <v>Tierra organica</v>
          </cell>
          <cell r="C49" t="str">
            <v>M3</v>
          </cell>
          <cell r="D49">
            <v>1000</v>
          </cell>
        </row>
        <row r="50">
          <cell r="A50" t="str">
            <v>Tubería de concreto D= 0.90 m.</v>
          </cell>
          <cell r="C50" t="str">
            <v>ML</v>
          </cell>
          <cell r="D50">
            <v>93600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ORREGIDO"/>
      <sheetName val="APU CORREGIDO NUEVOS"/>
      <sheetName val="listado precios"/>
      <sheetName val="analisis cuadrilla"/>
      <sheetName val="Presupuesto obra"/>
    </sheetNames>
    <sheetDataSet>
      <sheetData sheetId="0"/>
      <sheetData sheetId="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Listado"/>
      <sheetName val="FICHA EBI 1 de 6 "/>
      <sheetName val="letra"/>
      <sheetName val="CONSEJO MCPAL"/>
      <sheetName val="ITEMS"/>
      <sheetName val="AULA"/>
      <sheetName val="RED PALMARITO LA PAZ"/>
      <sheetName val="RECURSOS"/>
      <sheetName val="BD"/>
      <sheetName val="Hoja1"/>
      <sheetName val="Presupuesto Total"/>
      <sheetName val="MATERIALES"/>
      <sheetName val="PPTO"/>
      <sheetName val="APU CORREGIDO NUEVOS"/>
      <sheetName val="Presupuest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BASE"/>
      <sheetName val="PE-02"/>
      <sheetName val="PE_02"/>
      <sheetName val="Listado"/>
      <sheetName val="Estruc_ Tarif"/>
      <sheetName val="PRECIOS"/>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ESOS"/>
      <sheetName val="PRESUPUESTO"/>
      <sheetName val="5. MODIFICATORIA"/>
      <sheetName val="CRA.MODI"/>
      <sheetName val="Insum"/>
      <sheetName val="PRESUP. RESUMEN"/>
      <sheetName val="Formato"/>
      <sheetName val="Parámetros"/>
      <sheetName val="Anexo 13"/>
      <sheetName val="RECURSOS"/>
      <sheetName val="ANALISIS DE PRECIOS UNITARIOS"/>
      <sheetName val="\Documents and Settings\Adminis"/>
      <sheetName val="\Users\Juan\Downloads\Users\USU"/>
      <sheetName val="\Users\user\Library\Mail Downlo"/>
      <sheetName val="glvc"/>
      <sheetName val="INV"/>
      <sheetName val="AASHTO"/>
      <sheetName val="ESTADO RED"/>
      <sheetName val="CARRETERAS"/>
      <sheetName val="GENERALIDADES "/>
      <sheetName val="\Cofinanciacion\FICHAS Y FORMAT"/>
      <sheetName val="\A\Cofinanciacion\FICHAS Y FORM"/>
      <sheetName val="LSAL"/>
      <sheetName val="Jornales"/>
      <sheetName val="LIQUIDACION"/>
      <sheetName val="NOMINA"/>
      <sheetName val="ANEXO 9 (MATERIAL)"/>
      <sheetName val="UNITARIOS_GENERALES"/>
      <sheetName val="5__MODIFICATORIA"/>
      <sheetName val="Personalizar"/>
      <sheetName val="PU"/>
      <sheetName val="BD"/>
      <sheetName val="Hoja1"/>
      <sheetName val="AIUsan"/>
      <sheetName val="STRSUMM0"/>
      <sheetName val="SOURCES"/>
      <sheetName val="EBI-1"/>
      <sheetName val="PRESUP"/>
      <sheetName val="Datos"/>
      <sheetName val="UNITARIOS%20GENERALES.xls"/>
      <sheetName val="ACTA 1 INICIO"/>
      <sheetName val="Presupuesto Total"/>
      <sheetName val="[UNITARIOS GENERALES.xls]\Docum"/>
      <sheetName val="[UNITARIOS GENERALES.xls]\Users"/>
      <sheetName val="[UNITARIOS GENERALES.xls]\Cofin"/>
      <sheetName val="[UNITARIOS GENERALES.xls]\A\Cof"/>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No. 7.8 Experiencia"/>
      <sheetName val="Anexo 7.7 Director"/>
      <sheetName val="Anexo 7. Director (2)"/>
      <sheetName val="Anexo 7,7 Coordinador Operativo"/>
      <sheetName val="Anexo 7. Coordinador Calidad"/>
      <sheetName val="Anexo 7.7 Coordinador logístico"/>
      <sheetName val="Anexo 7. Supervisor Intv 1"/>
      <sheetName val="Anexo 7. Supervisor Intv 2"/>
      <sheetName val="Anexo 7. Supervisor Intv 3"/>
      <sheetName val="Anexo 7. Supervisor intv 4"/>
      <sheetName val="Anexo 7. Supervisor intv 5"/>
      <sheetName val="Anexo 7. Aux. Calidad 1"/>
      <sheetName val="Anexo 7. Aux. Calidad 2"/>
      <sheetName val="Anexo 7. Aux. Calidad 3 "/>
      <sheetName val="Anexo 7. Aux. Calidad 4"/>
      <sheetName val="Anexo 7. Aux. Calidad 5"/>
      <sheetName val="Anexo No. 7. Aux. Adm. 1"/>
      <sheetName val="Anexo No. 7. Contadora"/>
      <sheetName val="Anexo No. 7. Abogado"/>
    </sheetNames>
    <sheetDataSet>
      <sheetData sheetId="0">
        <row r="5">
          <cell r="B5" t="str">
            <v>REALIZAR  INTERVENTORIA TÉCNICA, ADMINISTRATIVA, JURÍDICA, FINANCIERA, CONTABLE Y AMBIENTAL A LA PRESTACIÓN DEL  SERVICIO DE ALIMENTACIÓN ESCOLAR  PARA LOS ESTUDIANTES MATRICULADOS EN LAS INSTITUCIONES EDUCATIVAS OFICIALES Y RESIDENCIAS ESCOLARES DEL DEPARTAMENTO DE CASANARE.</v>
          </cell>
        </row>
        <row r="7">
          <cell r="B7" t="str">
            <v>EDELMIRA SIERRA GUTIÉRREZ</v>
          </cell>
        </row>
      </sheetData>
      <sheetData sheetId="1">
        <row r="26">
          <cell r="B26" t="str">
            <v xml:space="preserve">EDELMIRA SIERRA GUTIÉRREZ </v>
          </cell>
        </row>
      </sheetData>
      <sheetData sheetId="2"/>
      <sheetData sheetId="3"/>
      <sheetData sheetId="4"/>
      <sheetData sheetId="5"/>
      <sheetData sheetId="6">
        <row r="4">
          <cell r="B4" t="str">
            <v>7.7. ANEXO - RESUMEN HOJA DE VIDA DEL PERSONAL DEL EQUIPO DE TRABAJO</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No. 7.8 Experiencia"/>
      <sheetName val="Anexo 7.7 Director"/>
      <sheetName val="Anexo 7. Director (2)"/>
      <sheetName val="Anexo 7,7 Coordinador Operativo"/>
      <sheetName val="Anexo 7. Coordinador Calidad"/>
      <sheetName val="Anexo 7.7 Coordinador logístico"/>
      <sheetName val="Anexo 7. Supervisor Intv 1"/>
      <sheetName val="Anexo 7. Supervisor Intv 2"/>
      <sheetName val="Anexo 7. Supervisor Intv 3"/>
      <sheetName val="Anexo 7. Supervisor intv 4"/>
      <sheetName val="Anexo 7. Supervisor intv 5"/>
      <sheetName val="Anexo 7. Aux. Calidad 1"/>
      <sheetName val="Anexo 7. Aux. Calidad 2"/>
      <sheetName val="Anexo 7. Aux. Calidad 3 "/>
      <sheetName val="Anexo 7. Aux. Calidad 4"/>
      <sheetName val="Anexo 7. Aux. Calidad 5"/>
      <sheetName val="Anexo No. 7. Aux. Adm. 1"/>
      <sheetName val="Anexo No. 7. Contadora"/>
      <sheetName val="Anexo No. 7. Abogado"/>
    </sheetNames>
    <sheetDataSet>
      <sheetData sheetId="0" refreshError="1">
        <row r="5">
          <cell r="B5" t="str">
            <v>REALIZAR  INTERVENTORIA TÉCNICA, ADMINISTRATIVA, JURÍDICA, FINANCIERA, CONTABLE Y AMBIENTAL A LA PRESTACIÓN DEL  SERVICIO DE ALIMENTACIÓN ESCOLAR  PARA LOS ESTUDIANTES MATRICULADOS EN LAS INSTITUCIONES EDUCATIVAS OFICIALES Y RESIDENCIAS ESCOLARES DEL DEPARTAMENTO DE CASANARE.</v>
          </cell>
        </row>
        <row r="7">
          <cell r="B7" t="str">
            <v>EDELMIRA SIERRA GUTIÉRREZ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No. 7.8 Experiencia"/>
      <sheetName val="Anexo 7. Director (2)"/>
      <sheetName val="Anexo 7. Director"/>
      <sheetName val="Anexo 7,7 Coordinador Operativo"/>
      <sheetName val="Anexo 7.7 Coordinador Calidad"/>
      <sheetName val="Anexo 7. Supervisor intv 1"/>
      <sheetName val="Anexo 7. Aux. Calidad 1"/>
      <sheetName val="Anexo No. 7. Aux. Adm. 1"/>
      <sheetName val="Anexo No. 7. Contadora"/>
      <sheetName val="Anexo No. 7. Abogado"/>
    </sheetNames>
    <sheetDataSet>
      <sheetData sheetId="0" refreshError="1">
        <row r="7">
          <cell r="B7" t="str">
            <v>EDELMIRA SIERRA GUTIÉRREZ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No. 7.8 Experiencia"/>
      <sheetName val="Anexo 7.7 Director"/>
      <sheetName val="Anexo 7. Supervisor Intv 1"/>
      <sheetName val="Anexo No. 7. Contadora"/>
      <sheetName val="Anexo 7. Supervisor Intv 2"/>
      <sheetName val="Anexo 7. Supervisor Intv 3"/>
      <sheetName val="Anexo No. 7. Aux. Adm. 1"/>
    </sheetNames>
    <sheetDataSet>
      <sheetData sheetId="0">
        <row r="5">
          <cell r="B5" t="str">
            <v>REALIZAR  INTERVENTORIA TÉCNICA, ADMINISTRATIVA, JURÍDICA, FINANCIERA, CONTABLE Y AMBIENTAL A LA PRESTACIÓN DEL  SERVICIO DE ALIMENTACIÓN ESCOLAR  PARA LOS ESTUDIANTES MATRICULADOS EN LAS INSTITUCIONES EDUCATIVAS OFICIALES Y RESIDENCIAS ESCOLARES DEL DEPA</v>
          </cell>
        </row>
        <row r="7">
          <cell r="B7" t="str">
            <v>EDELMIRA SIERRA GUTIÉRREZ</v>
          </cell>
        </row>
      </sheetData>
      <sheetData sheetId="1">
        <row r="26">
          <cell r="B26" t="str">
            <v xml:space="preserve">EDELMIRA SIERRA GUTIÉRREZ </v>
          </cell>
        </row>
      </sheetData>
      <sheetData sheetId="2">
        <row r="3">
          <cell r="B3" t="str">
            <v>7.7. ANEXO - RESUMEN HOJA DE VIDA DEL PERSONAL DEL EQUIPO DE TRABAJO</v>
          </cell>
        </row>
      </sheetData>
      <sheetData sheetId="3">
        <row r="4">
          <cell r="B4" t="str">
            <v>7.7. ANEXO - RESUMEN HOJA DE VIDA DEL PERSONAL DEL EQUIPO DE TRABAJO</v>
          </cell>
        </row>
      </sheetData>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No. 7.8 Experiencia"/>
      <sheetName val="Anexo 7. Director (2)"/>
      <sheetName val="Anexo 7. Director"/>
      <sheetName val="Anexo 7,7 Coordinador Operativo"/>
      <sheetName val="Anexo 7.7 Coordinador Calidad"/>
      <sheetName val="Anexo 7. Supervisor intv 1"/>
      <sheetName val="Anexo 7. Aux. Calidad 1"/>
      <sheetName val="Anexo No. 7. Aux. Adm. 1"/>
      <sheetName val="Anexo No. 7. Contadora"/>
      <sheetName val="Anexo No. 7. Abogado"/>
    </sheetNames>
    <sheetDataSet>
      <sheetData sheetId="0">
        <row r="7">
          <cell r="B7" t="str">
            <v>EDELMIRA SIERRA GUTIÉRREZ</v>
          </cell>
        </row>
      </sheetData>
      <sheetData sheetId="1">
        <row r="27">
          <cell r="B27" t="str">
            <v xml:space="preserve">EDELMIRA SIERRA GUTIÉRREZ </v>
          </cell>
        </row>
      </sheetData>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exo 7. Director (2)"/>
      <sheetName val="ANLLY AREVALO"/>
      <sheetName val="NIKOL VARGAS"/>
      <sheetName val="ALEJANDRA ARRIETA"/>
      <sheetName val="GERALDINE RAMIREZ"/>
      <sheetName val="SANDRA"/>
      <sheetName val="GLORIA SIERRA"/>
      <sheetName val="LILIANA HERNANDEZ"/>
    </sheetNames>
    <sheetDataSet>
      <sheetData sheetId="0">
        <row r="7">
          <cell r="B7" t="str">
            <v>EDELMIRA SIERRA GUTIÉRREZ</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7"/>
  <sheetViews>
    <sheetView tabSelected="1" view="pageBreakPreview" topLeftCell="A40" zoomScale="90" zoomScaleNormal="100" zoomScaleSheetLayoutView="90" workbookViewId="0">
      <selection activeCell="L48" sqref="L48:M48"/>
    </sheetView>
  </sheetViews>
  <sheetFormatPr baseColWidth="10" defaultColWidth="11.5703125" defaultRowHeight="12.75" x14ac:dyDescent="0.25"/>
  <cols>
    <col min="1" max="1" width="5.28515625" style="1" customWidth="1"/>
    <col min="2" max="2" width="31" style="1" customWidth="1"/>
    <col min="3" max="3" width="17.7109375" style="1" customWidth="1"/>
    <col min="4" max="4" width="46" style="1" customWidth="1"/>
    <col min="5" max="5" width="11.5703125" style="1" customWidth="1"/>
    <col min="6" max="6" width="12.7109375" style="1" customWidth="1"/>
    <col min="7" max="7" width="12.28515625" style="1" bestFit="1" customWidth="1"/>
    <col min="8" max="8" width="14.28515625" style="1" customWidth="1"/>
    <col min="9" max="9" width="13.28515625" style="1" customWidth="1"/>
    <col min="10" max="11" width="18.28515625" style="1" customWidth="1"/>
    <col min="12" max="13" width="15.5703125" style="3" customWidth="1"/>
    <col min="14" max="14" width="32.140625" style="3" customWidth="1"/>
    <col min="15" max="15" width="28.28515625" style="1" customWidth="1"/>
    <col min="16" max="16" width="12.140625" style="1" customWidth="1"/>
    <col min="17" max="17" width="11.28515625" style="3" customWidth="1"/>
    <col min="18" max="18" width="21.140625" style="1" customWidth="1"/>
    <col min="19" max="258" width="11.5703125" style="1"/>
    <col min="259" max="259" width="0.7109375" style="1" customWidth="1"/>
    <col min="260" max="260" width="29.7109375" style="1" customWidth="1"/>
    <col min="261" max="262" width="15.28515625" style="1" customWidth="1"/>
    <col min="263" max="263" width="43" style="1" customWidth="1"/>
    <col min="264" max="264" width="11.5703125" style="1"/>
    <col min="265" max="265" width="12.7109375" style="1" customWidth="1"/>
    <col min="266" max="266" width="12.28515625" style="1" bestFit="1" customWidth="1"/>
    <col min="267" max="267" width="14.28515625" style="1" customWidth="1"/>
    <col min="268" max="268" width="13.28515625" style="1" customWidth="1"/>
    <col min="269" max="269" width="18.85546875" style="1" customWidth="1"/>
    <col min="270" max="270" width="16.85546875" style="1" customWidth="1"/>
    <col min="271" max="271" width="36.42578125" style="1" customWidth="1"/>
    <col min="272" max="272" width="12.140625" style="1" customWidth="1"/>
    <col min="273" max="273" width="11.28515625" style="1" customWidth="1"/>
    <col min="274" max="274" width="21.140625" style="1" customWidth="1"/>
    <col min="275" max="514" width="11.5703125" style="1"/>
    <col min="515" max="515" width="0.7109375" style="1" customWidth="1"/>
    <col min="516" max="516" width="29.7109375" style="1" customWidth="1"/>
    <col min="517" max="518" width="15.28515625" style="1" customWidth="1"/>
    <col min="519" max="519" width="43" style="1" customWidth="1"/>
    <col min="520" max="520" width="11.5703125" style="1"/>
    <col min="521" max="521" width="12.7109375" style="1" customWidth="1"/>
    <col min="522" max="522" width="12.28515625" style="1" bestFit="1" customWidth="1"/>
    <col min="523" max="523" width="14.28515625" style="1" customWidth="1"/>
    <col min="524" max="524" width="13.28515625" style="1" customWidth="1"/>
    <col min="525" max="525" width="18.85546875" style="1" customWidth="1"/>
    <col min="526" max="526" width="16.85546875" style="1" customWidth="1"/>
    <col min="527" max="527" width="36.42578125" style="1" customWidth="1"/>
    <col min="528" max="528" width="12.140625" style="1" customWidth="1"/>
    <col min="529" max="529" width="11.28515625" style="1" customWidth="1"/>
    <col min="530" max="530" width="21.140625" style="1" customWidth="1"/>
    <col min="531" max="770" width="11.5703125" style="1"/>
    <col min="771" max="771" width="0.7109375" style="1" customWidth="1"/>
    <col min="772" max="772" width="29.7109375" style="1" customWidth="1"/>
    <col min="773" max="774" width="15.28515625" style="1" customWidth="1"/>
    <col min="775" max="775" width="43" style="1" customWidth="1"/>
    <col min="776" max="776" width="11.5703125" style="1"/>
    <col min="777" max="777" width="12.7109375" style="1" customWidth="1"/>
    <col min="778" max="778" width="12.28515625" style="1" bestFit="1" customWidth="1"/>
    <col min="779" max="779" width="14.28515625" style="1" customWidth="1"/>
    <col min="780" max="780" width="13.28515625" style="1" customWidth="1"/>
    <col min="781" max="781" width="18.85546875" style="1" customWidth="1"/>
    <col min="782" max="782" width="16.85546875" style="1" customWidth="1"/>
    <col min="783" max="783" width="36.42578125" style="1" customWidth="1"/>
    <col min="784" max="784" width="12.140625" style="1" customWidth="1"/>
    <col min="785" max="785" width="11.28515625" style="1" customWidth="1"/>
    <col min="786" max="786" width="21.140625" style="1" customWidth="1"/>
    <col min="787" max="1026" width="11.5703125" style="1"/>
    <col min="1027" max="1027" width="0.7109375" style="1" customWidth="1"/>
    <col min="1028" max="1028" width="29.7109375" style="1" customWidth="1"/>
    <col min="1029" max="1030" width="15.28515625" style="1" customWidth="1"/>
    <col min="1031" max="1031" width="43" style="1" customWidth="1"/>
    <col min="1032" max="1032" width="11.5703125" style="1"/>
    <col min="1033" max="1033" width="12.7109375" style="1" customWidth="1"/>
    <col min="1034" max="1034" width="12.28515625" style="1" bestFit="1" customWidth="1"/>
    <col min="1035" max="1035" width="14.28515625" style="1" customWidth="1"/>
    <col min="1036" max="1036" width="13.28515625" style="1" customWidth="1"/>
    <col min="1037" max="1037" width="18.85546875" style="1" customWidth="1"/>
    <col min="1038" max="1038" width="16.85546875" style="1" customWidth="1"/>
    <col min="1039" max="1039" width="36.42578125" style="1" customWidth="1"/>
    <col min="1040" max="1040" width="12.140625" style="1" customWidth="1"/>
    <col min="1041" max="1041" width="11.28515625" style="1" customWidth="1"/>
    <col min="1042" max="1042" width="21.140625" style="1" customWidth="1"/>
    <col min="1043" max="1282" width="11.5703125" style="1"/>
    <col min="1283" max="1283" width="0.7109375" style="1" customWidth="1"/>
    <col min="1284" max="1284" width="29.7109375" style="1" customWidth="1"/>
    <col min="1285" max="1286" width="15.28515625" style="1" customWidth="1"/>
    <col min="1287" max="1287" width="43" style="1" customWidth="1"/>
    <col min="1288" max="1288" width="11.5703125" style="1"/>
    <col min="1289" max="1289" width="12.7109375" style="1" customWidth="1"/>
    <col min="1290" max="1290" width="12.28515625" style="1" bestFit="1" customWidth="1"/>
    <col min="1291" max="1291" width="14.28515625" style="1" customWidth="1"/>
    <col min="1292" max="1292" width="13.28515625" style="1" customWidth="1"/>
    <col min="1293" max="1293" width="18.85546875" style="1" customWidth="1"/>
    <col min="1294" max="1294" width="16.85546875" style="1" customWidth="1"/>
    <col min="1295" max="1295" width="36.42578125" style="1" customWidth="1"/>
    <col min="1296" max="1296" width="12.140625" style="1" customWidth="1"/>
    <col min="1297" max="1297" width="11.28515625" style="1" customWidth="1"/>
    <col min="1298" max="1298" width="21.140625" style="1" customWidth="1"/>
    <col min="1299" max="1538" width="11.5703125" style="1"/>
    <col min="1539" max="1539" width="0.7109375" style="1" customWidth="1"/>
    <col min="1540" max="1540" width="29.7109375" style="1" customWidth="1"/>
    <col min="1541" max="1542" width="15.28515625" style="1" customWidth="1"/>
    <col min="1543" max="1543" width="43" style="1" customWidth="1"/>
    <col min="1544" max="1544" width="11.5703125" style="1"/>
    <col min="1545" max="1545" width="12.7109375" style="1" customWidth="1"/>
    <col min="1546" max="1546" width="12.28515625" style="1" bestFit="1" customWidth="1"/>
    <col min="1547" max="1547" width="14.28515625" style="1" customWidth="1"/>
    <col min="1548" max="1548" width="13.28515625" style="1" customWidth="1"/>
    <col min="1549" max="1549" width="18.85546875" style="1" customWidth="1"/>
    <col min="1550" max="1550" width="16.85546875" style="1" customWidth="1"/>
    <col min="1551" max="1551" width="36.42578125" style="1" customWidth="1"/>
    <col min="1552" max="1552" width="12.140625" style="1" customWidth="1"/>
    <col min="1553" max="1553" width="11.28515625" style="1" customWidth="1"/>
    <col min="1554" max="1554" width="21.140625" style="1" customWidth="1"/>
    <col min="1555" max="1794" width="11.5703125" style="1"/>
    <col min="1795" max="1795" width="0.7109375" style="1" customWidth="1"/>
    <col min="1796" max="1796" width="29.7109375" style="1" customWidth="1"/>
    <col min="1797" max="1798" width="15.28515625" style="1" customWidth="1"/>
    <col min="1799" max="1799" width="43" style="1" customWidth="1"/>
    <col min="1800" max="1800" width="11.5703125" style="1"/>
    <col min="1801" max="1801" width="12.7109375" style="1" customWidth="1"/>
    <col min="1802" max="1802" width="12.28515625" style="1" bestFit="1" customWidth="1"/>
    <col min="1803" max="1803" width="14.28515625" style="1" customWidth="1"/>
    <col min="1804" max="1804" width="13.28515625" style="1" customWidth="1"/>
    <col min="1805" max="1805" width="18.85546875" style="1" customWidth="1"/>
    <col min="1806" max="1806" width="16.85546875" style="1" customWidth="1"/>
    <col min="1807" max="1807" width="36.42578125" style="1" customWidth="1"/>
    <col min="1808" max="1808" width="12.140625" style="1" customWidth="1"/>
    <col min="1809" max="1809" width="11.28515625" style="1" customWidth="1"/>
    <col min="1810" max="1810" width="21.140625" style="1" customWidth="1"/>
    <col min="1811" max="2050" width="11.5703125" style="1"/>
    <col min="2051" max="2051" width="0.7109375" style="1" customWidth="1"/>
    <col min="2052" max="2052" width="29.7109375" style="1" customWidth="1"/>
    <col min="2053" max="2054" width="15.28515625" style="1" customWidth="1"/>
    <col min="2055" max="2055" width="43" style="1" customWidth="1"/>
    <col min="2056" max="2056" width="11.5703125" style="1"/>
    <col min="2057" max="2057" width="12.7109375" style="1" customWidth="1"/>
    <col min="2058" max="2058" width="12.28515625" style="1" bestFit="1" customWidth="1"/>
    <col min="2059" max="2059" width="14.28515625" style="1" customWidth="1"/>
    <col min="2060" max="2060" width="13.28515625" style="1" customWidth="1"/>
    <col min="2061" max="2061" width="18.85546875" style="1" customWidth="1"/>
    <col min="2062" max="2062" width="16.85546875" style="1" customWidth="1"/>
    <col min="2063" max="2063" width="36.42578125" style="1" customWidth="1"/>
    <col min="2064" max="2064" width="12.140625" style="1" customWidth="1"/>
    <col min="2065" max="2065" width="11.28515625" style="1" customWidth="1"/>
    <col min="2066" max="2066" width="21.140625" style="1" customWidth="1"/>
    <col min="2067" max="2306" width="11.5703125" style="1"/>
    <col min="2307" max="2307" width="0.7109375" style="1" customWidth="1"/>
    <col min="2308" max="2308" width="29.7109375" style="1" customWidth="1"/>
    <col min="2309" max="2310" width="15.28515625" style="1" customWidth="1"/>
    <col min="2311" max="2311" width="43" style="1" customWidth="1"/>
    <col min="2312" max="2312" width="11.5703125" style="1"/>
    <col min="2313" max="2313" width="12.7109375" style="1" customWidth="1"/>
    <col min="2314" max="2314" width="12.28515625" style="1" bestFit="1" customWidth="1"/>
    <col min="2315" max="2315" width="14.28515625" style="1" customWidth="1"/>
    <col min="2316" max="2316" width="13.28515625" style="1" customWidth="1"/>
    <col min="2317" max="2317" width="18.85546875" style="1" customWidth="1"/>
    <col min="2318" max="2318" width="16.85546875" style="1" customWidth="1"/>
    <col min="2319" max="2319" width="36.42578125" style="1" customWidth="1"/>
    <col min="2320" max="2320" width="12.140625" style="1" customWidth="1"/>
    <col min="2321" max="2321" width="11.28515625" style="1" customWidth="1"/>
    <col min="2322" max="2322" width="21.140625" style="1" customWidth="1"/>
    <col min="2323" max="2562" width="11.5703125" style="1"/>
    <col min="2563" max="2563" width="0.7109375" style="1" customWidth="1"/>
    <col min="2564" max="2564" width="29.7109375" style="1" customWidth="1"/>
    <col min="2565" max="2566" width="15.28515625" style="1" customWidth="1"/>
    <col min="2567" max="2567" width="43" style="1" customWidth="1"/>
    <col min="2568" max="2568" width="11.5703125" style="1"/>
    <col min="2569" max="2569" width="12.7109375" style="1" customWidth="1"/>
    <col min="2570" max="2570" width="12.28515625" style="1" bestFit="1" customWidth="1"/>
    <col min="2571" max="2571" width="14.28515625" style="1" customWidth="1"/>
    <col min="2572" max="2572" width="13.28515625" style="1" customWidth="1"/>
    <col min="2573" max="2573" width="18.85546875" style="1" customWidth="1"/>
    <col min="2574" max="2574" width="16.85546875" style="1" customWidth="1"/>
    <col min="2575" max="2575" width="36.42578125" style="1" customWidth="1"/>
    <col min="2576" max="2576" width="12.140625" style="1" customWidth="1"/>
    <col min="2577" max="2577" width="11.28515625" style="1" customWidth="1"/>
    <col min="2578" max="2578" width="21.140625" style="1" customWidth="1"/>
    <col min="2579" max="2818" width="11.5703125" style="1"/>
    <col min="2819" max="2819" width="0.7109375" style="1" customWidth="1"/>
    <col min="2820" max="2820" width="29.7109375" style="1" customWidth="1"/>
    <col min="2821" max="2822" width="15.28515625" style="1" customWidth="1"/>
    <col min="2823" max="2823" width="43" style="1" customWidth="1"/>
    <col min="2824" max="2824" width="11.5703125" style="1"/>
    <col min="2825" max="2825" width="12.7109375" style="1" customWidth="1"/>
    <col min="2826" max="2826" width="12.28515625" style="1" bestFit="1" customWidth="1"/>
    <col min="2827" max="2827" width="14.28515625" style="1" customWidth="1"/>
    <col min="2828" max="2828" width="13.28515625" style="1" customWidth="1"/>
    <col min="2829" max="2829" width="18.85546875" style="1" customWidth="1"/>
    <col min="2830" max="2830" width="16.85546875" style="1" customWidth="1"/>
    <col min="2831" max="2831" width="36.42578125" style="1" customWidth="1"/>
    <col min="2832" max="2832" width="12.140625" style="1" customWidth="1"/>
    <col min="2833" max="2833" width="11.28515625" style="1" customWidth="1"/>
    <col min="2834" max="2834" width="21.140625" style="1" customWidth="1"/>
    <col min="2835" max="3074" width="11.5703125" style="1"/>
    <col min="3075" max="3075" width="0.7109375" style="1" customWidth="1"/>
    <col min="3076" max="3076" width="29.7109375" style="1" customWidth="1"/>
    <col min="3077" max="3078" width="15.28515625" style="1" customWidth="1"/>
    <col min="3079" max="3079" width="43" style="1" customWidth="1"/>
    <col min="3080" max="3080" width="11.5703125" style="1"/>
    <col min="3081" max="3081" width="12.7109375" style="1" customWidth="1"/>
    <col min="3082" max="3082" width="12.28515625" style="1" bestFit="1" customWidth="1"/>
    <col min="3083" max="3083" width="14.28515625" style="1" customWidth="1"/>
    <col min="3084" max="3084" width="13.28515625" style="1" customWidth="1"/>
    <col min="3085" max="3085" width="18.85546875" style="1" customWidth="1"/>
    <col min="3086" max="3086" width="16.85546875" style="1" customWidth="1"/>
    <col min="3087" max="3087" width="36.42578125" style="1" customWidth="1"/>
    <col min="3088" max="3088" width="12.140625" style="1" customWidth="1"/>
    <col min="3089" max="3089" width="11.28515625" style="1" customWidth="1"/>
    <col min="3090" max="3090" width="21.140625" style="1" customWidth="1"/>
    <col min="3091" max="3330" width="11.5703125" style="1"/>
    <col min="3331" max="3331" width="0.7109375" style="1" customWidth="1"/>
    <col min="3332" max="3332" width="29.7109375" style="1" customWidth="1"/>
    <col min="3333" max="3334" width="15.28515625" style="1" customWidth="1"/>
    <col min="3335" max="3335" width="43" style="1" customWidth="1"/>
    <col min="3336" max="3336" width="11.5703125" style="1"/>
    <col min="3337" max="3337" width="12.7109375" style="1" customWidth="1"/>
    <col min="3338" max="3338" width="12.28515625" style="1" bestFit="1" customWidth="1"/>
    <col min="3339" max="3339" width="14.28515625" style="1" customWidth="1"/>
    <col min="3340" max="3340" width="13.28515625" style="1" customWidth="1"/>
    <col min="3341" max="3341" width="18.85546875" style="1" customWidth="1"/>
    <col min="3342" max="3342" width="16.85546875" style="1" customWidth="1"/>
    <col min="3343" max="3343" width="36.42578125" style="1" customWidth="1"/>
    <col min="3344" max="3344" width="12.140625" style="1" customWidth="1"/>
    <col min="3345" max="3345" width="11.28515625" style="1" customWidth="1"/>
    <col min="3346" max="3346" width="21.140625" style="1" customWidth="1"/>
    <col min="3347" max="3586" width="11.5703125" style="1"/>
    <col min="3587" max="3587" width="0.7109375" style="1" customWidth="1"/>
    <col min="3588" max="3588" width="29.7109375" style="1" customWidth="1"/>
    <col min="3589" max="3590" width="15.28515625" style="1" customWidth="1"/>
    <col min="3591" max="3591" width="43" style="1" customWidth="1"/>
    <col min="3592" max="3592" width="11.5703125" style="1"/>
    <col min="3593" max="3593" width="12.7109375" style="1" customWidth="1"/>
    <col min="3594" max="3594" width="12.28515625" style="1" bestFit="1" customWidth="1"/>
    <col min="3595" max="3595" width="14.28515625" style="1" customWidth="1"/>
    <col min="3596" max="3596" width="13.28515625" style="1" customWidth="1"/>
    <col min="3597" max="3597" width="18.85546875" style="1" customWidth="1"/>
    <col min="3598" max="3598" width="16.85546875" style="1" customWidth="1"/>
    <col min="3599" max="3599" width="36.42578125" style="1" customWidth="1"/>
    <col min="3600" max="3600" width="12.140625" style="1" customWidth="1"/>
    <col min="3601" max="3601" width="11.28515625" style="1" customWidth="1"/>
    <col min="3602" max="3602" width="21.140625" style="1" customWidth="1"/>
    <col min="3603" max="3842" width="11.5703125" style="1"/>
    <col min="3843" max="3843" width="0.7109375" style="1" customWidth="1"/>
    <col min="3844" max="3844" width="29.7109375" style="1" customWidth="1"/>
    <col min="3845" max="3846" width="15.28515625" style="1" customWidth="1"/>
    <col min="3847" max="3847" width="43" style="1" customWidth="1"/>
    <col min="3848" max="3848" width="11.5703125" style="1"/>
    <col min="3849" max="3849" width="12.7109375" style="1" customWidth="1"/>
    <col min="3850" max="3850" width="12.28515625" style="1" bestFit="1" customWidth="1"/>
    <col min="3851" max="3851" width="14.28515625" style="1" customWidth="1"/>
    <col min="3852" max="3852" width="13.28515625" style="1" customWidth="1"/>
    <col min="3853" max="3853" width="18.85546875" style="1" customWidth="1"/>
    <col min="3854" max="3854" width="16.85546875" style="1" customWidth="1"/>
    <col min="3855" max="3855" width="36.42578125" style="1" customWidth="1"/>
    <col min="3856" max="3856" width="12.140625" style="1" customWidth="1"/>
    <col min="3857" max="3857" width="11.28515625" style="1" customWidth="1"/>
    <col min="3858" max="3858" width="21.140625" style="1" customWidth="1"/>
    <col min="3859" max="4098" width="11.5703125" style="1"/>
    <col min="4099" max="4099" width="0.7109375" style="1" customWidth="1"/>
    <col min="4100" max="4100" width="29.7109375" style="1" customWidth="1"/>
    <col min="4101" max="4102" width="15.28515625" style="1" customWidth="1"/>
    <col min="4103" max="4103" width="43" style="1" customWidth="1"/>
    <col min="4104" max="4104" width="11.5703125" style="1"/>
    <col min="4105" max="4105" width="12.7109375" style="1" customWidth="1"/>
    <col min="4106" max="4106" width="12.28515625" style="1" bestFit="1" customWidth="1"/>
    <col min="4107" max="4107" width="14.28515625" style="1" customWidth="1"/>
    <col min="4108" max="4108" width="13.28515625" style="1" customWidth="1"/>
    <col min="4109" max="4109" width="18.85546875" style="1" customWidth="1"/>
    <col min="4110" max="4110" width="16.85546875" style="1" customWidth="1"/>
    <col min="4111" max="4111" width="36.42578125" style="1" customWidth="1"/>
    <col min="4112" max="4112" width="12.140625" style="1" customWidth="1"/>
    <col min="4113" max="4113" width="11.28515625" style="1" customWidth="1"/>
    <col min="4114" max="4114" width="21.140625" style="1" customWidth="1"/>
    <col min="4115" max="4354" width="11.5703125" style="1"/>
    <col min="4355" max="4355" width="0.7109375" style="1" customWidth="1"/>
    <col min="4356" max="4356" width="29.7109375" style="1" customWidth="1"/>
    <col min="4357" max="4358" width="15.28515625" style="1" customWidth="1"/>
    <col min="4359" max="4359" width="43" style="1" customWidth="1"/>
    <col min="4360" max="4360" width="11.5703125" style="1"/>
    <col min="4361" max="4361" width="12.7109375" style="1" customWidth="1"/>
    <col min="4362" max="4362" width="12.28515625" style="1" bestFit="1" customWidth="1"/>
    <col min="4363" max="4363" width="14.28515625" style="1" customWidth="1"/>
    <col min="4364" max="4364" width="13.28515625" style="1" customWidth="1"/>
    <col min="4365" max="4365" width="18.85546875" style="1" customWidth="1"/>
    <col min="4366" max="4366" width="16.85546875" style="1" customWidth="1"/>
    <col min="4367" max="4367" width="36.42578125" style="1" customWidth="1"/>
    <col min="4368" max="4368" width="12.140625" style="1" customWidth="1"/>
    <col min="4369" max="4369" width="11.28515625" style="1" customWidth="1"/>
    <col min="4370" max="4370" width="21.140625" style="1" customWidth="1"/>
    <col min="4371" max="4610" width="11.5703125" style="1"/>
    <col min="4611" max="4611" width="0.7109375" style="1" customWidth="1"/>
    <col min="4612" max="4612" width="29.7109375" style="1" customWidth="1"/>
    <col min="4613" max="4614" width="15.28515625" style="1" customWidth="1"/>
    <col min="4615" max="4615" width="43" style="1" customWidth="1"/>
    <col min="4616" max="4616" width="11.5703125" style="1"/>
    <col min="4617" max="4617" width="12.7109375" style="1" customWidth="1"/>
    <col min="4618" max="4618" width="12.28515625" style="1" bestFit="1" customWidth="1"/>
    <col min="4619" max="4619" width="14.28515625" style="1" customWidth="1"/>
    <col min="4620" max="4620" width="13.28515625" style="1" customWidth="1"/>
    <col min="4621" max="4621" width="18.85546875" style="1" customWidth="1"/>
    <col min="4622" max="4622" width="16.85546875" style="1" customWidth="1"/>
    <col min="4623" max="4623" width="36.42578125" style="1" customWidth="1"/>
    <col min="4624" max="4624" width="12.140625" style="1" customWidth="1"/>
    <col min="4625" max="4625" width="11.28515625" style="1" customWidth="1"/>
    <col min="4626" max="4626" width="21.140625" style="1" customWidth="1"/>
    <col min="4627" max="4866" width="11.5703125" style="1"/>
    <col min="4867" max="4867" width="0.7109375" style="1" customWidth="1"/>
    <col min="4868" max="4868" width="29.7109375" style="1" customWidth="1"/>
    <col min="4869" max="4870" width="15.28515625" style="1" customWidth="1"/>
    <col min="4871" max="4871" width="43" style="1" customWidth="1"/>
    <col min="4872" max="4872" width="11.5703125" style="1"/>
    <col min="4873" max="4873" width="12.7109375" style="1" customWidth="1"/>
    <col min="4874" max="4874" width="12.28515625" style="1" bestFit="1" customWidth="1"/>
    <col min="4875" max="4875" width="14.28515625" style="1" customWidth="1"/>
    <col min="4876" max="4876" width="13.28515625" style="1" customWidth="1"/>
    <col min="4877" max="4877" width="18.85546875" style="1" customWidth="1"/>
    <col min="4878" max="4878" width="16.85546875" style="1" customWidth="1"/>
    <col min="4879" max="4879" width="36.42578125" style="1" customWidth="1"/>
    <col min="4880" max="4880" width="12.140625" style="1" customWidth="1"/>
    <col min="4881" max="4881" width="11.28515625" style="1" customWidth="1"/>
    <col min="4882" max="4882" width="21.140625" style="1" customWidth="1"/>
    <col min="4883" max="5122" width="11.5703125" style="1"/>
    <col min="5123" max="5123" width="0.7109375" style="1" customWidth="1"/>
    <col min="5124" max="5124" width="29.7109375" style="1" customWidth="1"/>
    <col min="5125" max="5126" width="15.28515625" style="1" customWidth="1"/>
    <col min="5127" max="5127" width="43" style="1" customWidth="1"/>
    <col min="5128" max="5128" width="11.5703125" style="1"/>
    <col min="5129" max="5129" width="12.7109375" style="1" customWidth="1"/>
    <col min="5130" max="5130" width="12.28515625" style="1" bestFit="1" customWidth="1"/>
    <col min="5131" max="5131" width="14.28515625" style="1" customWidth="1"/>
    <col min="5132" max="5132" width="13.28515625" style="1" customWidth="1"/>
    <col min="5133" max="5133" width="18.85546875" style="1" customWidth="1"/>
    <col min="5134" max="5134" width="16.85546875" style="1" customWidth="1"/>
    <col min="5135" max="5135" width="36.42578125" style="1" customWidth="1"/>
    <col min="5136" max="5136" width="12.140625" style="1" customWidth="1"/>
    <col min="5137" max="5137" width="11.28515625" style="1" customWidth="1"/>
    <col min="5138" max="5138" width="21.140625" style="1" customWidth="1"/>
    <col min="5139" max="5378" width="11.5703125" style="1"/>
    <col min="5379" max="5379" width="0.7109375" style="1" customWidth="1"/>
    <col min="5380" max="5380" width="29.7109375" style="1" customWidth="1"/>
    <col min="5381" max="5382" width="15.28515625" style="1" customWidth="1"/>
    <col min="5383" max="5383" width="43" style="1" customWidth="1"/>
    <col min="5384" max="5384" width="11.5703125" style="1"/>
    <col min="5385" max="5385" width="12.7109375" style="1" customWidth="1"/>
    <col min="5386" max="5386" width="12.28515625" style="1" bestFit="1" customWidth="1"/>
    <col min="5387" max="5387" width="14.28515625" style="1" customWidth="1"/>
    <col min="5388" max="5388" width="13.28515625" style="1" customWidth="1"/>
    <col min="5389" max="5389" width="18.85546875" style="1" customWidth="1"/>
    <col min="5390" max="5390" width="16.85546875" style="1" customWidth="1"/>
    <col min="5391" max="5391" width="36.42578125" style="1" customWidth="1"/>
    <col min="5392" max="5392" width="12.140625" style="1" customWidth="1"/>
    <col min="5393" max="5393" width="11.28515625" style="1" customWidth="1"/>
    <col min="5394" max="5394" width="21.140625" style="1" customWidth="1"/>
    <col min="5395" max="5634" width="11.5703125" style="1"/>
    <col min="5635" max="5635" width="0.7109375" style="1" customWidth="1"/>
    <col min="5636" max="5636" width="29.7109375" style="1" customWidth="1"/>
    <col min="5637" max="5638" width="15.28515625" style="1" customWidth="1"/>
    <col min="5639" max="5639" width="43" style="1" customWidth="1"/>
    <col min="5640" max="5640" width="11.5703125" style="1"/>
    <col min="5641" max="5641" width="12.7109375" style="1" customWidth="1"/>
    <col min="5642" max="5642" width="12.28515625" style="1" bestFit="1" customWidth="1"/>
    <col min="5643" max="5643" width="14.28515625" style="1" customWidth="1"/>
    <col min="5644" max="5644" width="13.28515625" style="1" customWidth="1"/>
    <col min="5645" max="5645" width="18.85546875" style="1" customWidth="1"/>
    <col min="5646" max="5646" width="16.85546875" style="1" customWidth="1"/>
    <col min="5647" max="5647" width="36.42578125" style="1" customWidth="1"/>
    <col min="5648" max="5648" width="12.140625" style="1" customWidth="1"/>
    <col min="5649" max="5649" width="11.28515625" style="1" customWidth="1"/>
    <col min="5650" max="5650" width="21.140625" style="1" customWidth="1"/>
    <col min="5651" max="5890" width="11.5703125" style="1"/>
    <col min="5891" max="5891" width="0.7109375" style="1" customWidth="1"/>
    <col min="5892" max="5892" width="29.7109375" style="1" customWidth="1"/>
    <col min="5893" max="5894" width="15.28515625" style="1" customWidth="1"/>
    <col min="5895" max="5895" width="43" style="1" customWidth="1"/>
    <col min="5896" max="5896" width="11.5703125" style="1"/>
    <col min="5897" max="5897" width="12.7109375" style="1" customWidth="1"/>
    <col min="5898" max="5898" width="12.28515625" style="1" bestFit="1" customWidth="1"/>
    <col min="5899" max="5899" width="14.28515625" style="1" customWidth="1"/>
    <col min="5900" max="5900" width="13.28515625" style="1" customWidth="1"/>
    <col min="5901" max="5901" width="18.85546875" style="1" customWidth="1"/>
    <col min="5902" max="5902" width="16.85546875" style="1" customWidth="1"/>
    <col min="5903" max="5903" width="36.42578125" style="1" customWidth="1"/>
    <col min="5904" max="5904" width="12.140625" style="1" customWidth="1"/>
    <col min="5905" max="5905" width="11.28515625" style="1" customWidth="1"/>
    <col min="5906" max="5906" width="21.140625" style="1" customWidth="1"/>
    <col min="5907" max="6146" width="11.5703125" style="1"/>
    <col min="6147" max="6147" width="0.7109375" style="1" customWidth="1"/>
    <col min="6148" max="6148" width="29.7109375" style="1" customWidth="1"/>
    <col min="6149" max="6150" width="15.28515625" style="1" customWidth="1"/>
    <col min="6151" max="6151" width="43" style="1" customWidth="1"/>
    <col min="6152" max="6152" width="11.5703125" style="1"/>
    <col min="6153" max="6153" width="12.7109375" style="1" customWidth="1"/>
    <col min="6154" max="6154" width="12.28515625" style="1" bestFit="1" customWidth="1"/>
    <col min="6155" max="6155" width="14.28515625" style="1" customWidth="1"/>
    <col min="6156" max="6156" width="13.28515625" style="1" customWidth="1"/>
    <col min="6157" max="6157" width="18.85546875" style="1" customWidth="1"/>
    <col min="6158" max="6158" width="16.85546875" style="1" customWidth="1"/>
    <col min="6159" max="6159" width="36.42578125" style="1" customWidth="1"/>
    <col min="6160" max="6160" width="12.140625" style="1" customWidth="1"/>
    <col min="6161" max="6161" width="11.28515625" style="1" customWidth="1"/>
    <col min="6162" max="6162" width="21.140625" style="1" customWidth="1"/>
    <col min="6163" max="6402" width="11.5703125" style="1"/>
    <col min="6403" max="6403" width="0.7109375" style="1" customWidth="1"/>
    <col min="6404" max="6404" width="29.7109375" style="1" customWidth="1"/>
    <col min="6405" max="6406" width="15.28515625" style="1" customWidth="1"/>
    <col min="6407" max="6407" width="43" style="1" customWidth="1"/>
    <col min="6408" max="6408" width="11.5703125" style="1"/>
    <col min="6409" max="6409" width="12.7109375" style="1" customWidth="1"/>
    <col min="6410" max="6410" width="12.28515625" style="1" bestFit="1" customWidth="1"/>
    <col min="6411" max="6411" width="14.28515625" style="1" customWidth="1"/>
    <col min="6412" max="6412" width="13.28515625" style="1" customWidth="1"/>
    <col min="6413" max="6413" width="18.85546875" style="1" customWidth="1"/>
    <col min="6414" max="6414" width="16.85546875" style="1" customWidth="1"/>
    <col min="6415" max="6415" width="36.42578125" style="1" customWidth="1"/>
    <col min="6416" max="6416" width="12.140625" style="1" customWidth="1"/>
    <col min="6417" max="6417" width="11.28515625" style="1" customWidth="1"/>
    <col min="6418" max="6418" width="21.140625" style="1" customWidth="1"/>
    <col min="6419" max="6658" width="11.5703125" style="1"/>
    <col min="6659" max="6659" width="0.7109375" style="1" customWidth="1"/>
    <col min="6660" max="6660" width="29.7109375" style="1" customWidth="1"/>
    <col min="6661" max="6662" width="15.28515625" style="1" customWidth="1"/>
    <col min="6663" max="6663" width="43" style="1" customWidth="1"/>
    <col min="6664" max="6664" width="11.5703125" style="1"/>
    <col min="6665" max="6665" width="12.7109375" style="1" customWidth="1"/>
    <col min="6666" max="6666" width="12.28515625" style="1" bestFit="1" customWidth="1"/>
    <col min="6667" max="6667" width="14.28515625" style="1" customWidth="1"/>
    <col min="6668" max="6668" width="13.28515625" style="1" customWidth="1"/>
    <col min="6669" max="6669" width="18.85546875" style="1" customWidth="1"/>
    <col min="6670" max="6670" width="16.85546875" style="1" customWidth="1"/>
    <col min="6671" max="6671" width="36.42578125" style="1" customWidth="1"/>
    <col min="6672" max="6672" width="12.140625" style="1" customWidth="1"/>
    <col min="6673" max="6673" width="11.28515625" style="1" customWidth="1"/>
    <col min="6674" max="6674" width="21.140625" style="1" customWidth="1"/>
    <col min="6675" max="6914" width="11.5703125" style="1"/>
    <col min="6915" max="6915" width="0.7109375" style="1" customWidth="1"/>
    <col min="6916" max="6916" width="29.7109375" style="1" customWidth="1"/>
    <col min="6917" max="6918" width="15.28515625" style="1" customWidth="1"/>
    <col min="6919" max="6919" width="43" style="1" customWidth="1"/>
    <col min="6920" max="6920" width="11.5703125" style="1"/>
    <col min="6921" max="6921" width="12.7109375" style="1" customWidth="1"/>
    <col min="6922" max="6922" width="12.28515625" style="1" bestFit="1" customWidth="1"/>
    <col min="6923" max="6923" width="14.28515625" style="1" customWidth="1"/>
    <col min="6924" max="6924" width="13.28515625" style="1" customWidth="1"/>
    <col min="6925" max="6925" width="18.85546875" style="1" customWidth="1"/>
    <col min="6926" max="6926" width="16.85546875" style="1" customWidth="1"/>
    <col min="6927" max="6927" width="36.42578125" style="1" customWidth="1"/>
    <col min="6928" max="6928" width="12.140625" style="1" customWidth="1"/>
    <col min="6929" max="6929" width="11.28515625" style="1" customWidth="1"/>
    <col min="6930" max="6930" width="21.140625" style="1" customWidth="1"/>
    <col min="6931" max="7170" width="11.5703125" style="1"/>
    <col min="7171" max="7171" width="0.7109375" style="1" customWidth="1"/>
    <col min="7172" max="7172" width="29.7109375" style="1" customWidth="1"/>
    <col min="7173" max="7174" width="15.28515625" style="1" customWidth="1"/>
    <col min="7175" max="7175" width="43" style="1" customWidth="1"/>
    <col min="7176" max="7176" width="11.5703125" style="1"/>
    <col min="7177" max="7177" width="12.7109375" style="1" customWidth="1"/>
    <col min="7178" max="7178" width="12.28515625" style="1" bestFit="1" customWidth="1"/>
    <col min="7179" max="7179" width="14.28515625" style="1" customWidth="1"/>
    <col min="7180" max="7180" width="13.28515625" style="1" customWidth="1"/>
    <col min="7181" max="7181" width="18.85546875" style="1" customWidth="1"/>
    <col min="7182" max="7182" width="16.85546875" style="1" customWidth="1"/>
    <col min="7183" max="7183" width="36.42578125" style="1" customWidth="1"/>
    <col min="7184" max="7184" width="12.140625" style="1" customWidth="1"/>
    <col min="7185" max="7185" width="11.28515625" style="1" customWidth="1"/>
    <col min="7186" max="7186" width="21.140625" style="1" customWidth="1"/>
    <col min="7187" max="7426" width="11.5703125" style="1"/>
    <col min="7427" max="7427" width="0.7109375" style="1" customWidth="1"/>
    <col min="7428" max="7428" width="29.7109375" style="1" customWidth="1"/>
    <col min="7429" max="7430" width="15.28515625" style="1" customWidth="1"/>
    <col min="7431" max="7431" width="43" style="1" customWidth="1"/>
    <col min="7432" max="7432" width="11.5703125" style="1"/>
    <col min="7433" max="7433" width="12.7109375" style="1" customWidth="1"/>
    <col min="7434" max="7434" width="12.28515625" style="1" bestFit="1" customWidth="1"/>
    <col min="7435" max="7435" width="14.28515625" style="1" customWidth="1"/>
    <col min="7436" max="7436" width="13.28515625" style="1" customWidth="1"/>
    <col min="7437" max="7437" width="18.85546875" style="1" customWidth="1"/>
    <col min="7438" max="7438" width="16.85546875" style="1" customWidth="1"/>
    <col min="7439" max="7439" width="36.42578125" style="1" customWidth="1"/>
    <col min="7440" max="7440" width="12.140625" style="1" customWidth="1"/>
    <col min="7441" max="7441" width="11.28515625" style="1" customWidth="1"/>
    <col min="7442" max="7442" width="21.140625" style="1" customWidth="1"/>
    <col min="7443" max="7682" width="11.5703125" style="1"/>
    <col min="7683" max="7683" width="0.7109375" style="1" customWidth="1"/>
    <col min="7684" max="7684" width="29.7109375" style="1" customWidth="1"/>
    <col min="7685" max="7686" width="15.28515625" style="1" customWidth="1"/>
    <col min="7687" max="7687" width="43" style="1" customWidth="1"/>
    <col min="7688" max="7688" width="11.5703125" style="1"/>
    <col min="7689" max="7689" width="12.7109375" style="1" customWidth="1"/>
    <col min="7690" max="7690" width="12.28515625" style="1" bestFit="1" customWidth="1"/>
    <col min="7691" max="7691" width="14.28515625" style="1" customWidth="1"/>
    <col min="7692" max="7692" width="13.28515625" style="1" customWidth="1"/>
    <col min="7693" max="7693" width="18.85546875" style="1" customWidth="1"/>
    <col min="7694" max="7694" width="16.85546875" style="1" customWidth="1"/>
    <col min="7695" max="7695" width="36.42578125" style="1" customWidth="1"/>
    <col min="7696" max="7696" width="12.140625" style="1" customWidth="1"/>
    <col min="7697" max="7697" width="11.28515625" style="1" customWidth="1"/>
    <col min="7698" max="7698" width="21.140625" style="1" customWidth="1"/>
    <col min="7699" max="7938" width="11.5703125" style="1"/>
    <col min="7939" max="7939" width="0.7109375" style="1" customWidth="1"/>
    <col min="7940" max="7940" width="29.7109375" style="1" customWidth="1"/>
    <col min="7941" max="7942" width="15.28515625" style="1" customWidth="1"/>
    <col min="7943" max="7943" width="43" style="1" customWidth="1"/>
    <col min="7944" max="7944" width="11.5703125" style="1"/>
    <col min="7945" max="7945" width="12.7109375" style="1" customWidth="1"/>
    <col min="7946" max="7946" width="12.28515625" style="1" bestFit="1" customWidth="1"/>
    <col min="7947" max="7947" width="14.28515625" style="1" customWidth="1"/>
    <col min="7948" max="7948" width="13.28515625" style="1" customWidth="1"/>
    <col min="7949" max="7949" width="18.85546875" style="1" customWidth="1"/>
    <col min="7950" max="7950" width="16.85546875" style="1" customWidth="1"/>
    <col min="7951" max="7951" width="36.42578125" style="1" customWidth="1"/>
    <col min="7952" max="7952" width="12.140625" style="1" customWidth="1"/>
    <col min="7953" max="7953" width="11.28515625" style="1" customWidth="1"/>
    <col min="7954" max="7954" width="21.140625" style="1" customWidth="1"/>
    <col min="7955" max="8194" width="11.5703125" style="1"/>
    <col min="8195" max="8195" width="0.7109375" style="1" customWidth="1"/>
    <col min="8196" max="8196" width="29.7109375" style="1" customWidth="1"/>
    <col min="8197" max="8198" width="15.28515625" style="1" customWidth="1"/>
    <col min="8199" max="8199" width="43" style="1" customWidth="1"/>
    <col min="8200" max="8200" width="11.5703125" style="1"/>
    <col min="8201" max="8201" width="12.7109375" style="1" customWidth="1"/>
    <col min="8202" max="8202" width="12.28515625" style="1" bestFit="1" customWidth="1"/>
    <col min="8203" max="8203" width="14.28515625" style="1" customWidth="1"/>
    <col min="8204" max="8204" width="13.28515625" style="1" customWidth="1"/>
    <col min="8205" max="8205" width="18.85546875" style="1" customWidth="1"/>
    <col min="8206" max="8206" width="16.85546875" style="1" customWidth="1"/>
    <col min="8207" max="8207" width="36.42578125" style="1" customWidth="1"/>
    <col min="8208" max="8208" width="12.140625" style="1" customWidth="1"/>
    <col min="8209" max="8209" width="11.28515625" style="1" customWidth="1"/>
    <col min="8210" max="8210" width="21.140625" style="1" customWidth="1"/>
    <col min="8211" max="8450" width="11.5703125" style="1"/>
    <col min="8451" max="8451" width="0.7109375" style="1" customWidth="1"/>
    <col min="8452" max="8452" width="29.7109375" style="1" customWidth="1"/>
    <col min="8453" max="8454" width="15.28515625" style="1" customWidth="1"/>
    <col min="8455" max="8455" width="43" style="1" customWidth="1"/>
    <col min="8456" max="8456" width="11.5703125" style="1"/>
    <col min="8457" max="8457" width="12.7109375" style="1" customWidth="1"/>
    <col min="8458" max="8458" width="12.28515625" style="1" bestFit="1" customWidth="1"/>
    <col min="8459" max="8459" width="14.28515625" style="1" customWidth="1"/>
    <col min="8460" max="8460" width="13.28515625" style="1" customWidth="1"/>
    <col min="8461" max="8461" width="18.85546875" style="1" customWidth="1"/>
    <col min="8462" max="8462" width="16.85546875" style="1" customWidth="1"/>
    <col min="8463" max="8463" width="36.42578125" style="1" customWidth="1"/>
    <col min="8464" max="8464" width="12.140625" style="1" customWidth="1"/>
    <col min="8465" max="8465" width="11.28515625" style="1" customWidth="1"/>
    <col min="8466" max="8466" width="21.140625" style="1" customWidth="1"/>
    <col min="8467" max="8706" width="11.5703125" style="1"/>
    <col min="8707" max="8707" width="0.7109375" style="1" customWidth="1"/>
    <col min="8708" max="8708" width="29.7109375" style="1" customWidth="1"/>
    <col min="8709" max="8710" width="15.28515625" style="1" customWidth="1"/>
    <col min="8711" max="8711" width="43" style="1" customWidth="1"/>
    <col min="8712" max="8712" width="11.5703125" style="1"/>
    <col min="8713" max="8713" width="12.7109375" style="1" customWidth="1"/>
    <col min="8714" max="8714" width="12.28515625" style="1" bestFit="1" customWidth="1"/>
    <col min="8715" max="8715" width="14.28515625" style="1" customWidth="1"/>
    <col min="8716" max="8716" width="13.28515625" style="1" customWidth="1"/>
    <col min="8717" max="8717" width="18.85546875" style="1" customWidth="1"/>
    <col min="8718" max="8718" width="16.85546875" style="1" customWidth="1"/>
    <col min="8719" max="8719" width="36.42578125" style="1" customWidth="1"/>
    <col min="8720" max="8720" width="12.140625" style="1" customWidth="1"/>
    <col min="8721" max="8721" width="11.28515625" style="1" customWidth="1"/>
    <col min="8722" max="8722" width="21.140625" style="1" customWidth="1"/>
    <col min="8723" max="8962" width="11.5703125" style="1"/>
    <col min="8963" max="8963" width="0.7109375" style="1" customWidth="1"/>
    <col min="8964" max="8964" width="29.7109375" style="1" customWidth="1"/>
    <col min="8965" max="8966" width="15.28515625" style="1" customWidth="1"/>
    <col min="8967" max="8967" width="43" style="1" customWidth="1"/>
    <col min="8968" max="8968" width="11.5703125" style="1"/>
    <col min="8969" max="8969" width="12.7109375" style="1" customWidth="1"/>
    <col min="8970" max="8970" width="12.28515625" style="1" bestFit="1" customWidth="1"/>
    <col min="8971" max="8971" width="14.28515625" style="1" customWidth="1"/>
    <col min="8972" max="8972" width="13.28515625" style="1" customWidth="1"/>
    <col min="8973" max="8973" width="18.85546875" style="1" customWidth="1"/>
    <col min="8974" max="8974" width="16.85546875" style="1" customWidth="1"/>
    <col min="8975" max="8975" width="36.42578125" style="1" customWidth="1"/>
    <col min="8976" max="8976" width="12.140625" style="1" customWidth="1"/>
    <col min="8977" max="8977" width="11.28515625" style="1" customWidth="1"/>
    <col min="8978" max="8978" width="21.140625" style="1" customWidth="1"/>
    <col min="8979" max="9218" width="11.5703125" style="1"/>
    <col min="9219" max="9219" width="0.7109375" style="1" customWidth="1"/>
    <col min="9220" max="9220" width="29.7109375" style="1" customWidth="1"/>
    <col min="9221" max="9222" width="15.28515625" style="1" customWidth="1"/>
    <col min="9223" max="9223" width="43" style="1" customWidth="1"/>
    <col min="9224" max="9224" width="11.5703125" style="1"/>
    <col min="9225" max="9225" width="12.7109375" style="1" customWidth="1"/>
    <col min="9226" max="9226" width="12.28515625" style="1" bestFit="1" customWidth="1"/>
    <col min="9227" max="9227" width="14.28515625" style="1" customWidth="1"/>
    <col min="9228" max="9228" width="13.28515625" style="1" customWidth="1"/>
    <col min="9229" max="9229" width="18.85546875" style="1" customWidth="1"/>
    <col min="9230" max="9230" width="16.85546875" style="1" customWidth="1"/>
    <col min="9231" max="9231" width="36.42578125" style="1" customWidth="1"/>
    <col min="9232" max="9232" width="12.140625" style="1" customWidth="1"/>
    <col min="9233" max="9233" width="11.28515625" style="1" customWidth="1"/>
    <col min="9234" max="9234" width="21.140625" style="1" customWidth="1"/>
    <col min="9235" max="9474" width="11.5703125" style="1"/>
    <col min="9475" max="9475" width="0.7109375" style="1" customWidth="1"/>
    <col min="9476" max="9476" width="29.7109375" style="1" customWidth="1"/>
    <col min="9477" max="9478" width="15.28515625" style="1" customWidth="1"/>
    <col min="9479" max="9479" width="43" style="1" customWidth="1"/>
    <col min="9480" max="9480" width="11.5703125" style="1"/>
    <col min="9481" max="9481" width="12.7109375" style="1" customWidth="1"/>
    <col min="9482" max="9482" width="12.28515625" style="1" bestFit="1" customWidth="1"/>
    <col min="9483" max="9483" width="14.28515625" style="1" customWidth="1"/>
    <col min="9484" max="9484" width="13.28515625" style="1" customWidth="1"/>
    <col min="9485" max="9485" width="18.85546875" style="1" customWidth="1"/>
    <col min="9486" max="9486" width="16.85546875" style="1" customWidth="1"/>
    <col min="9487" max="9487" width="36.42578125" style="1" customWidth="1"/>
    <col min="9488" max="9488" width="12.140625" style="1" customWidth="1"/>
    <col min="9489" max="9489" width="11.28515625" style="1" customWidth="1"/>
    <col min="9490" max="9490" width="21.140625" style="1" customWidth="1"/>
    <col min="9491" max="9730" width="11.5703125" style="1"/>
    <col min="9731" max="9731" width="0.7109375" style="1" customWidth="1"/>
    <col min="9732" max="9732" width="29.7109375" style="1" customWidth="1"/>
    <col min="9733" max="9734" width="15.28515625" style="1" customWidth="1"/>
    <col min="9735" max="9735" width="43" style="1" customWidth="1"/>
    <col min="9736" max="9736" width="11.5703125" style="1"/>
    <col min="9737" max="9737" width="12.7109375" style="1" customWidth="1"/>
    <col min="9738" max="9738" width="12.28515625" style="1" bestFit="1" customWidth="1"/>
    <col min="9739" max="9739" width="14.28515625" style="1" customWidth="1"/>
    <col min="9740" max="9740" width="13.28515625" style="1" customWidth="1"/>
    <col min="9741" max="9741" width="18.85546875" style="1" customWidth="1"/>
    <col min="9742" max="9742" width="16.85546875" style="1" customWidth="1"/>
    <col min="9743" max="9743" width="36.42578125" style="1" customWidth="1"/>
    <col min="9744" max="9744" width="12.140625" style="1" customWidth="1"/>
    <col min="9745" max="9745" width="11.28515625" style="1" customWidth="1"/>
    <col min="9746" max="9746" width="21.140625" style="1" customWidth="1"/>
    <col min="9747" max="9986" width="11.5703125" style="1"/>
    <col min="9987" max="9987" width="0.7109375" style="1" customWidth="1"/>
    <col min="9988" max="9988" width="29.7109375" style="1" customWidth="1"/>
    <col min="9989" max="9990" width="15.28515625" style="1" customWidth="1"/>
    <col min="9991" max="9991" width="43" style="1" customWidth="1"/>
    <col min="9992" max="9992" width="11.5703125" style="1"/>
    <col min="9993" max="9993" width="12.7109375" style="1" customWidth="1"/>
    <col min="9994" max="9994" width="12.28515625" style="1" bestFit="1" customWidth="1"/>
    <col min="9995" max="9995" width="14.28515625" style="1" customWidth="1"/>
    <col min="9996" max="9996" width="13.28515625" style="1" customWidth="1"/>
    <col min="9997" max="9997" width="18.85546875" style="1" customWidth="1"/>
    <col min="9998" max="9998" width="16.85546875" style="1" customWidth="1"/>
    <col min="9999" max="9999" width="36.42578125" style="1" customWidth="1"/>
    <col min="10000" max="10000" width="12.140625" style="1" customWidth="1"/>
    <col min="10001" max="10001" width="11.28515625" style="1" customWidth="1"/>
    <col min="10002" max="10002" width="21.140625" style="1" customWidth="1"/>
    <col min="10003" max="10242" width="11.5703125" style="1"/>
    <col min="10243" max="10243" width="0.7109375" style="1" customWidth="1"/>
    <col min="10244" max="10244" width="29.7109375" style="1" customWidth="1"/>
    <col min="10245" max="10246" width="15.28515625" style="1" customWidth="1"/>
    <col min="10247" max="10247" width="43" style="1" customWidth="1"/>
    <col min="10248" max="10248" width="11.5703125" style="1"/>
    <col min="10249" max="10249" width="12.7109375" style="1" customWidth="1"/>
    <col min="10250" max="10250" width="12.28515625" style="1" bestFit="1" customWidth="1"/>
    <col min="10251" max="10251" width="14.28515625" style="1" customWidth="1"/>
    <col min="10252" max="10252" width="13.28515625" style="1" customWidth="1"/>
    <col min="10253" max="10253" width="18.85546875" style="1" customWidth="1"/>
    <col min="10254" max="10254" width="16.85546875" style="1" customWidth="1"/>
    <col min="10255" max="10255" width="36.42578125" style="1" customWidth="1"/>
    <col min="10256" max="10256" width="12.140625" style="1" customWidth="1"/>
    <col min="10257" max="10257" width="11.28515625" style="1" customWidth="1"/>
    <col min="10258" max="10258" width="21.140625" style="1" customWidth="1"/>
    <col min="10259" max="10498" width="11.5703125" style="1"/>
    <col min="10499" max="10499" width="0.7109375" style="1" customWidth="1"/>
    <col min="10500" max="10500" width="29.7109375" style="1" customWidth="1"/>
    <col min="10501" max="10502" width="15.28515625" style="1" customWidth="1"/>
    <col min="10503" max="10503" width="43" style="1" customWidth="1"/>
    <col min="10504" max="10504" width="11.5703125" style="1"/>
    <col min="10505" max="10505" width="12.7109375" style="1" customWidth="1"/>
    <col min="10506" max="10506" width="12.28515625" style="1" bestFit="1" customWidth="1"/>
    <col min="10507" max="10507" width="14.28515625" style="1" customWidth="1"/>
    <col min="10508" max="10508" width="13.28515625" style="1" customWidth="1"/>
    <col min="10509" max="10509" width="18.85546875" style="1" customWidth="1"/>
    <col min="10510" max="10510" width="16.85546875" style="1" customWidth="1"/>
    <col min="10511" max="10511" width="36.42578125" style="1" customWidth="1"/>
    <col min="10512" max="10512" width="12.140625" style="1" customWidth="1"/>
    <col min="10513" max="10513" width="11.28515625" style="1" customWidth="1"/>
    <col min="10514" max="10514" width="21.140625" style="1" customWidth="1"/>
    <col min="10515" max="10754" width="11.5703125" style="1"/>
    <col min="10755" max="10755" width="0.7109375" style="1" customWidth="1"/>
    <col min="10756" max="10756" width="29.7109375" style="1" customWidth="1"/>
    <col min="10757" max="10758" width="15.28515625" style="1" customWidth="1"/>
    <col min="10759" max="10759" width="43" style="1" customWidth="1"/>
    <col min="10760" max="10760" width="11.5703125" style="1"/>
    <col min="10761" max="10761" width="12.7109375" style="1" customWidth="1"/>
    <col min="10762" max="10762" width="12.28515625" style="1" bestFit="1" customWidth="1"/>
    <col min="10763" max="10763" width="14.28515625" style="1" customWidth="1"/>
    <col min="10764" max="10764" width="13.28515625" style="1" customWidth="1"/>
    <col min="10765" max="10765" width="18.85546875" style="1" customWidth="1"/>
    <col min="10766" max="10766" width="16.85546875" style="1" customWidth="1"/>
    <col min="10767" max="10767" width="36.42578125" style="1" customWidth="1"/>
    <col min="10768" max="10768" width="12.140625" style="1" customWidth="1"/>
    <col min="10769" max="10769" width="11.28515625" style="1" customWidth="1"/>
    <col min="10770" max="10770" width="21.140625" style="1" customWidth="1"/>
    <col min="10771" max="11010" width="11.5703125" style="1"/>
    <col min="11011" max="11011" width="0.7109375" style="1" customWidth="1"/>
    <col min="11012" max="11012" width="29.7109375" style="1" customWidth="1"/>
    <col min="11013" max="11014" width="15.28515625" style="1" customWidth="1"/>
    <col min="11015" max="11015" width="43" style="1" customWidth="1"/>
    <col min="11016" max="11016" width="11.5703125" style="1"/>
    <col min="11017" max="11017" width="12.7109375" style="1" customWidth="1"/>
    <col min="11018" max="11018" width="12.28515625" style="1" bestFit="1" customWidth="1"/>
    <col min="11019" max="11019" width="14.28515625" style="1" customWidth="1"/>
    <col min="11020" max="11020" width="13.28515625" style="1" customWidth="1"/>
    <col min="11021" max="11021" width="18.85546875" style="1" customWidth="1"/>
    <col min="11022" max="11022" width="16.85546875" style="1" customWidth="1"/>
    <col min="11023" max="11023" width="36.42578125" style="1" customWidth="1"/>
    <col min="11024" max="11024" width="12.140625" style="1" customWidth="1"/>
    <col min="11025" max="11025" width="11.28515625" style="1" customWidth="1"/>
    <col min="11026" max="11026" width="21.140625" style="1" customWidth="1"/>
    <col min="11027" max="11266" width="11.5703125" style="1"/>
    <col min="11267" max="11267" width="0.7109375" style="1" customWidth="1"/>
    <col min="11268" max="11268" width="29.7109375" style="1" customWidth="1"/>
    <col min="11269" max="11270" width="15.28515625" style="1" customWidth="1"/>
    <col min="11271" max="11271" width="43" style="1" customWidth="1"/>
    <col min="11272" max="11272" width="11.5703125" style="1"/>
    <col min="11273" max="11273" width="12.7109375" style="1" customWidth="1"/>
    <col min="11274" max="11274" width="12.28515625" style="1" bestFit="1" customWidth="1"/>
    <col min="11275" max="11275" width="14.28515625" style="1" customWidth="1"/>
    <col min="11276" max="11276" width="13.28515625" style="1" customWidth="1"/>
    <col min="11277" max="11277" width="18.85546875" style="1" customWidth="1"/>
    <col min="11278" max="11278" width="16.85546875" style="1" customWidth="1"/>
    <col min="11279" max="11279" width="36.42578125" style="1" customWidth="1"/>
    <col min="11280" max="11280" width="12.140625" style="1" customWidth="1"/>
    <col min="11281" max="11281" width="11.28515625" style="1" customWidth="1"/>
    <col min="11282" max="11282" width="21.140625" style="1" customWidth="1"/>
    <col min="11283" max="11522" width="11.5703125" style="1"/>
    <col min="11523" max="11523" width="0.7109375" style="1" customWidth="1"/>
    <col min="11524" max="11524" width="29.7109375" style="1" customWidth="1"/>
    <col min="11525" max="11526" width="15.28515625" style="1" customWidth="1"/>
    <col min="11527" max="11527" width="43" style="1" customWidth="1"/>
    <col min="11528" max="11528" width="11.5703125" style="1"/>
    <col min="11529" max="11529" width="12.7109375" style="1" customWidth="1"/>
    <col min="11530" max="11530" width="12.28515625" style="1" bestFit="1" customWidth="1"/>
    <col min="11531" max="11531" width="14.28515625" style="1" customWidth="1"/>
    <col min="11532" max="11532" width="13.28515625" style="1" customWidth="1"/>
    <col min="11533" max="11533" width="18.85546875" style="1" customWidth="1"/>
    <col min="11534" max="11534" width="16.85546875" style="1" customWidth="1"/>
    <col min="11535" max="11535" width="36.42578125" style="1" customWidth="1"/>
    <col min="11536" max="11536" width="12.140625" style="1" customWidth="1"/>
    <col min="11537" max="11537" width="11.28515625" style="1" customWidth="1"/>
    <col min="11538" max="11538" width="21.140625" style="1" customWidth="1"/>
    <col min="11539" max="11778" width="11.5703125" style="1"/>
    <col min="11779" max="11779" width="0.7109375" style="1" customWidth="1"/>
    <col min="11780" max="11780" width="29.7109375" style="1" customWidth="1"/>
    <col min="11781" max="11782" width="15.28515625" style="1" customWidth="1"/>
    <col min="11783" max="11783" width="43" style="1" customWidth="1"/>
    <col min="11784" max="11784" width="11.5703125" style="1"/>
    <col min="11785" max="11785" width="12.7109375" style="1" customWidth="1"/>
    <col min="11786" max="11786" width="12.28515625" style="1" bestFit="1" customWidth="1"/>
    <col min="11787" max="11787" width="14.28515625" style="1" customWidth="1"/>
    <col min="11788" max="11788" width="13.28515625" style="1" customWidth="1"/>
    <col min="11789" max="11789" width="18.85546875" style="1" customWidth="1"/>
    <col min="11790" max="11790" width="16.85546875" style="1" customWidth="1"/>
    <col min="11791" max="11791" width="36.42578125" style="1" customWidth="1"/>
    <col min="11792" max="11792" width="12.140625" style="1" customWidth="1"/>
    <col min="11793" max="11793" width="11.28515625" style="1" customWidth="1"/>
    <col min="11794" max="11794" width="21.140625" style="1" customWidth="1"/>
    <col min="11795" max="12034" width="11.5703125" style="1"/>
    <col min="12035" max="12035" width="0.7109375" style="1" customWidth="1"/>
    <col min="12036" max="12036" width="29.7109375" style="1" customWidth="1"/>
    <col min="12037" max="12038" width="15.28515625" style="1" customWidth="1"/>
    <col min="12039" max="12039" width="43" style="1" customWidth="1"/>
    <col min="12040" max="12040" width="11.5703125" style="1"/>
    <col min="12041" max="12041" width="12.7109375" style="1" customWidth="1"/>
    <col min="12042" max="12042" width="12.28515625" style="1" bestFit="1" customWidth="1"/>
    <col min="12043" max="12043" width="14.28515625" style="1" customWidth="1"/>
    <col min="12044" max="12044" width="13.28515625" style="1" customWidth="1"/>
    <col min="12045" max="12045" width="18.85546875" style="1" customWidth="1"/>
    <col min="12046" max="12046" width="16.85546875" style="1" customWidth="1"/>
    <col min="12047" max="12047" width="36.42578125" style="1" customWidth="1"/>
    <col min="12048" max="12048" width="12.140625" style="1" customWidth="1"/>
    <col min="12049" max="12049" width="11.28515625" style="1" customWidth="1"/>
    <col min="12050" max="12050" width="21.140625" style="1" customWidth="1"/>
    <col min="12051" max="12290" width="11.5703125" style="1"/>
    <col min="12291" max="12291" width="0.7109375" style="1" customWidth="1"/>
    <col min="12292" max="12292" width="29.7109375" style="1" customWidth="1"/>
    <col min="12293" max="12294" width="15.28515625" style="1" customWidth="1"/>
    <col min="12295" max="12295" width="43" style="1" customWidth="1"/>
    <col min="12296" max="12296" width="11.5703125" style="1"/>
    <col min="12297" max="12297" width="12.7109375" style="1" customWidth="1"/>
    <col min="12298" max="12298" width="12.28515625" style="1" bestFit="1" customWidth="1"/>
    <col min="12299" max="12299" width="14.28515625" style="1" customWidth="1"/>
    <col min="12300" max="12300" width="13.28515625" style="1" customWidth="1"/>
    <col min="12301" max="12301" width="18.85546875" style="1" customWidth="1"/>
    <col min="12302" max="12302" width="16.85546875" style="1" customWidth="1"/>
    <col min="12303" max="12303" width="36.42578125" style="1" customWidth="1"/>
    <col min="12304" max="12304" width="12.140625" style="1" customWidth="1"/>
    <col min="12305" max="12305" width="11.28515625" style="1" customWidth="1"/>
    <col min="12306" max="12306" width="21.140625" style="1" customWidth="1"/>
    <col min="12307" max="12546" width="11.5703125" style="1"/>
    <col min="12547" max="12547" width="0.7109375" style="1" customWidth="1"/>
    <col min="12548" max="12548" width="29.7109375" style="1" customWidth="1"/>
    <col min="12549" max="12550" width="15.28515625" style="1" customWidth="1"/>
    <col min="12551" max="12551" width="43" style="1" customWidth="1"/>
    <col min="12552" max="12552" width="11.5703125" style="1"/>
    <col min="12553" max="12553" width="12.7109375" style="1" customWidth="1"/>
    <col min="12554" max="12554" width="12.28515625" style="1" bestFit="1" customWidth="1"/>
    <col min="12555" max="12555" width="14.28515625" style="1" customWidth="1"/>
    <col min="12556" max="12556" width="13.28515625" style="1" customWidth="1"/>
    <col min="12557" max="12557" width="18.85546875" style="1" customWidth="1"/>
    <col min="12558" max="12558" width="16.85546875" style="1" customWidth="1"/>
    <col min="12559" max="12559" width="36.42578125" style="1" customWidth="1"/>
    <col min="12560" max="12560" width="12.140625" style="1" customWidth="1"/>
    <col min="12561" max="12561" width="11.28515625" style="1" customWidth="1"/>
    <col min="12562" max="12562" width="21.140625" style="1" customWidth="1"/>
    <col min="12563" max="12802" width="11.5703125" style="1"/>
    <col min="12803" max="12803" width="0.7109375" style="1" customWidth="1"/>
    <col min="12804" max="12804" width="29.7109375" style="1" customWidth="1"/>
    <col min="12805" max="12806" width="15.28515625" style="1" customWidth="1"/>
    <col min="12807" max="12807" width="43" style="1" customWidth="1"/>
    <col min="12808" max="12808" width="11.5703125" style="1"/>
    <col min="12809" max="12809" width="12.7109375" style="1" customWidth="1"/>
    <col min="12810" max="12810" width="12.28515625" style="1" bestFit="1" customWidth="1"/>
    <col min="12811" max="12811" width="14.28515625" style="1" customWidth="1"/>
    <col min="12812" max="12812" width="13.28515625" style="1" customWidth="1"/>
    <col min="12813" max="12813" width="18.85546875" style="1" customWidth="1"/>
    <col min="12814" max="12814" width="16.85546875" style="1" customWidth="1"/>
    <col min="12815" max="12815" width="36.42578125" style="1" customWidth="1"/>
    <col min="12816" max="12816" width="12.140625" style="1" customWidth="1"/>
    <col min="12817" max="12817" width="11.28515625" style="1" customWidth="1"/>
    <col min="12818" max="12818" width="21.140625" style="1" customWidth="1"/>
    <col min="12819" max="13058" width="11.5703125" style="1"/>
    <col min="13059" max="13059" width="0.7109375" style="1" customWidth="1"/>
    <col min="13060" max="13060" width="29.7109375" style="1" customWidth="1"/>
    <col min="13061" max="13062" width="15.28515625" style="1" customWidth="1"/>
    <col min="13063" max="13063" width="43" style="1" customWidth="1"/>
    <col min="13064" max="13064" width="11.5703125" style="1"/>
    <col min="13065" max="13065" width="12.7109375" style="1" customWidth="1"/>
    <col min="13066" max="13066" width="12.28515625" style="1" bestFit="1" customWidth="1"/>
    <col min="13067" max="13067" width="14.28515625" style="1" customWidth="1"/>
    <col min="13068" max="13068" width="13.28515625" style="1" customWidth="1"/>
    <col min="13069" max="13069" width="18.85546875" style="1" customWidth="1"/>
    <col min="13070" max="13070" width="16.85546875" style="1" customWidth="1"/>
    <col min="13071" max="13071" width="36.42578125" style="1" customWidth="1"/>
    <col min="13072" max="13072" width="12.140625" style="1" customWidth="1"/>
    <col min="13073" max="13073" width="11.28515625" style="1" customWidth="1"/>
    <col min="13074" max="13074" width="21.140625" style="1" customWidth="1"/>
    <col min="13075" max="13314" width="11.5703125" style="1"/>
    <col min="13315" max="13315" width="0.7109375" style="1" customWidth="1"/>
    <col min="13316" max="13316" width="29.7109375" style="1" customWidth="1"/>
    <col min="13317" max="13318" width="15.28515625" style="1" customWidth="1"/>
    <col min="13319" max="13319" width="43" style="1" customWidth="1"/>
    <col min="13320" max="13320" width="11.5703125" style="1"/>
    <col min="13321" max="13321" width="12.7109375" style="1" customWidth="1"/>
    <col min="13322" max="13322" width="12.28515625" style="1" bestFit="1" customWidth="1"/>
    <col min="13323" max="13323" width="14.28515625" style="1" customWidth="1"/>
    <col min="13324" max="13324" width="13.28515625" style="1" customWidth="1"/>
    <col min="13325" max="13325" width="18.85546875" style="1" customWidth="1"/>
    <col min="13326" max="13326" width="16.85546875" style="1" customWidth="1"/>
    <col min="13327" max="13327" width="36.42578125" style="1" customWidth="1"/>
    <col min="13328" max="13328" width="12.140625" style="1" customWidth="1"/>
    <col min="13329" max="13329" width="11.28515625" style="1" customWidth="1"/>
    <col min="13330" max="13330" width="21.140625" style="1" customWidth="1"/>
    <col min="13331" max="13570" width="11.5703125" style="1"/>
    <col min="13571" max="13571" width="0.7109375" style="1" customWidth="1"/>
    <col min="13572" max="13572" width="29.7109375" style="1" customWidth="1"/>
    <col min="13573" max="13574" width="15.28515625" style="1" customWidth="1"/>
    <col min="13575" max="13575" width="43" style="1" customWidth="1"/>
    <col min="13576" max="13576" width="11.5703125" style="1"/>
    <col min="13577" max="13577" width="12.7109375" style="1" customWidth="1"/>
    <col min="13578" max="13578" width="12.28515625" style="1" bestFit="1" customWidth="1"/>
    <col min="13579" max="13579" width="14.28515625" style="1" customWidth="1"/>
    <col min="13580" max="13580" width="13.28515625" style="1" customWidth="1"/>
    <col min="13581" max="13581" width="18.85546875" style="1" customWidth="1"/>
    <col min="13582" max="13582" width="16.85546875" style="1" customWidth="1"/>
    <col min="13583" max="13583" width="36.42578125" style="1" customWidth="1"/>
    <col min="13584" max="13584" width="12.140625" style="1" customWidth="1"/>
    <col min="13585" max="13585" width="11.28515625" style="1" customWidth="1"/>
    <col min="13586" max="13586" width="21.140625" style="1" customWidth="1"/>
    <col min="13587" max="13826" width="11.5703125" style="1"/>
    <col min="13827" max="13827" width="0.7109375" style="1" customWidth="1"/>
    <col min="13828" max="13828" width="29.7109375" style="1" customWidth="1"/>
    <col min="13829" max="13830" width="15.28515625" style="1" customWidth="1"/>
    <col min="13831" max="13831" width="43" style="1" customWidth="1"/>
    <col min="13832" max="13832" width="11.5703125" style="1"/>
    <col min="13833" max="13833" width="12.7109375" style="1" customWidth="1"/>
    <col min="13834" max="13834" width="12.28515625" style="1" bestFit="1" customWidth="1"/>
    <col min="13835" max="13835" width="14.28515625" style="1" customWidth="1"/>
    <col min="13836" max="13836" width="13.28515625" style="1" customWidth="1"/>
    <col min="13837" max="13837" width="18.85546875" style="1" customWidth="1"/>
    <col min="13838" max="13838" width="16.85546875" style="1" customWidth="1"/>
    <col min="13839" max="13839" width="36.42578125" style="1" customWidth="1"/>
    <col min="13840" max="13840" width="12.140625" style="1" customWidth="1"/>
    <col min="13841" max="13841" width="11.28515625" style="1" customWidth="1"/>
    <col min="13842" max="13842" width="21.140625" style="1" customWidth="1"/>
    <col min="13843" max="14082" width="11.5703125" style="1"/>
    <col min="14083" max="14083" width="0.7109375" style="1" customWidth="1"/>
    <col min="14084" max="14084" width="29.7109375" style="1" customWidth="1"/>
    <col min="14085" max="14086" width="15.28515625" style="1" customWidth="1"/>
    <col min="14087" max="14087" width="43" style="1" customWidth="1"/>
    <col min="14088" max="14088" width="11.5703125" style="1"/>
    <col min="14089" max="14089" width="12.7109375" style="1" customWidth="1"/>
    <col min="14090" max="14090" width="12.28515625" style="1" bestFit="1" customWidth="1"/>
    <col min="14091" max="14091" width="14.28515625" style="1" customWidth="1"/>
    <col min="14092" max="14092" width="13.28515625" style="1" customWidth="1"/>
    <col min="14093" max="14093" width="18.85546875" style="1" customWidth="1"/>
    <col min="14094" max="14094" width="16.85546875" style="1" customWidth="1"/>
    <col min="14095" max="14095" width="36.42578125" style="1" customWidth="1"/>
    <col min="14096" max="14096" width="12.140625" style="1" customWidth="1"/>
    <col min="14097" max="14097" width="11.28515625" style="1" customWidth="1"/>
    <col min="14098" max="14098" width="21.140625" style="1" customWidth="1"/>
    <col min="14099" max="14338" width="11.5703125" style="1"/>
    <col min="14339" max="14339" width="0.7109375" style="1" customWidth="1"/>
    <col min="14340" max="14340" width="29.7109375" style="1" customWidth="1"/>
    <col min="14341" max="14342" width="15.28515625" style="1" customWidth="1"/>
    <col min="14343" max="14343" width="43" style="1" customWidth="1"/>
    <col min="14344" max="14344" width="11.5703125" style="1"/>
    <col min="14345" max="14345" width="12.7109375" style="1" customWidth="1"/>
    <col min="14346" max="14346" width="12.28515625" style="1" bestFit="1" customWidth="1"/>
    <col min="14347" max="14347" width="14.28515625" style="1" customWidth="1"/>
    <col min="14348" max="14348" width="13.28515625" style="1" customWidth="1"/>
    <col min="14349" max="14349" width="18.85546875" style="1" customWidth="1"/>
    <col min="14350" max="14350" width="16.85546875" style="1" customWidth="1"/>
    <col min="14351" max="14351" width="36.42578125" style="1" customWidth="1"/>
    <col min="14352" max="14352" width="12.140625" style="1" customWidth="1"/>
    <col min="14353" max="14353" width="11.28515625" style="1" customWidth="1"/>
    <col min="14354" max="14354" width="21.140625" style="1" customWidth="1"/>
    <col min="14355" max="14594" width="11.5703125" style="1"/>
    <col min="14595" max="14595" width="0.7109375" style="1" customWidth="1"/>
    <col min="14596" max="14596" width="29.7109375" style="1" customWidth="1"/>
    <col min="14597" max="14598" width="15.28515625" style="1" customWidth="1"/>
    <col min="14599" max="14599" width="43" style="1" customWidth="1"/>
    <col min="14600" max="14600" width="11.5703125" style="1"/>
    <col min="14601" max="14601" width="12.7109375" style="1" customWidth="1"/>
    <col min="14602" max="14602" width="12.28515625" style="1" bestFit="1" customWidth="1"/>
    <col min="14603" max="14603" width="14.28515625" style="1" customWidth="1"/>
    <col min="14604" max="14604" width="13.28515625" style="1" customWidth="1"/>
    <col min="14605" max="14605" width="18.85546875" style="1" customWidth="1"/>
    <col min="14606" max="14606" width="16.85546875" style="1" customWidth="1"/>
    <col min="14607" max="14607" width="36.42578125" style="1" customWidth="1"/>
    <col min="14608" max="14608" width="12.140625" style="1" customWidth="1"/>
    <col min="14609" max="14609" width="11.28515625" style="1" customWidth="1"/>
    <col min="14610" max="14610" width="21.140625" style="1" customWidth="1"/>
    <col min="14611" max="14850" width="11.5703125" style="1"/>
    <col min="14851" max="14851" width="0.7109375" style="1" customWidth="1"/>
    <col min="14852" max="14852" width="29.7109375" style="1" customWidth="1"/>
    <col min="14853" max="14854" width="15.28515625" style="1" customWidth="1"/>
    <col min="14855" max="14855" width="43" style="1" customWidth="1"/>
    <col min="14856" max="14856" width="11.5703125" style="1"/>
    <col min="14857" max="14857" width="12.7109375" style="1" customWidth="1"/>
    <col min="14858" max="14858" width="12.28515625" style="1" bestFit="1" customWidth="1"/>
    <col min="14859" max="14859" width="14.28515625" style="1" customWidth="1"/>
    <col min="14860" max="14860" width="13.28515625" style="1" customWidth="1"/>
    <col min="14861" max="14861" width="18.85546875" style="1" customWidth="1"/>
    <col min="14862" max="14862" width="16.85546875" style="1" customWidth="1"/>
    <col min="14863" max="14863" width="36.42578125" style="1" customWidth="1"/>
    <col min="14864" max="14864" width="12.140625" style="1" customWidth="1"/>
    <col min="14865" max="14865" width="11.28515625" style="1" customWidth="1"/>
    <col min="14866" max="14866" width="21.140625" style="1" customWidth="1"/>
    <col min="14867" max="15106" width="11.5703125" style="1"/>
    <col min="15107" max="15107" width="0.7109375" style="1" customWidth="1"/>
    <col min="15108" max="15108" width="29.7109375" style="1" customWidth="1"/>
    <col min="15109" max="15110" width="15.28515625" style="1" customWidth="1"/>
    <col min="15111" max="15111" width="43" style="1" customWidth="1"/>
    <col min="15112" max="15112" width="11.5703125" style="1"/>
    <col min="15113" max="15113" width="12.7109375" style="1" customWidth="1"/>
    <col min="15114" max="15114" width="12.28515625" style="1" bestFit="1" customWidth="1"/>
    <col min="15115" max="15115" width="14.28515625" style="1" customWidth="1"/>
    <col min="15116" max="15116" width="13.28515625" style="1" customWidth="1"/>
    <col min="15117" max="15117" width="18.85546875" style="1" customWidth="1"/>
    <col min="15118" max="15118" width="16.85546875" style="1" customWidth="1"/>
    <col min="15119" max="15119" width="36.42578125" style="1" customWidth="1"/>
    <col min="15120" max="15120" width="12.140625" style="1" customWidth="1"/>
    <col min="15121" max="15121" width="11.28515625" style="1" customWidth="1"/>
    <col min="15122" max="15122" width="21.140625" style="1" customWidth="1"/>
    <col min="15123" max="15362" width="11.5703125" style="1"/>
    <col min="15363" max="15363" width="0.7109375" style="1" customWidth="1"/>
    <col min="15364" max="15364" width="29.7109375" style="1" customWidth="1"/>
    <col min="15365" max="15366" width="15.28515625" style="1" customWidth="1"/>
    <col min="15367" max="15367" width="43" style="1" customWidth="1"/>
    <col min="15368" max="15368" width="11.5703125" style="1"/>
    <col min="15369" max="15369" width="12.7109375" style="1" customWidth="1"/>
    <col min="15370" max="15370" width="12.28515625" style="1" bestFit="1" customWidth="1"/>
    <col min="15371" max="15371" width="14.28515625" style="1" customWidth="1"/>
    <col min="15372" max="15372" width="13.28515625" style="1" customWidth="1"/>
    <col min="15373" max="15373" width="18.85546875" style="1" customWidth="1"/>
    <col min="15374" max="15374" width="16.85546875" style="1" customWidth="1"/>
    <col min="15375" max="15375" width="36.42578125" style="1" customWidth="1"/>
    <col min="15376" max="15376" width="12.140625" style="1" customWidth="1"/>
    <col min="15377" max="15377" width="11.28515625" style="1" customWidth="1"/>
    <col min="15378" max="15378" width="21.140625" style="1" customWidth="1"/>
    <col min="15379" max="15618" width="11.5703125" style="1"/>
    <col min="15619" max="15619" width="0.7109375" style="1" customWidth="1"/>
    <col min="15620" max="15620" width="29.7109375" style="1" customWidth="1"/>
    <col min="15621" max="15622" width="15.28515625" style="1" customWidth="1"/>
    <col min="15623" max="15623" width="43" style="1" customWidth="1"/>
    <col min="15624" max="15624" width="11.5703125" style="1"/>
    <col min="15625" max="15625" width="12.7109375" style="1" customWidth="1"/>
    <col min="15626" max="15626" width="12.28515625" style="1" bestFit="1" customWidth="1"/>
    <col min="15627" max="15627" width="14.28515625" style="1" customWidth="1"/>
    <col min="15628" max="15628" width="13.28515625" style="1" customWidth="1"/>
    <col min="15629" max="15629" width="18.85546875" style="1" customWidth="1"/>
    <col min="15630" max="15630" width="16.85546875" style="1" customWidth="1"/>
    <col min="15631" max="15631" width="36.42578125" style="1" customWidth="1"/>
    <col min="15632" max="15632" width="12.140625" style="1" customWidth="1"/>
    <col min="15633" max="15633" width="11.28515625" style="1" customWidth="1"/>
    <col min="15634" max="15634" width="21.140625" style="1" customWidth="1"/>
    <col min="15635" max="15874" width="11.5703125" style="1"/>
    <col min="15875" max="15875" width="0.7109375" style="1" customWidth="1"/>
    <col min="15876" max="15876" width="29.7109375" style="1" customWidth="1"/>
    <col min="15877" max="15878" width="15.28515625" style="1" customWidth="1"/>
    <col min="15879" max="15879" width="43" style="1" customWidth="1"/>
    <col min="15880" max="15880" width="11.5703125" style="1"/>
    <col min="15881" max="15881" width="12.7109375" style="1" customWidth="1"/>
    <col min="15882" max="15882" width="12.28515625" style="1" bestFit="1" customWidth="1"/>
    <col min="15883" max="15883" width="14.28515625" style="1" customWidth="1"/>
    <col min="15884" max="15884" width="13.28515625" style="1" customWidth="1"/>
    <col min="15885" max="15885" width="18.85546875" style="1" customWidth="1"/>
    <col min="15886" max="15886" width="16.85546875" style="1" customWidth="1"/>
    <col min="15887" max="15887" width="36.42578125" style="1" customWidth="1"/>
    <col min="15888" max="15888" width="12.140625" style="1" customWidth="1"/>
    <col min="15889" max="15889" width="11.28515625" style="1" customWidth="1"/>
    <col min="15890" max="15890" width="21.140625" style="1" customWidth="1"/>
    <col min="15891" max="16130" width="11.5703125" style="1"/>
    <col min="16131" max="16131" width="0.7109375" style="1" customWidth="1"/>
    <col min="16132" max="16132" width="29.7109375" style="1" customWidth="1"/>
    <col min="16133" max="16134" width="15.28515625" style="1" customWidth="1"/>
    <col min="16135" max="16135" width="43" style="1" customWidth="1"/>
    <col min="16136" max="16136" width="11.5703125" style="1"/>
    <col min="16137" max="16137" width="12.7109375" style="1" customWidth="1"/>
    <col min="16138" max="16138" width="12.28515625" style="1" bestFit="1" customWidth="1"/>
    <col min="16139" max="16139" width="14.28515625" style="1" customWidth="1"/>
    <col min="16140" max="16140" width="13.28515625" style="1" customWidth="1"/>
    <col min="16141" max="16141" width="18.85546875" style="1" customWidth="1"/>
    <col min="16142" max="16142" width="16.85546875" style="1" customWidth="1"/>
    <col min="16143" max="16143" width="36.42578125" style="1" customWidth="1"/>
    <col min="16144" max="16144" width="12.140625" style="1" customWidth="1"/>
    <col min="16145" max="16145" width="11.28515625" style="1" customWidth="1"/>
    <col min="16146" max="16146" width="21.140625" style="1" customWidth="1"/>
    <col min="16147" max="16384" width="11.5703125" style="1"/>
  </cols>
  <sheetData>
    <row r="1" spans="1:19" ht="6" customHeight="1" thickBot="1" x14ac:dyDescent="0.3">
      <c r="G1" s="51"/>
      <c r="H1" s="51"/>
      <c r="I1" s="51"/>
      <c r="J1" s="51"/>
      <c r="K1" s="51"/>
      <c r="L1" s="54"/>
      <c r="M1" s="54"/>
      <c r="N1" s="54"/>
    </row>
    <row r="2" spans="1:19" x14ac:dyDescent="0.25">
      <c r="A2" s="58"/>
      <c r="B2" s="449"/>
      <c r="C2" s="449"/>
      <c r="D2" s="449"/>
      <c r="E2" s="449"/>
      <c r="F2" s="449"/>
      <c r="G2" s="449"/>
      <c r="H2" s="4"/>
      <c r="I2" s="4"/>
      <c r="J2" s="4"/>
      <c r="K2" s="4"/>
      <c r="L2" s="335"/>
      <c r="M2" s="335"/>
      <c r="N2" s="24"/>
    </row>
    <row r="3" spans="1:19" ht="24.75" customHeight="1" x14ac:dyDescent="0.25">
      <c r="A3" s="16"/>
      <c r="B3" s="450" t="s">
        <v>373</v>
      </c>
      <c r="C3" s="450"/>
      <c r="D3" s="450"/>
      <c r="E3" s="450"/>
      <c r="F3" s="450"/>
      <c r="G3" s="450"/>
      <c r="H3" s="450"/>
      <c r="I3" s="450"/>
      <c r="J3" s="450"/>
      <c r="K3" s="450"/>
      <c r="L3" s="450"/>
      <c r="M3" s="450"/>
      <c r="N3" s="451"/>
    </row>
    <row r="4" spans="1:19" ht="22.5" customHeight="1" x14ac:dyDescent="0.25">
      <c r="A4" s="16"/>
      <c r="B4" s="52"/>
      <c r="C4" s="52"/>
      <c r="D4" s="52"/>
      <c r="E4" s="55"/>
      <c r="F4" s="55"/>
      <c r="G4" s="55"/>
      <c r="H4" s="51"/>
      <c r="I4" s="51"/>
      <c r="J4" s="51"/>
      <c r="K4" s="51"/>
      <c r="L4" s="54"/>
      <c r="M4" s="54"/>
      <c r="N4" s="25"/>
    </row>
    <row r="5" spans="1:19" ht="15" customHeight="1" x14ac:dyDescent="0.25">
      <c r="A5" s="16"/>
      <c r="B5" s="55" t="s">
        <v>320</v>
      </c>
      <c r="C5" s="51" t="s">
        <v>343</v>
      </c>
      <c r="D5" s="51"/>
      <c r="E5" s="51"/>
      <c r="F5" s="51"/>
      <c r="G5" s="51"/>
      <c r="H5" s="51"/>
      <c r="I5" s="51"/>
      <c r="J5" s="51"/>
      <c r="K5" s="51"/>
      <c r="L5" s="54"/>
      <c r="M5" s="54"/>
      <c r="N5" s="25"/>
    </row>
    <row r="6" spans="1:19" ht="15" customHeight="1" x14ac:dyDescent="0.25">
      <c r="A6" s="16"/>
      <c r="B6" s="52" t="s">
        <v>374</v>
      </c>
      <c r="C6" s="185">
        <v>45713</v>
      </c>
      <c r="D6" s="425" t="s">
        <v>375</v>
      </c>
      <c r="E6" s="426">
        <v>45719</v>
      </c>
      <c r="F6" s="51"/>
      <c r="G6" s="51"/>
      <c r="H6" s="51"/>
      <c r="I6" s="51"/>
      <c r="J6" s="51"/>
      <c r="K6" s="51"/>
      <c r="L6" s="54"/>
      <c r="M6" s="54"/>
      <c r="N6" s="25"/>
    </row>
    <row r="7" spans="1:19" ht="45" customHeight="1" x14ac:dyDescent="0.25">
      <c r="A7" s="16"/>
      <c r="B7" s="52" t="s">
        <v>1</v>
      </c>
      <c r="C7" s="452" t="s">
        <v>84</v>
      </c>
      <c r="D7" s="452"/>
      <c r="E7" s="452"/>
      <c r="F7" s="452"/>
      <c r="G7" s="452"/>
      <c r="H7" s="452"/>
      <c r="I7" s="452"/>
      <c r="J7" s="452"/>
      <c r="K7" s="452"/>
      <c r="L7" s="452"/>
      <c r="M7" s="452"/>
      <c r="N7" s="453"/>
    </row>
    <row r="8" spans="1:19" ht="12.75" customHeight="1" x14ac:dyDescent="0.25">
      <c r="A8" s="16"/>
      <c r="B8" s="52"/>
      <c r="C8" s="59"/>
      <c r="D8" s="59"/>
      <c r="E8" s="59"/>
      <c r="F8" s="59"/>
      <c r="G8" s="59"/>
      <c r="H8" s="59"/>
      <c r="I8" s="59"/>
      <c r="J8" s="59"/>
      <c r="K8" s="399"/>
      <c r="L8" s="54"/>
      <c r="M8" s="54"/>
      <c r="N8" s="25"/>
    </row>
    <row r="9" spans="1:19" ht="18.75" customHeight="1" x14ac:dyDescent="0.25">
      <c r="A9" s="16"/>
      <c r="B9" s="56" t="s">
        <v>2</v>
      </c>
      <c r="C9" s="5" t="str">
        <f>+[13]DATOS!B7</f>
        <v>EDELMIRA SIERRA GUTIÉRREZ</v>
      </c>
      <c r="D9" s="5"/>
      <c r="E9" s="51"/>
      <c r="F9" s="51"/>
      <c r="G9" s="51"/>
      <c r="H9" s="51"/>
      <c r="I9" s="51"/>
      <c r="J9" s="51"/>
      <c r="K9" s="51"/>
      <c r="L9" s="54"/>
      <c r="M9" s="54"/>
      <c r="N9" s="25"/>
    </row>
    <row r="10" spans="1:19" ht="4.5" customHeight="1" x14ac:dyDescent="0.25">
      <c r="A10" s="16"/>
      <c r="B10" s="56"/>
      <c r="C10" s="52"/>
      <c r="D10" s="52"/>
      <c r="E10" s="52"/>
      <c r="F10" s="52"/>
      <c r="G10" s="51"/>
      <c r="H10" s="51"/>
      <c r="I10" s="51"/>
      <c r="J10" s="51"/>
      <c r="K10" s="51"/>
      <c r="L10" s="54"/>
      <c r="M10" s="54"/>
      <c r="N10" s="25"/>
    </row>
    <row r="11" spans="1:19" ht="18.75" customHeight="1" x14ac:dyDescent="0.25">
      <c r="A11" s="16"/>
      <c r="B11" s="57" t="s">
        <v>3</v>
      </c>
      <c r="C11" s="5" t="s">
        <v>4</v>
      </c>
      <c r="D11" s="6"/>
      <c r="E11" s="55"/>
      <c r="F11" s="459" t="s">
        <v>306</v>
      </c>
      <c r="G11" s="459"/>
      <c r="H11" s="460" t="s">
        <v>307</v>
      </c>
      <c r="I11" s="460"/>
      <c r="J11" s="460"/>
      <c r="K11" s="394"/>
      <c r="L11" s="54"/>
      <c r="M11" s="54"/>
      <c r="N11" s="25"/>
    </row>
    <row r="12" spans="1:19" ht="18.75" customHeight="1" x14ac:dyDescent="0.25">
      <c r="A12" s="16"/>
      <c r="B12" s="56" t="s">
        <v>5</v>
      </c>
      <c r="C12" s="5" t="s">
        <v>56</v>
      </c>
      <c r="D12" s="55"/>
      <c r="E12" s="55"/>
      <c r="F12" s="52"/>
      <c r="G12" s="51"/>
      <c r="H12" s="51"/>
      <c r="I12" s="51"/>
      <c r="J12" s="51"/>
      <c r="K12" s="51"/>
      <c r="L12" s="54"/>
      <c r="M12" s="54"/>
      <c r="N12" s="25"/>
    </row>
    <row r="13" spans="1:19" ht="18.75" customHeight="1" x14ac:dyDescent="0.25">
      <c r="A13" s="16"/>
      <c r="B13" s="56" t="s">
        <v>6</v>
      </c>
      <c r="C13" s="9" t="s">
        <v>7</v>
      </c>
      <c r="D13" s="19"/>
      <c r="E13" s="52"/>
      <c r="F13" s="328" t="s">
        <v>308</v>
      </c>
      <c r="G13" s="328" t="s">
        <v>309</v>
      </c>
      <c r="H13" s="51"/>
      <c r="I13" s="51"/>
      <c r="J13" s="51"/>
      <c r="K13" s="51"/>
      <c r="L13" s="54"/>
      <c r="M13" s="54"/>
      <c r="N13" s="25"/>
      <c r="R13" s="1" t="s">
        <v>8</v>
      </c>
      <c r="S13" s="1">
        <v>496900</v>
      </c>
    </row>
    <row r="14" spans="1:19" ht="18.75" customHeight="1" x14ac:dyDescent="0.25">
      <c r="A14" s="16"/>
      <c r="B14" s="56" t="s">
        <v>9</v>
      </c>
      <c r="C14" s="11">
        <v>35278</v>
      </c>
      <c r="D14" s="10"/>
      <c r="E14" s="52"/>
      <c r="F14" s="221" t="s">
        <v>308</v>
      </c>
      <c r="G14" s="364"/>
      <c r="H14" s="51"/>
      <c r="I14" s="51"/>
      <c r="J14" s="51"/>
      <c r="K14" s="51"/>
      <c r="L14" s="54"/>
      <c r="M14" s="54"/>
      <c r="N14" s="25"/>
      <c r="R14" s="1" t="s">
        <v>10</v>
      </c>
      <c r="S14" s="1">
        <v>589500</v>
      </c>
    </row>
    <row r="15" spans="1:19" ht="18.75" customHeight="1" x14ac:dyDescent="0.25">
      <c r="A15" s="16"/>
      <c r="B15" s="56" t="s">
        <v>11</v>
      </c>
      <c r="C15" s="11">
        <v>35783</v>
      </c>
      <c r="D15" s="10"/>
      <c r="E15" s="60"/>
      <c r="F15" s="52"/>
      <c r="G15" s="51"/>
      <c r="H15" s="51"/>
      <c r="I15" s="51"/>
      <c r="J15" s="51"/>
      <c r="K15" s="51"/>
      <c r="L15" s="54"/>
      <c r="M15" s="54"/>
      <c r="N15" s="25"/>
      <c r="R15" s="1" t="s">
        <v>12</v>
      </c>
      <c r="S15" s="1">
        <v>644350</v>
      </c>
    </row>
    <row r="16" spans="1:19" ht="18.75" customHeight="1" x14ac:dyDescent="0.25">
      <c r="A16" s="16"/>
      <c r="B16" s="56" t="s">
        <v>13</v>
      </c>
      <c r="C16" s="7" t="s">
        <v>14</v>
      </c>
      <c r="D16" s="7"/>
      <c r="E16" s="55"/>
      <c r="F16" s="51"/>
      <c r="G16" s="51"/>
      <c r="H16" s="51"/>
      <c r="I16" s="51"/>
      <c r="J16" s="51"/>
      <c r="K16" s="51"/>
      <c r="L16" s="54"/>
      <c r="M16" s="54"/>
      <c r="N16" s="25"/>
      <c r="R16" s="1" t="s">
        <v>15</v>
      </c>
      <c r="S16" s="1">
        <v>689454</v>
      </c>
    </row>
    <row r="17" spans="1:23" ht="18.75" customHeight="1" x14ac:dyDescent="0.25">
      <c r="A17" s="16"/>
      <c r="B17" s="56" t="s">
        <v>16</v>
      </c>
      <c r="C17" s="11">
        <v>36866</v>
      </c>
      <c r="D17" s="8"/>
      <c r="E17" s="55"/>
      <c r="F17" s="52"/>
      <c r="G17" s="51"/>
      <c r="H17" s="51"/>
      <c r="I17" s="51"/>
      <c r="J17" s="51"/>
      <c r="K17" s="51"/>
      <c r="L17" s="54"/>
      <c r="M17" s="54"/>
      <c r="N17" s="25"/>
      <c r="R17" s="1" t="s">
        <v>17</v>
      </c>
      <c r="S17" s="1">
        <v>737717</v>
      </c>
    </row>
    <row r="18" spans="1:23" ht="11.25" customHeight="1" thickBot="1" x14ac:dyDescent="0.3">
      <c r="A18" s="16"/>
      <c r="B18" s="55"/>
      <c r="C18" s="55"/>
      <c r="D18" s="61"/>
      <c r="E18" s="61"/>
      <c r="F18" s="61"/>
      <c r="G18" s="61"/>
      <c r="H18" s="51"/>
      <c r="I18" s="51"/>
      <c r="J18" s="51"/>
      <c r="K18" s="51"/>
      <c r="L18" s="54"/>
      <c r="M18" s="54"/>
      <c r="N18" s="26"/>
      <c r="R18" s="1" t="s">
        <v>18</v>
      </c>
      <c r="S18" s="1">
        <v>781242</v>
      </c>
    </row>
    <row r="19" spans="1:23" ht="22.5" customHeight="1" x14ac:dyDescent="0.25">
      <c r="A19" s="454" t="s">
        <v>87</v>
      </c>
      <c r="B19" s="440" t="s">
        <v>19</v>
      </c>
      <c r="C19" s="442" t="s">
        <v>20</v>
      </c>
      <c r="D19" s="444" t="s">
        <v>1</v>
      </c>
      <c r="E19" s="444" t="s">
        <v>21</v>
      </c>
      <c r="F19" s="444" t="s">
        <v>22</v>
      </c>
      <c r="G19" s="444" t="s">
        <v>23</v>
      </c>
      <c r="H19" s="444"/>
      <c r="I19" s="444" t="s">
        <v>311</v>
      </c>
      <c r="J19" s="444" t="s">
        <v>322</v>
      </c>
      <c r="K19" s="461" t="s">
        <v>353</v>
      </c>
      <c r="L19" s="457" t="s">
        <v>310</v>
      </c>
      <c r="M19" s="461" t="s">
        <v>354</v>
      </c>
      <c r="N19" s="447" t="s">
        <v>181</v>
      </c>
      <c r="O19" s="446"/>
      <c r="P19" s="438" t="s">
        <v>25</v>
      </c>
      <c r="Q19" s="439" t="s">
        <v>26</v>
      </c>
      <c r="R19" s="1" t="s">
        <v>27</v>
      </c>
      <c r="S19" s="1">
        <v>828116</v>
      </c>
    </row>
    <row r="20" spans="1:23" ht="76.5" customHeight="1" thickBot="1" x14ac:dyDescent="0.3">
      <c r="A20" s="455"/>
      <c r="B20" s="441"/>
      <c r="C20" s="443"/>
      <c r="D20" s="445"/>
      <c r="E20" s="445"/>
      <c r="F20" s="445"/>
      <c r="G20" s="329" t="s">
        <v>28</v>
      </c>
      <c r="H20" s="329" t="s">
        <v>29</v>
      </c>
      <c r="I20" s="445"/>
      <c r="J20" s="445"/>
      <c r="K20" s="462"/>
      <c r="L20" s="458"/>
      <c r="M20" s="462"/>
      <c r="N20" s="448"/>
      <c r="O20" s="446"/>
      <c r="P20" s="438"/>
      <c r="Q20" s="439"/>
      <c r="R20" s="1" t="s">
        <v>30</v>
      </c>
      <c r="S20" s="1">
        <v>877803</v>
      </c>
    </row>
    <row r="21" spans="1:23" ht="135" customHeight="1" x14ac:dyDescent="0.25">
      <c r="A21" s="404">
        <v>1</v>
      </c>
      <c r="B21" s="405" t="s">
        <v>80</v>
      </c>
      <c r="C21" s="406" t="s">
        <v>36</v>
      </c>
      <c r="D21" s="407" t="s">
        <v>344</v>
      </c>
      <c r="E21" s="408" t="s">
        <v>345</v>
      </c>
      <c r="F21" s="409">
        <v>1</v>
      </c>
      <c r="G21" s="410">
        <v>45338</v>
      </c>
      <c r="H21" s="411">
        <v>45632</v>
      </c>
      <c r="I21" s="32">
        <f>290/360</f>
        <v>0.80555555555555558</v>
      </c>
      <c r="J21" s="32">
        <f>I21</f>
        <v>0.80555555555555558</v>
      </c>
      <c r="K21" s="32" t="s">
        <v>314</v>
      </c>
      <c r="L21" s="32">
        <f t="shared" ref="L21:L30" si="0">J21</f>
        <v>0.80555555555555558</v>
      </c>
      <c r="M21" s="412" t="s">
        <v>314</v>
      </c>
      <c r="N21" s="47" t="s">
        <v>314</v>
      </c>
      <c r="O21" s="395"/>
      <c r="P21" s="45"/>
      <c r="Q21" s="45"/>
    </row>
    <row r="22" spans="1:23" ht="126" customHeight="1" x14ac:dyDescent="0.25">
      <c r="A22" s="65">
        <v>2</v>
      </c>
      <c r="B22" s="63" t="s">
        <v>80</v>
      </c>
      <c r="C22" s="38" t="s">
        <v>36</v>
      </c>
      <c r="D22" s="33" t="s">
        <v>86</v>
      </c>
      <c r="E22" s="46" t="s">
        <v>85</v>
      </c>
      <c r="F22" s="49">
        <v>1</v>
      </c>
      <c r="G22" s="39">
        <v>45048</v>
      </c>
      <c r="H22" s="40">
        <v>45275</v>
      </c>
      <c r="I22" s="32">
        <f>210/360</f>
        <v>0.58333333333333337</v>
      </c>
      <c r="J22" s="32">
        <f t="shared" ref="J22:J31" si="1">I22</f>
        <v>0.58333333333333337</v>
      </c>
      <c r="K22" s="32" t="s">
        <v>314</v>
      </c>
      <c r="L22" s="32">
        <f t="shared" si="0"/>
        <v>0.58333333333333337</v>
      </c>
      <c r="M22" s="412" t="s">
        <v>314</v>
      </c>
      <c r="N22" s="47" t="s">
        <v>314</v>
      </c>
      <c r="O22" s="51">
        <f>DAYS360(G22,H22,FALSE)</f>
        <v>223</v>
      </c>
      <c r="P22" s="50">
        <f>+O22/30</f>
        <v>7.4333333333333336</v>
      </c>
      <c r="Q22" s="45"/>
    </row>
    <row r="23" spans="1:23" ht="118.5" customHeight="1" x14ac:dyDescent="0.2">
      <c r="A23" s="65">
        <v>3</v>
      </c>
      <c r="B23" s="63" t="s">
        <v>80</v>
      </c>
      <c r="C23" s="38" t="s">
        <v>36</v>
      </c>
      <c r="D23" s="33" t="s">
        <v>72</v>
      </c>
      <c r="E23" s="30" t="s">
        <v>81</v>
      </c>
      <c r="F23" s="20">
        <v>1</v>
      </c>
      <c r="G23" s="39">
        <v>44796</v>
      </c>
      <c r="H23" s="40">
        <v>45067</v>
      </c>
      <c r="I23" s="32">
        <f>222/360</f>
        <v>0.6166666666666667</v>
      </c>
      <c r="J23" s="32">
        <f t="shared" si="1"/>
        <v>0.6166666666666667</v>
      </c>
      <c r="K23" s="32" t="s">
        <v>314</v>
      </c>
      <c r="L23" s="32">
        <f t="shared" si="0"/>
        <v>0.6166666666666667</v>
      </c>
      <c r="M23" s="412" t="s">
        <v>314</v>
      </c>
      <c r="N23" s="348" t="s">
        <v>335</v>
      </c>
      <c r="O23" s="323">
        <f>DAYS360(G23,H23,FALSE)</f>
        <v>268</v>
      </c>
      <c r="P23" s="23">
        <f>+O23/30</f>
        <v>8.9333333333333336</v>
      </c>
      <c r="Q23" s="18"/>
    </row>
    <row r="24" spans="1:23" ht="124.5" customHeight="1" x14ac:dyDescent="0.25">
      <c r="A24" s="65">
        <v>4</v>
      </c>
      <c r="B24" s="63" t="s">
        <v>80</v>
      </c>
      <c r="C24" s="38" t="s">
        <v>36</v>
      </c>
      <c r="D24" s="33" t="s">
        <v>72</v>
      </c>
      <c r="E24" s="30" t="s">
        <v>73</v>
      </c>
      <c r="F24" s="20">
        <v>1</v>
      </c>
      <c r="G24" s="27">
        <v>44609</v>
      </c>
      <c r="H24" s="27">
        <v>44806</v>
      </c>
      <c r="I24" s="34">
        <f>185/360</f>
        <v>0.51388888888888884</v>
      </c>
      <c r="J24" s="32">
        <f t="shared" si="1"/>
        <v>0.51388888888888884</v>
      </c>
      <c r="K24" s="32" t="s">
        <v>314</v>
      </c>
      <c r="L24" s="32">
        <f t="shared" si="0"/>
        <v>0.51388888888888884</v>
      </c>
      <c r="M24" s="412" t="s">
        <v>314</v>
      </c>
      <c r="N24" s="41" t="s">
        <v>314</v>
      </c>
      <c r="O24" s="51">
        <v>185</v>
      </c>
      <c r="P24" s="18"/>
      <c r="Q24" s="3">
        <f>O24/30</f>
        <v>6.166666666666667</v>
      </c>
    </row>
    <row r="25" spans="1:23" ht="105" customHeight="1" x14ac:dyDescent="0.25">
      <c r="A25" s="65">
        <v>5</v>
      </c>
      <c r="B25" s="63" t="s">
        <v>31</v>
      </c>
      <c r="C25" s="38" t="s">
        <v>32</v>
      </c>
      <c r="D25" s="33" t="s">
        <v>33</v>
      </c>
      <c r="E25" s="30" t="s">
        <v>74</v>
      </c>
      <c r="F25" s="20">
        <v>1</v>
      </c>
      <c r="G25" s="27">
        <v>44452</v>
      </c>
      <c r="H25" s="27">
        <v>44608</v>
      </c>
      <c r="I25" s="34">
        <f>147/360</f>
        <v>0.40833333333333333</v>
      </c>
      <c r="J25" s="32">
        <f t="shared" si="1"/>
        <v>0.40833333333333333</v>
      </c>
      <c r="K25" s="32" t="s">
        <v>314</v>
      </c>
      <c r="L25" s="32">
        <f t="shared" si="0"/>
        <v>0.40833333333333333</v>
      </c>
      <c r="M25" s="412" t="s">
        <v>314</v>
      </c>
      <c r="N25" s="41" t="s">
        <v>314</v>
      </c>
      <c r="O25" s="51"/>
      <c r="P25" s="12">
        <f>DAYS360(G25,H25)-8-47-5</f>
        <v>93</v>
      </c>
      <c r="Q25" s="3">
        <f>+P25/30</f>
        <v>3.1</v>
      </c>
      <c r="R25" s="13"/>
      <c r="S25" s="13"/>
      <c r="T25" s="12"/>
      <c r="U25" s="13"/>
      <c r="V25" s="13"/>
      <c r="W25" s="13"/>
    </row>
    <row r="26" spans="1:23" ht="131.25" customHeight="1" x14ac:dyDescent="0.25">
      <c r="A26" s="65">
        <v>6</v>
      </c>
      <c r="B26" s="63" t="s">
        <v>35</v>
      </c>
      <c r="C26" s="38" t="s">
        <v>36</v>
      </c>
      <c r="D26" s="33" t="s">
        <v>82</v>
      </c>
      <c r="E26" s="30" t="s">
        <v>83</v>
      </c>
      <c r="F26" s="20">
        <v>1</v>
      </c>
      <c r="G26" s="27">
        <v>44364</v>
      </c>
      <c r="H26" s="27">
        <v>44449</v>
      </c>
      <c r="I26" s="34">
        <f>83/360</f>
        <v>0.23055555555555557</v>
      </c>
      <c r="J26" s="32">
        <f t="shared" si="1"/>
        <v>0.23055555555555557</v>
      </c>
      <c r="K26" s="32" t="s">
        <v>314</v>
      </c>
      <c r="L26" s="32">
        <f t="shared" si="0"/>
        <v>0.23055555555555557</v>
      </c>
      <c r="M26" s="412" t="s">
        <v>314</v>
      </c>
      <c r="N26" s="42" t="s">
        <v>312</v>
      </c>
      <c r="O26" s="51"/>
      <c r="P26" s="12">
        <f>DAYS360(G26,H26)</f>
        <v>83</v>
      </c>
      <c r="Q26" s="3">
        <f>P26/30</f>
        <v>2.7666666666666666</v>
      </c>
      <c r="R26" s="13"/>
      <c r="S26" s="13"/>
      <c r="T26" s="12"/>
      <c r="U26" s="13"/>
      <c r="V26" s="13"/>
      <c r="W26" s="13"/>
    </row>
    <row r="27" spans="1:23" ht="128.25" customHeight="1" x14ac:dyDescent="0.25">
      <c r="A27" s="65">
        <v>7</v>
      </c>
      <c r="B27" s="64" t="s">
        <v>35</v>
      </c>
      <c r="C27" s="28" t="s">
        <v>36</v>
      </c>
      <c r="D27" s="29" t="s">
        <v>37</v>
      </c>
      <c r="E27" s="30" t="s">
        <v>75</v>
      </c>
      <c r="F27" s="20">
        <v>1</v>
      </c>
      <c r="G27" s="27">
        <v>43865</v>
      </c>
      <c r="H27" s="27">
        <v>44348</v>
      </c>
      <c r="I27" s="34">
        <f>367/360</f>
        <v>1.0194444444444444</v>
      </c>
      <c r="J27" s="32">
        <f t="shared" si="1"/>
        <v>1.0194444444444444</v>
      </c>
      <c r="K27" s="32" t="s">
        <v>314</v>
      </c>
      <c r="L27" s="32">
        <f t="shared" si="0"/>
        <v>1.0194444444444444</v>
      </c>
      <c r="M27" s="412" t="s">
        <v>314</v>
      </c>
      <c r="N27" s="41" t="s">
        <v>314</v>
      </c>
      <c r="O27" s="51"/>
      <c r="P27" s="12">
        <v>367</v>
      </c>
      <c r="Q27" s="3">
        <f>+P27/30</f>
        <v>12.233333333333333</v>
      </c>
    </row>
    <row r="28" spans="1:23" ht="128.25" customHeight="1" x14ac:dyDescent="0.25">
      <c r="A28" s="65">
        <v>8</v>
      </c>
      <c r="B28" s="64" t="s">
        <v>35</v>
      </c>
      <c r="C28" s="28" t="s">
        <v>36</v>
      </c>
      <c r="D28" s="29" t="s">
        <v>38</v>
      </c>
      <c r="E28" s="30" t="s">
        <v>39</v>
      </c>
      <c r="F28" s="14">
        <v>0.5</v>
      </c>
      <c r="G28" s="39">
        <v>43686</v>
      </c>
      <c r="H28" s="31">
        <v>43798</v>
      </c>
      <c r="I28" s="32">
        <f>101/360</f>
        <v>0.28055555555555556</v>
      </c>
      <c r="J28" s="32">
        <f t="shared" si="1"/>
        <v>0.28055555555555556</v>
      </c>
      <c r="K28" s="32" t="s">
        <v>314</v>
      </c>
      <c r="L28" s="32">
        <f t="shared" si="0"/>
        <v>0.28055555555555556</v>
      </c>
      <c r="M28" s="412" t="s">
        <v>314</v>
      </c>
      <c r="N28" s="42" t="s">
        <v>313</v>
      </c>
      <c r="O28" s="51"/>
      <c r="P28" s="12">
        <f>3*30+11</f>
        <v>101</v>
      </c>
      <c r="Q28" s="3">
        <f t="shared" ref="Q28:Q46" si="2">+P28/30</f>
        <v>3.3666666666666667</v>
      </c>
    </row>
    <row r="29" spans="1:23" ht="125.25" customHeight="1" x14ac:dyDescent="0.25">
      <c r="A29" s="65">
        <v>9</v>
      </c>
      <c r="B29" s="64" t="s">
        <v>35</v>
      </c>
      <c r="C29" s="28" t="s">
        <v>0</v>
      </c>
      <c r="D29" s="29" t="s">
        <v>40</v>
      </c>
      <c r="E29" s="30" t="s">
        <v>41</v>
      </c>
      <c r="F29" s="14">
        <v>0.5</v>
      </c>
      <c r="G29" s="31">
        <v>43222</v>
      </c>
      <c r="H29" s="31">
        <v>43619</v>
      </c>
      <c r="I29" s="32">
        <f>307/360</f>
        <v>0.85277777777777775</v>
      </c>
      <c r="J29" s="32">
        <f t="shared" si="1"/>
        <v>0.85277777777777775</v>
      </c>
      <c r="K29" s="32" t="s">
        <v>314</v>
      </c>
      <c r="L29" s="32">
        <f t="shared" si="0"/>
        <v>0.85277777777777775</v>
      </c>
      <c r="M29" s="412" t="s">
        <v>314</v>
      </c>
      <c r="N29" s="42" t="s">
        <v>362</v>
      </c>
      <c r="O29" s="324"/>
      <c r="P29" s="12">
        <f>(10*30)+7</f>
        <v>307</v>
      </c>
      <c r="Q29" s="3">
        <f t="shared" si="2"/>
        <v>10.233333333333333</v>
      </c>
    </row>
    <row r="30" spans="1:23" ht="116.25" customHeight="1" x14ac:dyDescent="0.25">
      <c r="A30" s="65">
        <v>10</v>
      </c>
      <c r="B30" s="64" t="s">
        <v>35</v>
      </c>
      <c r="C30" s="28" t="s">
        <v>0</v>
      </c>
      <c r="D30" s="29" t="s">
        <v>42</v>
      </c>
      <c r="E30" s="30" t="s">
        <v>43</v>
      </c>
      <c r="F30" s="14">
        <v>0.5</v>
      </c>
      <c r="G30" s="39">
        <v>42962</v>
      </c>
      <c r="H30" s="31">
        <v>43221</v>
      </c>
      <c r="I30" s="32">
        <f>212/360</f>
        <v>0.58888888888888891</v>
      </c>
      <c r="J30" s="32">
        <f t="shared" si="1"/>
        <v>0.58888888888888891</v>
      </c>
      <c r="K30" s="32" t="s">
        <v>314</v>
      </c>
      <c r="L30" s="32">
        <f t="shared" si="0"/>
        <v>0.58888888888888891</v>
      </c>
      <c r="M30" s="412" t="s">
        <v>314</v>
      </c>
      <c r="N30" s="42" t="s">
        <v>349</v>
      </c>
      <c r="O30" s="325"/>
      <c r="P30" s="12">
        <f>7*30-5</f>
        <v>205</v>
      </c>
      <c r="Q30" s="3">
        <f t="shared" si="2"/>
        <v>6.833333333333333</v>
      </c>
    </row>
    <row r="31" spans="1:23" ht="110.25" customHeight="1" x14ac:dyDescent="0.25">
      <c r="A31" s="65">
        <v>11</v>
      </c>
      <c r="B31" s="64" t="s">
        <v>44</v>
      </c>
      <c r="C31" s="28" t="s">
        <v>0</v>
      </c>
      <c r="D31" s="29" t="s">
        <v>45</v>
      </c>
      <c r="E31" s="30" t="s">
        <v>46</v>
      </c>
      <c r="F31" s="14">
        <v>0.5</v>
      </c>
      <c r="G31" s="39">
        <v>42583</v>
      </c>
      <c r="H31" s="31">
        <v>42946</v>
      </c>
      <c r="I31" s="32">
        <f>247/360</f>
        <v>0.68611111111111112</v>
      </c>
      <c r="J31" s="32">
        <f t="shared" si="1"/>
        <v>0.68611111111111112</v>
      </c>
      <c r="K31" s="32" t="s">
        <v>314</v>
      </c>
      <c r="L31" s="32">
        <v>0</v>
      </c>
      <c r="M31" s="412">
        <f>J31</f>
        <v>0.68611111111111112</v>
      </c>
      <c r="N31" s="42" t="s">
        <v>350</v>
      </c>
      <c r="O31" s="325"/>
      <c r="P31" s="12">
        <f>8*30+7</f>
        <v>247</v>
      </c>
      <c r="Q31" s="3">
        <f t="shared" si="2"/>
        <v>8.2333333333333325</v>
      </c>
      <c r="R31" s="15"/>
    </row>
    <row r="32" spans="1:23" ht="104.45" customHeight="1" x14ac:dyDescent="0.25">
      <c r="A32" s="65">
        <v>12</v>
      </c>
      <c r="B32" s="64" t="s">
        <v>44</v>
      </c>
      <c r="C32" s="28" t="s">
        <v>36</v>
      </c>
      <c r="D32" s="29" t="s">
        <v>47</v>
      </c>
      <c r="E32" s="30" t="s">
        <v>48</v>
      </c>
      <c r="F32" s="14">
        <v>1</v>
      </c>
      <c r="G32" s="31">
        <v>42171</v>
      </c>
      <c r="H32" s="31">
        <v>42539</v>
      </c>
      <c r="I32" s="32">
        <f>260/360</f>
        <v>0.72222222222222221</v>
      </c>
      <c r="J32" s="32">
        <f t="shared" ref="J32:J37" si="3">I32</f>
        <v>0.72222222222222221</v>
      </c>
      <c r="K32" s="32" t="s">
        <v>314</v>
      </c>
      <c r="L32" s="32">
        <v>0</v>
      </c>
      <c r="M32" s="412">
        <f>J32</f>
        <v>0.72222222222222221</v>
      </c>
      <c r="N32" s="42" t="s">
        <v>351</v>
      </c>
      <c r="O32" s="324"/>
      <c r="P32" s="12">
        <f>8*30+20</f>
        <v>260</v>
      </c>
      <c r="Q32" s="3">
        <f t="shared" si="2"/>
        <v>8.6666666666666661</v>
      </c>
    </row>
    <row r="33" spans="1:18" ht="66" customHeight="1" x14ac:dyDescent="0.25">
      <c r="A33" s="65">
        <v>13</v>
      </c>
      <c r="B33" s="64" t="s">
        <v>35</v>
      </c>
      <c r="C33" s="28" t="s">
        <v>0</v>
      </c>
      <c r="D33" s="29" t="s">
        <v>49</v>
      </c>
      <c r="E33" s="30" t="s">
        <v>76</v>
      </c>
      <c r="F33" s="14">
        <v>1</v>
      </c>
      <c r="G33" s="39">
        <v>41675</v>
      </c>
      <c r="H33" s="31">
        <v>42082</v>
      </c>
      <c r="I33" s="32">
        <f>300/360</f>
        <v>0.83333333333333337</v>
      </c>
      <c r="J33" s="32">
        <f t="shared" si="3"/>
        <v>0.83333333333333337</v>
      </c>
      <c r="K33" s="32" t="s">
        <v>314</v>
      </c>
      <c r="L33" s="32">
        <v>0</v>
      </c>
      <c r="M33" s="412">
        <f>J33</f>
        <v>0.83333333333333337</v>
      </c>
      <c r="N33" s="42" t="s">
        <v>352</v>
      </c>
      <c r="O33" s="326">
        <f>DAYS360(G33,H33,FALSE)/30</f>
        <v>13.466666666666667</v>
      </c>
      <c r="P33" s="12">
        <f>10*30</f>
        <v>300</v>
      </c>
      <c r="Q33" s="3">
        <f t="shared" si="2"/>
        <v>10</v>
      </c>
    </row>
    <row r="34" spans="1:18" ht="94.5" customHeight="1" x14ac:dyDescent="0.25">
      <c r="A34" s="65">
        <v>14</v>
      </c>
      <c r="B34" s="64" t="s">
        <v>50</v>
      </c>
      <c r="C34" s="28" t="s">
        <v>0</v>
      </c>
      <c r="D34" s="29" t="s">
        <v>51</v>
      </c>
      <c r="E34" s="30" t="s">
        <v>52</v>
      </c>
      <c r="F34" s="14">
        <v>1</v>
      </c>
      <c r="G34" s="39">
        <v>41200</v>
      </c>
      <c r="H34" s="31">
        <v>41439</v>
      </c>
      <c r="I34" s="32">
        <f>163/360</f>
        <v>0.45277777777777778</v>
      </c>
      <c r="J34" s="32">
        <v>0</v>
      </c>
      <c r="K34" s="32" t="s">
        <v>314</v>
      </c>
      <c r="L34" s="32">
        <v>0</v>
      </c>
      <c r="M34" s="412">
        <v>0</v>
      </c>
      <c r="N34" s="415" t="s">
        <v>355</v>
      </c>
      <c r="O34" s="51"/>
      <c r="P34" s="12">
        <f>4*30+43</f>
        <v>163</v>
      </c>
      <c r="Q34" s="3">
        <f t="shared" si="2"/>
        <v>5.4333333333333336</v>
      </c>
    </row>
    <row r="35" spans="1:18" ht="137.25" customHeight="1" x14ac:dyDescent="0.25">
      <c r="A35" s="65">
        <v>15</v>
      </c>
      <c r="B35" s="64" t="s">
        <v>31</v>
      </c>
      <c r="C35" s="28" t="s">
        <v>53</v>
      </c>
      <c r="D35" s="29" t="s">
        <v>54</v>
      </c>
      <c r="E35" s="30" t="s">
        <v>55</v>
      </c>
      <c r="F35" s="20">
        <v>1</v>
      </c>
      <c r="G35" s="39">
        <v>40788</v>
      </c>
      <c r="H35" s="31">
        <v>40909</v>
      </c>
      <c r="I35" s="32">
        <f>120/360</f>
        <v>0.33333333333333331</v>
      </c>
      <c r="J35" s="32">
        <f t="shared" si="3"/>
        <v>0.33333333333333331</v>
      </c>
      <c r="K35" s="32" t="s">
        <v>314</v>
      </c>
      <c r="L35" s="32">
        <v>0</v>
      </c>
      <c r="M35" s="412">
        <f>J35</f>
        <v>0.33333333333333331</v>
      </c>
      <c r="N35" s="41" t="s">
        <v>314</v>
      </c>
      <c r="O35" s="327"/>
      <c r="P35" s="12">
        <f>4*30</f>
        <v>120</v>
      </c>
      <c r="Q35" s="3">
        <f t="shared" si="2"/>
        <v>4</v>
      </c>
    </row>
    <row r="36" spans="1:18" ht="116.25" customHeight="1" x14ac:dyDescent="0.25">
      <c r="A36" s="65">
        <v>16</v>
      </c>
      <c r="B36" s="64" t="s">
        <v>56</v>
      </c>
      <c r="C36" s="28" t="s">
        <v>0</v>
      </c>
      <c r="D36" s="29" t="s">
        <v>57</v>
      </c>
      <c r="E36" s="30" t="s">
        <v>77</v>
      </c>
      <c r="F36" s="14">
        <v>1</v>
      </c>
      <c r="G36" s="31">
        <v>40247</v>
      </c>
      <c r="H36" s="31">
        <v>40502</v>
      </c>
      <c r="I36" s="32">
        <f>250/360</f>
        <v>0.69444444444444442</v>
      </c>
      <c r="J36" s="32">
        <f t="shared" si="3"/>
        <v>0.69444444444444442</v>
      </c>
      <c r="K36" s="32" t="s">
        <v>314</v>
      </c>
      <c r="L36" s="32">
        <v>0</v>
      </c>
      <c r="M36" s="412">
        <f>J36</f>
        <v>0.69444444444444442</v>
      </c>
      <c r="N36" s="43" t="s">
        <v>314</v>
      </c>
      <c r="O36" s="51"/>
      <c r="P36" s="12">
        <f t="shared" ref="P36:P46" si="4">DAYS360(G36,H36)</f>
        <v>250</v>
      </c>
      <c r="Q36" s="3">
        <f t="shared" si="2"/>
        <v>8.3333333333333339</v>
      </c>
      <c r="R36" s="15"/>
    </row>
    <row r="37" spans="1:18" ht="38.25" x14ac:dyDescent="0.25">
      <c r="A37" s="65">
        <v>17</v>
      </c>
      <c r="B37" s="64" t="s">
        <v>58</v>
      </c>
      <c r="C37" s="28" t="s">
        <v>59</v>
      </c>
      <c r="D37" s="33" t="s">
        <v>58</v>
      </c>
      <c r="E37" s="30" t="s">
        <v>60</v>
      </c>
      <c r="F37" s="20">
        <v>1</v>
      </c>
      <c r="G37" s="31">
        <v>40066</v>
      </c>
      <c r="H37" s="31">
        <v>40236</v>
      </c>
      <c r="I37" s="34">
        <f>167/360</f>
        <v>0.46388888888888891</v>
      </c>
      <c r="J37" s="32">
        <f t="shared" si="3"/>
        <v>0.46388888888888891</v>
      </c>
      <c r="K37" s="32" t="s">
        <v>314</v>
      </c>
      <c r="L37" s="32">
        <v>0</v>
      </c>
      <c r="M37" s="412" t="s">
        <v>314</v>
      </c>
      <c r="N37" s="44" t="s">
        <v>314</v>
      </c>
      <c r="O37" s="325"/>
      <c r="P37" s="12">
        <f t="shared" si="4"/>
        <v>167</v>
      </c>
      <c r="Q37" s="3">
        <f t="shared" si="2"/>
        <v>5.5666666666666664</v>
      </c>
    </row>
    <row r="38" spans="1:18" ht="175.15" customHeight="1" x14ac:dyDescent="0.25">
      <c r="A38" s="65">
        <v>18</v>
      </c>
      <c r="B38" s="64" t="s">
        <v>31</v>
      </c>
      <c r="C38" s="28" t="s">
        <v>0</v>
      </c>
      <c r="D38" s="29" t="s">
        <v>61</v>
      </c>
      <c r="E38" s="30" t="s">
        <v>62</v>
      </c>
      <c r="F38" s="14">
        <v>1</v>
      </c>
      <c r="G38" s="39">
        <v>39696</v>
      </c>
      <c r="H38" s="31">
        <v>39817</v>
      </c>
      <c r="I38" s="32">
        <f>120/360</f>
        <v>0.33333333333333331</v>
      </c>
      <c r="J38" s="32">
        <f t="shared" ref="J38:J42" si="5">I38</f>
        <v>0.33333333333333331</v>
      </c>
      <c r="K38" s="32" t="s">
        <v>314</v>
      </c>
      <c r="L38" s="32">
        <v>0</v>
      </c>
      <c r="M38" s="412" t="s">
        <v>314</v>
      </c>
      <c r="N38" s="41" t="s">
        <v>314</v>
      </c>
      <c r="O38" s="51"/>
      <c r="P38" s="12">
        <f t="shared" si="4"/>
        <v>119</v>
      </c>
      <c r="Q38" s="3">
        <f t="shared" si="2"/>
        <v>3.9666666666666668</v>
      </c>
    </row>
    <row r="39" spans="1:18" ht="126" customHeight="1" x14ac:dyDescent="0.25">
      <c r="A39" s="65">
        <v>19</v>
      </c>
      <c r="B39" s="64" t="s">
        <v>50</v>
      </c>
      <c r="C39" s="28" t="s">
        <v>0</v>
      </c>
      <c r="D39" s="29" t="s">
        <v>63</v>
      </c>
      <c r="E39" s="30" t="s">
        <v>64</v>
      </c>
      <c r="F39" s="14">
        <v>1</v>
      </c>
      <c r="G39" s="39">
        <v>39273</v>
      </c>
      <c r="H39" s="31">
        <v>39425</v>
      </c>
      <c r="I39" s="32">
        <f>150/360</f>
        <v>0.41666666666666669</v>
      </c>
      <c r="J39" s="32">
        <f t="shared" si="5"/>
        <v>0.41666666666666669</v>
      </c>
      <c r="K39" s="32" t="s">
        <v>314</v>
      </c>
      <c r="L39" s="32">
        <v>0</v>
      </c>
      <c r="M39" s="412" t="s">
        <v>314</v>
      </c>
      <c r="N39" s="41" t="s">
        <v>314</v>
      </c>
      <c r="O39" s="51"/>
      <c r="P39" s="12">
        <f t="shared" si="4"/>
        <v>149</v>
      </c>
      <c r="Q39" s="3">
        <f t="shared" si="2"/>
        <v>4.9666666666666668</v>
      </c>
    </row>
    <row r="40" spans="1:18" ht="75.75" customHeight="1" x14ac:dyDescent="0.25">
      <c r="A40" s="65">
        <v>20</v>
      </c>
      <c r="B40" s="64" t="s">
        <v>50</v>
      </c>
      <c r="C40" s="28" t="s">
        <v>0</v>
      </c>
      <c r="D40" s="29" t="s">
        <v>65</v>
      </c>
      <c r="E40" s="30">
        <v>627</v>
      </c>
      <c r="F40" s="14">
        <v>1</v>
      </c>
      <c r="G40" s="39">
        <v>39073</v>
      </c>
      <c r="H40" s="31">
        <v>39223</v>
      </c>
      <c r="I40" s="32">
        <f>150/360</f>
        <v>0.41666666666666669</v>
      </c>
      <c r="J40" s="32">
        <f t="shared" si="5"/>
        <v>0.41666666666666669</v>
      </c>
      <c r="K40" s="32" t="s">
        <v>314</v>
      </c>
      <c r="L40" s="32">
        <v>0</v>
      </c>
      <c r="M40" s="412" t="s">
        <v>314</v>
      </c>
      <c r="N40" s="41" t="s">
        <v>314</v>
      </c>
      <c r="O40" s="51"/>
      <c r="P40" s="12">
        <f t="shared" si="4"/>
        <v>149</v>
      </c>
      <c r="Q40" s="3">
        <f t="shared" si="2"/>
        <v>4.9666666666666668</v>
      </c>
    </row>
    <row r="41" spans="1:18" ht="97.9" customHeight="1" x14ac:dyDescent="0.25">
      <c r="A41" s="65">
        <v>21</v>
      </c>
      <c r="B41" s="64" t="s">
        <v>50</v>
      </c>
      <c r="C41" s="28" t="s">
        <v>0</v>
      </c>
      <c r="D41" s="29" t="s">
        <v>66</v>
      </c>
      <c r="E41" s="30">
        <v>557</v>
      </c>
      <c r="F41" s="20" t="s">
        <v>34</v>
      </c>
      <c r="G41" s="39">
        <v>38630</v>
      </c>
      <c r="H41" s="31">
        <v>38902</v>
      </c>
      <c r="I41" s="32">
        <f>270/360</f>
        <v>0.75</v>
      </c>
      <c r="J41" s="32">
        <f t="shared" si="5"/>
        <v>0.75</v>
      </c>
      <c r="K41" s="32" t="s">
        <v>314</v>
      </c>
      <c r="L41" s="32">
        <v>0</v>
      </c>
      <c r="M41" s="412" t="s">
        <v>314</v>
      </c>
      <c r="N41" s="41" t="s">
        <v>314</v>
      </c>
      <c r="O41" s="51"/>
      <c r="P41" s="12">
        <f t="shared" si="4"/>
        <v>269</v>
      </c>
      <c r="Q41" s="3">
        <f t="shared" si="2"/>
        <v>8.9666666666666668</v>
      </c>
    </row>
    <row r="42" spans="1:18" ht="111" customHeight="1" x14ac:dyDescent="0.25">
      <c r="A42" s="65">
        <v>22</v>
      </c>
      <c r="B42" s="64" t="s">
        <v>50</v>
      </c>
      <c r="C42" s="28" t="s">
        <v>0</v>
      </c>
      <c r="D42" s="29" t="s">
        <v>67</v>
      </c>
      <c r="E42" s="30" t="s">
        <v>78</v>
      </c>
      <c r="F42" s="20" t="s">
        <v>34</v>
      </c>
      <c r="G42" s="39">
        <v>38307</v>
      </c>
      <c r="H42" s="31">
        <v>38487</v>
      </c>
      <c r="I42" s="32">
        <f>180/360</f>
        <v>0.5</v>
      </c>
      <c r="J42" s="32">
        <f t="shared" si="5"/>
        <v>0.5</v>
      </c>
      <c r="K42" s="32" t="s">
        <v>314</v>
      </c>
      <c r="L42" s="32">
        <v>0</v>
      </c>
      <c r="M42" s="412" t="s">
        <v>314</v>
      </c>
      <c r="N42" s="41" t="s">
        <v>314</v>
      </c>
      <c r="O42" s="51"/>
      <c r="P42" s="12">
        <f t="shared" si="4"/>
        <v>179</v>
      </c>
      <c r="Q42" s="3">
        <f t="shared" si="2"/>
        <v>5.9666666666666668</v>
      </c>
    </row>
    <row r="43" spans="1:18" ht="63" customHeight="1" x14ac:dyDescent="0.25">
      <c r="A43" s="65">
        <v>23</v>
      </c>
      <c r="B43" s="64" t="s">
        <v>68</v>
      </c>
      <c r="C43" s="28" t="s">
        <v>79</v>
      </c>
      <c r="D43" s="29" t="str">
        <f>+B43</f>
        <v>GERENTE</v>
      </c>
      <c r="E43" s="30" t="s">
        <v>34</v>
      </c>
      <c r="F43" s="14">
        <v>1</v>
      </c>
      <c r="G43" s="39">
        <v>36933</v>
      </c>
      <c r="H43" s="31">
        <v>37155</v>
      </c>
      <c r="I43" s="32">
        <f>220/360</f>
        <v>0.61111111111111116</v>
      </c>
      <c r="J43" s="32">
        <v>0</v>
      </c>
      <c r="K43" s="32">
        <f>I43</f>
        <v>0.61111111111111116</v>
      </c>
      <c r="L43" s="32">
        <v>0</v>
      </c>
      <c r="M43" s="412" t="s">
        <v>314</v>
      </c>
      <c r="N43" s="41" t="s">
        <v>314</v>
      </c>
      <c r="O43" s="51"/>
      <c r="P43" s="12">
        <f>DAYS360(G43,H43)</f>
        <v>220</v>
      </c>
      <c r="Q43" s="3">
        <f t="shared" si="2"/>
        <v>7.333333333333333</v>
      </c>
    </row>
    <row r="44" spans="1:18" ht="63" customHeight="1" x14ac:dyDescent="0.25">
      <c r="A44" s="65">
        <v>24</v>
      </c>
      <c r="B44" s="64" t="s">
        <v>69</v>
      </c>
      <c r="C44" s="28" t="s">
        <v>79</v>
      </c>
      <c r="D44" s="29" t="str">
        <f>+B44</f>
        <v>GERENTE EN ENCARGO</v>
      </c>
      <c r="E44" s="30" t="s">
        <v>34</v>
      </c>
      <c r="F44" s="14">
        <v>1</v>
      </c>
      <c r="G44" s="39">
        <v>36861</v>
      </c>
      <c r="H44" s="31">
        <v>36932</v>
      </c>
      <c r="I44" s="32">
        <f>70/360</f>
        <v>0.19444444444444445</v>
      </c>
      <c r="J44" s="32">
        <v>0</v>
      </c>
      <c r="K44" s="32">
        <f>I44</f>
        <v>0.19444444444444445</v>
      </c>
      <c r="L44" s="32">
        <v>0</v>
      </c>
      <c r="M44" s="412" t="s">
        <v>314</v>
      </c>
      <c r="N44" s="392" t="s">
        <v>356</v>
      </c>
      <c r="O44" s="51"/>
      <c r="P44" s="12">
        <f>DAYS360(G44,H44)</f>
        <v>69</v>
      </c>
      <c r="Q44" s="3">
        <f t="shared" si="2"/>
        <v>2.2999999999999998</v>
      </c>
    </row>
    <row r="45" spans="1:18" ht="63" customHeight="1" x14ac:dyDescent="0.25">
      <c r="A45" s="65">
        <v>25</v>
      </c>
      <c r="B45" s="64" t="s">
        <v>70</v>
      </c>
      <c r="C45" s="28" t="s">
        <v>79</v>
      </c>
      <c r="D45" s="29" t="str">
        <f>+B45</f>
        <v>JEFE DE PRODUCION</v>
      </c>
      <c r="E45" s="30" t="s">
        <v>34</v>
      </c>
      <c r="F45" s="14">
        <v>1</v>
      </c>
      <c r="G45" s="39">
        <v>36617</v>
      </c>
      <c r="H45" s="31">
        <v>36860</v>
      </c>
      <c r="I45" s="32">
        <f>240/360</f>
        <v>0.66666666666666663</v>
      </c>
      <c r="J45" s="32">
        <v>0</v>
      </c>
      <c r="K45" s="32">
        <f>I45</f>
        <v>0.66666666666666663</v>
      </c>
      <c r="L45" s="32">
        <v>0</v>
      </c>
      <c r="M45" s="412" t="s">
        <v>314</v>
      </c>
      <c r="N45" s="392" t="s">
        <v>357</v>
      </c>
      <c r="O45" s="51"/>
      <c r="P45" s="12">
        <f>DAYS360(G45,H45)</f>
        <v>239</v>
      </c>
      <c r="Q45" s="3">
        <f t="shared" si="2"/>
        <v>7.9666666666666668</v>
      </c>
    </row>
    <row r="46" spans="1:18" ht="63.6" customHeight="1" thickBot="1" x14ac:dyDescent="0.3">
      <c r="A46" s="66">
        <v>26</v>
      </c>
      <c r="B46" s="330" t="s">
        <v>56</v>
      </c>
      <c r="C46" s="331" t="s">
        <v>53</v>
      </c>
      <c r="D46" s="332" t="s">
        <v>71</v>
      </c>
      <c r="E46" s="35" t="s">
        <v>34</v>
      </c>
      <c r="F46" s="21">
        <v>1</v>
      </c>
      <c r="G46" s="36">
        <v>35808</v>
      </c>
      <c r="H46" s="341">
        <v>36613</v>
      </c>
      <c r="I46" s="342">
        <f>795/360</f>
        <v>2.2083333333333335</v>
      </c>
      <c r="J46" s="342">
        <v>0</v>
      </c>
      <c r="K46" s="342">
        <f>I46</f>
        <v>2.2083333333333335</v>
      </c>
      <c r="L46" s="37">
        <v>0</v>
      </c>
      <c r="M46" s="37" t="s">
        <v>314</v>
      </c>
      <c r="N46" s="392" t="s">
        <v>357</v>
      </c>
      <c r="O46" s="51"/>
      <c r="P46" s="12">
        <f t="shared" si="4"/>
        <v>795</v>
      </c>
      <c r="Q46" s="3">
        <f t="shared" si="2"/>
        <v>26.5</v>
      </c>
    </row>
    <row r="47" spans="1:18" ht="28.5" customHeight="1" thickBot="1" x14ac:dyDescent="0.3">
      <c r="A47" s="335"/>
      <c r="B47" s="336"/>
      <c r="C47" s="336"/>
      <c r="D47" s="337"/>
      <c r="E47" s="338"/>
      <c r="F47" s="339"/>
      <c r="G47" s="431" t="s">
        <v>315</v>
      </c>
      <c r="H47" s="432"/>
      <c r="I47" s="433"/>
      <c r="J47" s="343">
        <f>SUM(J21:J46)</f>
        <v>12.049999999999999</v>
      </c>
      <c r="K47" s="413">
        <f>SUM(K43:K46)</f>
        <v>3.6805555555555558</v>
      </c>
      <c r="L47" s="340"/>
      <c r="N47" s="400" t="s">
        <v>308</v>
      </c>
      <c r="O47" s="51"/>
      <c r="P47" s="12"/>
    </row>
    <row r="48" spans="1:18" ht="20.25" customHeight="1" thickBot="1" x14ac:dyDescent="0.3">
      <c r="A48" s="16"/>
      <c r="B48" s="51" t="s">
        <v>319</v>
      </c>
      <c r="C48" s="51"/>
      <c r="D48" s="55"/>
      <c r="E48" s="55"/>
      <c r="F48" s="55"/>
      <c r="G48" s="55"/>
      <c r="H48" s="429" t="s">
        <v>316</v>
      </c>
      <c r="I48" s="429"/>
      <c r="J48" s="430"/>
      <c r="K48" s="397"/>
      <c r="L48" s="344">
        <f>SUM(L21:L46)</f>
        <v>5.8999999999999995</v>
      </c>
      <c r="M48" s="413">
        <f>SUM(M31:M36)</f>
        <v>3.2694444444444448</v>
      </c>
      <c r="N48" s="391" t="s">
        <v>308</v>
      </c>
    </row>
    <row r="49" spans="1:15" ht="53.25" customHeight="1" thickBot="1" x14ac:dyDescent="0.3">
      <c r="A49" s="16"/>
      <c r="B49" s="51"/>
      <c r="C49" s="51"/>
      <c r="D49" s="55"/>
      <c r="E49" s="55"/>
      <c r="F49" s="55"/>
      <c r="G49" s="55"/>
      <c r="H49" s="434" t="s">
        <v>348</v>
      </c>
      <c r="I49" s="435"/>
      <c r="J49" s="435"/>
      <c r="K49" s="435"/>
      <c r="L49" s="436"/>
      <c r="M49" s="414"/>
      <c r="N49" s="391" t="s">
        <v>308</v>
      </c>
    </row>
    <row r="50" spans="1:15" ht="16.5" customHeight="1" x14ac:dyDescent="0.25">
      <c r="A50" s="16"/>
      <c r="B50" s="456" t="s">
        <v>346</v>
      </c>
      <c r="C50" s="456"/>
      <c r="D50" s="456"/>
      <c r="E50" s="456"/>
      <c r="F50" s="456"/>
      <c r="G50" s="456"/>
      <c r="H50" s="456"/>
      <c r="I50" s="456"/>
      <c r="J50" s="456"/>
      <c r="K50" s="456"/>
      <c r="L50" s="456"/>
      <c r="M50" s="393"/>
      <c r="N50" s="74"/>
    </row>
    <row r="51" spans="1:15" ht="39.75" customHeight="1" x14ac:dyDescent="0.25">
      <c r="A51" s="16"/>
      <c r="B51" s="428" t="s">
        <v>347</v>
      </c>
      <c r="C51" s="428"/>
      <c r="D51" s="428"/>
      <c r="E51" s="428"/>
      <c r="F51" s="428"/>
      <c r="G51" s="428"/>
      <c r="H51" s="428"/>
      <c r="I51" s="428"/>
      <c r="J51" s="428"/>
      <c r="K51" s="396"/>
      <c r="L51" s="322"/>
      <c r="M51" s="322"/>
      <c r="N51" s="62"/>
    </row>
    <row r="52" spans="1:15" ht="36" customHeight="1" x14ac:dyDescent="0.25">
      <c r="A52" s="16"/>
      <c r="B52" s="437" t="s">
        <v>323</v>
      </c>
      <c r="C52" s="437"/>
      <c r="D52" s="437"/>
      <c r="E52" s="437"/>
      <c r="F52" s="437"/>
      <c r="G52" s="437"/>
      <c r="H52" s="437"/>
      <c r="I52" s="437"/>
      <c r="J52" s="437"/>
      <c r="K52" s="437"/>
      <c r="L52" s="437"/>
      <c r="M52" s="398"/>
      <c r="N52" s="25"/>
    </row>
    <row r="53" spans="1:15" ht="19.5" customHeight="1" x14ac:dyDescent="0.25">
      <c r="A53" s="16"/>
      <c r="B53" s="51"/>
      <c r="C53" s="51"/>
      <c r="D53" s="51"/>
      <c r="E53" s="51"/>
      <c r="F53" s="51"/>
      <c r="G53" s="51"/>
      <c r="H53" s="51"/>
      <c r="I53" s="51"/>
      <c r="J53" s="51"/>
      <c r="K53" s="51"/>
      <c r="L53" s="54"/>
      <c r="M53" s="54"/>
      <c r="N53" s="25"/>
    </row>
    <row r="54" spans="1:15" ht="21" customHeight="1" x14ac:dyDescent="0.25">
      <c r="A54" s="16"/>
      <c r="B54" s="55" t="s">
        <v>317</v>
      </c>
      <c r="C54" s="51"/>
      <c r="D54" s="51"/>
      <c r="E54" s="51"/>
      <c r="F54" s="51"/>
      <c r="G54" s="51"/>
      <c r="H54" s="51"/>
      <c r="I54" s="51"/>
      <c r="J54" s="51"/>
      <c r="K54" s="51"/>
      <c r="L54" s="54"/>
      <c r="M54" s="54"/>
      <c r="N54" s="25"/>
      <c r="O54" s="15">
        <f>I33+I29</f>
        <v>1.6861111111111111</v>
      </c>
    </row>
    <row r="55" spans="1:15" ht="13.5" thickBot="1" x14ac:dyDescent="0.3">
      <c r="A55" s="16"/>
      <c r="B55" s="53" t="s">
        <v>318</v>
      </c>
      <c r="C55" s="51"/>
      <c r="D55" s="51"/>
      <c r="E55" s="51"/>
      <c r="F55" s="51"/>
      <c r="G55" s="51"/>
      <c r="H55" s="51"/>
      <c r="I55" s="51"/>
      <c r="J55" s="51"/>
      <c r="K55" s="51"/>
      <c r="L55" s="54"/>
      <c r="M55" s="54"/>
      <c r="N55" s="26"/>
    </row>
    <row r="56" spans="1:15" ht="4.5" customHeight="1" thickBot="1" x14ac:dyDescent="0.3">
      <c r="A56" s="17"/>
      <c r="B56" s="2"/>
      <c r="C56" s="2"/>
      <c r="D56" s="2"/>
      <c r="E56" s="2"/>
      <c r="F56" s="2"/>
      <c r="G56" s="2"/>
      <c r="H56" s="2"/>
      <c r="I56" s="2"/>
      <c r="J56" s="2"/>
      <c r="K56" s="2"/>
      <c r="L56" s="26"/>
      <c r="M56" s="54"/>
      <c r="N56" s="54"/>
    </row>
    <row r="57" spans="1:15" ht="6.75" customHeight="1" x14ac:dyDescent="0.25"/>
  </sheetData>
  <mergeCells count="27">
    <mergeCell ref="B2:G2"/>
    <mergeCell ref="B3:N3"/>
    <mergeCell ref="C7:N7"/>
    <mergeCell ref="A19:A20"/>
    <mergeCell ref="B50:L50"/>
    <mergeCell ref="L19:L20"/>
    <mergeCell ref="F11:G11"/>
    <mergeCell ref="H11:J11"/>
    <mergeCell ref="K19:K20"/>
    <mergeCell ref="M19:M20"/>
    <mergeCell ref="P19:P20"/>
    <mergeCell ref="Q19:Q20"/>
    <mergeCell ref="B19:B20"/>
    <mergeCell ref="C19:C20"/>
    <mergeCell ref="D19:D20"/>
    <mergeCell ref="E19:E20"/>
    <mergeCell ref="F19:F20"/>
    <mergeCell ref="O19:O20"/>
    <mergeCell ref="N19:N20"/>
    <mergeCell ref="G19:H19"/>
    <mergeCell ref="I19:I20"/>
    <mergeCell ref="J19:J20"/>
    <mergeCell ref="B51:J51"/>
    <mergeCell ref="H48:J48"/>
    <mergeCell ref="G47:I47"/>
    <mergeCell ref="H49:L49"/>
    <mergeCell ref="B52:L52"/>
  </mergeCells>
  <printOptions horizontalCentered="1"/>
  <pageMargins left="0" right="0" top="1.0629921259842521" bottom="0" header="0.35433070866141736" footer="0"/>
  <pageSetup scale="35" orientation="portrait" r:id="rId1"/>
  <rowBreaks count="1" manualBreakCount="1">
    <brk id="29"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6"/>
  <sheetViews>
    <sheetView view="pageBreakPreview" topLeftCell="B1" zoomScale="90" zoomScaleNormal="100" zoomScaleSheetLayoutView="90" workbookViewId="0">
      <selection activeCell="E8" sqref="E8:F8"/>
    </sheetView>
  </sheetViews>
  <sheetFormatPr baseColWidth="10" defaultColWidth="11.5703125" defaultRowHeight="12.75" x14ac:dyDescent="0.2"/>
  <cols>
    <col min="1" max="1" width="1.85546875" style="23" customWidth="1"/>
    <col min="2" max="2" width="19.42578125" style="23" customWidth="1"/>
    <col min="3" max="3" width="0.28515625" style="23" customWidth="1"/>
    <col min="4" max="4" width="16.85546875" style="23" customWidth="1"/>
    <col min="5" max="5" width="43" style="23" customWidth="1"/>
    <col min="6" max="6" width="14.7109375" style="23" customWidth="1"/>
    <col min="7" max="7" width="13.28515625" style="23" customWidth="1"/>
    <col min="8" max="8" width="12.7109375" style="78" customWidth="1"/>
    <col min="9" max="9" width="15.85546875" style="78" customWidth="1"/>
    <col min="10" max="10" width="12.7109375" style="23" customWidth="1"/>
    <col min="11" max="11" width="17.85546875" style="23" customWidth="1"/>
    <col min="12" max="12" width="18.42578125" style="23" customWidth="1"/>
    <col min="13" max="13" width="27.42578125" style="23" customWidth="1"/>
    <col min="14" max="14" width="4.7109375" style="78" customWidth="1"/>
    <col min="15" max="15" width="2.28515625" style="78" customWidth="1"/>
    <col min="16" max="16" width="2.42578125" style="78" customWidth="1"/>
    <col min="17" max="17" width="8.7109375" style="23" customWidth="1"/>
    <col min="18" max="19" width="11.5703125" style="23"/>
    <col min="20" max="20" width="22.5703125" style="23" customWidth="1"/>
    <col min="21" max="256" width="11.5703125" style="23"/>
    <col min="257" max="257" width="0.7109375" style="23" customWidth="1"/>
    <col min="258" max="258" width="15.140625" style="23" customWidth="1"/>
    <col min="259" max="259" width="16.140625" style="23" customWidth="1"/>
    <col min="260" max="260" width="16.85546875" style="23" customWidth="1"/>
    <col min="261" max="261" width="43" style="23" customWidth="1"/>
    <col min="262" max="262" width="11.42578125" style="23" customWidth="1"/>
    <col min="263" max="263" width="13.28515625" style="23" customWidth="1"/>
    <col min="264" max="264" width="12.7109375" style="23" customWidth="1"/>
    <col min="265" max="265" width="15.85546875" style="23" customWidth="1"/>
    <col min="266" max="266" width="12.7109375" style="23" customWidth="1"/>
    <col min="267" max="267" width="14.7109375" style="23" customWidth="1"/>
    <col min="268" max="268" width="18.42578125" style="23" customWidth="1"/>
    <col min="269" max="269" width="1.140625" style="23" customWidth="1"/>
    <col min="270" max="273" width="0" style="23" hidden="1" customWidth="1"/>
    <col min="274" max="275" width="11.5703125" style="23"/>
    <col min="276" max="276" width="22.5703125" style="23" customWidth="1"/>
    <col min="277" max="512" width="11.5703125" style="23"/>
    <col min="513" max="513" width="0.7109375" style="23" customWidth="1"/>
    <col min="514" max="514" width="15.140625" style="23" customWidth="1"/>
    <col min="515" max="515" width="16.140625" style="23" customWidth="1"/>
    <col min="516" max="516" width="16.85546875" style="23" customWidth="1"/>
    <col min="517" max="517" width="43" style="23" customWidth="1"/>
    <col min="518" max="518" width="11.42578125" style="23" customWidth="1"/>
    <col min="519" max="519" width="13.28515625" style="23" customWidth="1"/>
    <col min="520" max="520" width="12.7109375" style="23" customWidth="1"/>
    <col min="521" max="521" width="15.85546875" style="23" customWidth="1"/>
    <col min="522" max="522" width="12.7109375" style="23" customWidth="1"/>
    <col min="523" max="523" width="14.7109375" style="23" customWidth="1"/>
    <col min="524" max="524" width="18.42578125" style="23" customWidth="1"/>
    <col min="525" max="525" width="1.140625" style="23" customWidth="1"/>
    <col min="526" max="529" width="0" style="23" hidden="1" customWidth="1"/>
    <col min="530" max="531" width="11.5703125" style="23"/>
    <col min="532" max="532" width="22.5703125" style="23" customWidth="1"/>
    <col min="533" max="768" width="11.5703125" style="23"/>
    <col min="769" max="769" width="0.7109375" style="23" customWidth="1"/>
    <col min="770" max="770" width="15.140625" style="23" customWidth="1"/>
    <col min="771" max="771" width="16.140625" style="23" customWidth="1"/>
    <col min="772" max="772" width="16.85546875" style="23" customWidth="1"/>
    <col min="773" max="773" width="43" style="23" customWidth="1"/>
    <col min="774" max="774" width="11.42578125" style="23" customWidth="1"/>
    <col min="775" max="775" width="13.28515625" style="23" customWidth="1"/>
    <col min="776" max="776" width="12.7109375" style="23" customWidth="1"/>
    <col min="777" max="777" width="15.85546875" style="23" customWidth="1"/>
    <col min="778" max="778" width="12.7109375" style="23" customWidth="1"/>
    <col min="779" max="779" width="14.7109375" style="23" customWidth="1"/>
    <col min="780" max="780" width="18.42578125" style="23" customWidth="1"/>
    <col min="781" max="781" width="1.140625" style="23" customWidth="1"/>
    <col min="782" max="785" width="0" style="23" hidden="1" customWidth="1"/>
    <col min="786" max="787" width="11.5703125" style="23"/>
    <col min="788" max="788" width="22.5703125" style="23" customWidth="1"/>
    <col min="789" max="1024" width="11.5703125" style="23"/>
    <col min="1025" max="1025" width="0.7109375" style="23" customWidth="1"/>
    <col min="1026" max="1026" width="15.140625" style="23" customWidth="1"/>
    <col min="1027" max="1027" width="16.140625" style="23" customWidth="1"/>
    <col min="1028" max="1028" width="16.85546875" style="23" customWidth="1"/>
    <col min="1029" max="1029" width="43" style="23" customWidth="1"/>
    <col min="1030" max="1030" width="11.42578125" style="23" customWidth="1"/>
    <col min="1031" max="1031" width="13.28515625" style="23" customWidth="1"/>
    <col min="1032" max="1032" width="12.7109375" style="23" customWidth="1"/>
    <col min="1033" max="1033" width="15.85546875" style="23" customWidth="1"/>
    <col min="1034" max="1034" width="12.7109375" style="23" customWidth="1"/>
    <col min="1035" max="1035" width="14.7109375" style="23" customWidth="1"/>
    <col min="1036" max="1036" width="18.42578125" style="23" customWidth="1"/>
    <col min="1037" max="1037" width="1.140625" style="23" customWidth="1"/>
    <col min="1038" max="1041" width="0" style="23" hidden="1" customWidth="1"/>
    <col min="1042" max="1043" width="11.5703125" style="23"/>
    <col min="1044" max="1044" width="22.5703125" style="23" customWidth="1"/>
    <col min="1045" max="1280" width="11.5703125" style="23"/>
    <col min="1281" max="1281" width="0.7109375" style="23" customWidth="1"/>
    <col min="1282" max="1282" width="15.140625" style="23" customWidth="1"/>
    <col min="1283" max="1283" width="16.140625" style="23" customWidth="1"/>
    <col min="1284" max="1284" width="16.85546875" style="23" customWidth="1"/>
    <col min="1285" max="1285" width="43" style="23" customWidth="1"/>
    <col min="1286" max="1286" width="11.42578125" style="23" customWidth="1"/>
    <col min="1287" max="1287" width="13.28515625" style="23" customWidth="1"/>
    <col min="1288" max="1288" width="12.7109375" style="23" customWidth="1"/>
    <col min="1289" max="1289" width="15.85546875" style="23" customWidth="1"/>
    <col min="1290" max="1290" width="12.7109375" style="23" customWidth="1"/>
    <col min="1291" max="1291" width="14.7109375" style="23" customWidth="1"/>
    <col min="1292" max="1292" width="18.42578125" style="23" customWidth="1"/>
    <col min="1293" max="1293" width="1.140625" style="23" customWidth="1"/>
    <col min="1294" max="1297" width="0" style="23" hidden="1" customWidth="1"/>
    <col min="1298" max="1299" width="11.5703125" style="23"/>
    <col min="1300" max="1300" width="22.5703125" style="23" customWidth="1"/>
    <col min="1301" max="1536" width="11.5703125" style="23"/>
    <col min="1537" max="1537" width="0.7109375" style="23" customWidth="1"/>
    <col min="1538" max="1538" width="15.140625" style="23" customWidth="1"/>
    <col min="1539" max="1539" width="16.140625" style="23" customWidth="1"/>
    <col min="1540" max="1540" width="16.85546875" style="23" customWidth="1"/>
    <col min="1541" max="1541" width="43" style="23" customWidth="1"/>
    <col min="1542" max="1542" width="11.42578125" style="23" customWidth="1"/>
    <col min="1543" max="1543" width="13.28515625" style="23" customWidth="1"/>
    <col min="1544" max="1544" width="12.7109375" style="23" customWidth="1"/>
    <col min="1545" max="1545" width="15.85546875" style="23" customWidth="1"/>
    <col min="1546" max="1546" width="12.7109375" style="23" customWidth="1"/>
    <col min="1547" max="1547" width="14.7109375" style="23" customWidth="1"/>
    <col min="1548" max="1548" width="18.42578125" style="23" customWidth="1"/>
    <col min="1549" max="1549" width="1.140625" style="23" customWidth="1"/>
    <col min="1550" max="1553" width="0" style="23" hidden="1" customWidth="1"/>
    <col min="1554" max="1555" width="11.5703125" style="23"/>
    <col min="1556" max="1556" width="22.5703125" style="23" customWidth="1"/>
    <col min="1557" max="1792" width="11.5703125" style="23"/>
    <col min="1793" max="1793" width="0.7109375" style="23" customWidth="1"/>
    <col min="1794" max="1794" width="15.140625" style="23" customWidth="1"/>
    <col min="1795" max="1795" width="16.140625" style="23" customWidth="1"/>
    <col min="1796" max="1796" width="16.85546875" style="23" customWidth="1"/>
    <col min="1797" max="1797" width="43" style="23" customWidth="1"/>
    <col min="1798" max="1798" width="11.42578125" style="23" customWidth="1"/>
    <col min="1799" max="1799" width="13.28515625" style="23" customWidth="1"/>
    <col min="1800" max="1800" width="12.7109375" style="23" customWidth="1"/>
    <col min="1801" max="1801" width="15.85546875" style="23" customWidth="1"/>
    <col min="1802" max="1802" width="12.7109375" style="23" customWidth="1"/>
    <col min="1803" max="1803" width="14.7109375" style="23" customWidth="1"/>
    <col min="1804" max="1804" width="18.42578125" style="23" customWidth="1"/>
    <col min="1805" max="1805" width="1.140625" style="23" customWidth="1"/>
    <col min="1806" max="1809" width="0" style="23" hidden="1" customWidth="1"/>
    <col min="1810" max="1811" width="11.5703125" style="23"/>
    <col min="1812" max="1812" width="22.5703125" style="23" customWidth="1"/>
    <col min="1813" max="2048" width="11.5703125" style="23"/>
    <col min="2049" max="2049" width="0.7109375" style="23" customWidth="1"/>
    <col min="2050" max="2050" width="15.140625" style="23" customWidth="1"/>
    <col min="2051" max="2051" width="16.140625" style="23" customWidth="1"/>
    <col min="2052" max="2052" width="16.85546875" style="23" customWidth="1"/>
    <col min="2053" max="2053" width="43" style="23" customWidth="1"/>
    <col min="2054" max="2054" width="11.42578125" style="23" customWidth="1"/>
    <col min="2055" max="2055" width="13.28515625" style="23" customWidth="1"/>
    <col min="2056" max="2056" width="12.7109375" style="23" customWidth="1"/>
    <col min="2057" max="2057" width="15.85546875" style="23" customWidth="1"/>
    <col min="2058" max="2058" width="12.7109375" style="23" customWidth="1"/>
    <col min="2059" max="2059" width="14.7109375" style="23" customWidth="1"/>
    <col min="2060" max="2060" width="18.42578125" style="23" customWidth="1"/>
    <col min="2061" max="2061" width="1.140625" style="23" customWidth="1"/>
    <col min="2062" max="2065" width="0" style="23" hidden="1" customWidth="1"/>
    <col min="2066" max="2067" width="11.5703125" style="23"/>
    <col min="2068" max="2068" width="22.5703125" style="23" customWidth="1"/>
    <col min="2069" max="2304" width="11.5703125" style="23"/>
    <col min="2305" max="2305" width="0.7109375" style="23" customWidth="1"/>
    <col min="2306" max="2306" width="15.140625" style="23" customWidth="1"/>
    <col min="2307" max="2307" width="16.140625" style="23" customWidth="1"/>
    <col min="2308" max="2308" width="16.85546875" style="23" customWidth="1"/>
    <col min="2309" max="2309" width="43" style="23" customWidth="1"/>
    <col min="2310" max="2310" width="11.42578125" style="23" customWidth="1"/>
    <col min="2311" max="2311" width="13.28515625" style="23" customWidth="1"/>
    <col min="2312" max="2312" width="12.7109375" style="23" customWidth="1"/>
    <col min="2313" max="2313" width="15.85546875" style="23" customWidth="1"/>
    <col min="2314" max="2314" width="12.7109375" style="23" customWidth="1"/>
    <col min="2315" max="2315" width="14.7109375" style="23" customWidth="1"/>
    <col min="2316" max="2316" width="18.42578125" style="23" customWidth="1"/>
    <col min="2317" max="2317" width="1.140625" style="23" customWidth="1"/>
    <col min="2318" max="2321" width="0" style="23" hidden="1" customWidth="1"/>
    <col min="2322" max="2323" width="11.5703125" style="23"/>
    <col min="2324" max="2324" width="22.5703125" style="23" customWidth="1"/>
    <col min="2325" max="2560" width="11.5703125" style="23"/>
    <col min="2561" max="2561" width="0.7109375" style="23" customWidth="1"/>
    <col min="2562" max="2562" width="15.140625" style="23" customWidth="1"/>
    <col min="2563" max="2563" width="16.140625" style="23" customWidth="1"/>
    <col min="2564" max="2564" width="16.85546875" style="23" customWidth="1"/>
    <col min="2565" max="2565" width="43" style="23" customWidth="1"/>
    <col min="2566" max="2566" width="11.42578125" style="23" customWidth="1"/>
    <col min="2567" max="2567" width="13.28515625" style="23" customWidth="1"/>
    <col min="2568" max="2568" width="12.7109375" style="23" customWidth="1"/>
    <col min="2569" max="2569" width="15.85546875" style="23" customWidth="1"/>
    <col min="2570" max="2570" width="12.7109375" style="23" customWidth="1"/>
    <col min="2571" max="2571" width="14.7109375" style="23" customWidth="1"/>
    <col min="2572" max="2572" width="18.42578125" style="23" customWidth="1"/>
    <col min="2573" max="2573" width="1.140625" style="23" customWidth="1"/>
    <col min="2574" max="2577" width="0" style="23" hidden="1" customWidth="1"/>
    <col min="2578" max="2579" width="11.5703125" style="23"/>
    <col min="2580" max="2580" width="22.5703125" style="23" customWidth="1"/>
    <col min="2581" max="2816" width="11.5703125" style="23"/>
    <col min="2817" max="2817" width="0.7109375" style="23" customWidth="1"/>
    <col min="2818" max="2818" width="15.140625" style="23" customWidth="1"/>
    <col min="2819" max="2819" width="16.140625" style="23" customWidth="1"/>
    <col min="2820" max="2820" width="16.85546875" style="23" customWidth="1"/>
    <col min="2821" max="2821" width="43" style="23" customWidth="1"/>
    <col min="2822" max="2822" width="11.42578125" style="23" customWidth="1"/>
    <col min="2823" max="2823" width="13.28515625" style="23" customWidth="1"/>
    <col min="2824" max="2824" width="12.7109375" style="23" customWidth="1"/>
    <col min="2825" max="2825" width="15.85546875" style="23" customWidth="1"/>
    <col min="2826" max="2826" width="12.7109375" style="23" customWidth="1"/>
    <col min="2827" max="2827" width="14.7109375" style="23" customWidth="1"/>
    <col min="2828" max="2828" width="18.42578125" style="23" customWidth="1"/>
    <col min="2829" max="2829" width="1.140625" style="23" customWidth="1"/>
    <col min="2830" max="2833" width="0" style="23" hidden="1" customWidth="1"/>
    <col min="2834" max="2835" width="11.5703125" style="23"/>
    <col min="2836" max="2836" width="22.5703125" style="23" customWidth="1"/>
    <col min="2837" max="3072" width="11.5703125" style="23"/>
    <col min="3073" max="3073" width="0.7109375" style="23" customWidth="1"/>
    <col min="3074" max="3074" width="15.140625" style="23" customWidth="1"/>
    <col min="3075" max="3075" width="16.140625" style="23" customWidth="1"/>
    <col min="3076" max="3076" width="16.85546875" style="23" customWidth="1"/>
    <col min="3077" max="3077" width="43" style="23" customWidth="1"/>
    <col min="3078" max="3078" width="11.42578125" style="23" customWidth="1"/>
    <col min="3079" max="3079" width="13.28515625" style="23" customWidth="1"/>
    <col min="3080" max="3080" width="12.7109375" style="23" customWidth="1"/>
    <col min="3081" max="3081" width="15.85546875" style="23" customWidth="1"/>
    <col min="3082" max="3082" width="12.7109375" style="23" customWidth="1"/>
    <col min="3083" max="3083" width="14.7109375" style="23" customWidth="1"/>
    <col min="3084" max="3084" width="18.42578125" style="23" customWidth="1"/>
    <col min="3085" max="3085" width="1.140625" style="23" customWidth="1"/>
    <col min="3086" max="3089" width="0" style="23" hidden="1" customWidth="1"/>
    <col min="3090" max="3091" width="11.5703125" style="23"/>
    <col min="3092" max="3092" width="22.5703125" style="23" customWidth="1"/>
    <col min="3093" max="3328" width="11.5703125" style="23"/>
    <col min="3329" max="3329" width="0.7109375" style="23" customWidth="1"/>
    <col min="3330" max="3330" width="15.140625" style="23" customWidth="1"/>
    <col min="3331" max="3331" width="16.140625" style="23" customWidth="1"/>
    <col min="3332" max="3332" width="16.85546875" style="23" customWidth="1"/>
    <col min="3333" max="3333" width="43" style="23" customWidth="1"/>
    <col min="3334" max="3334" width="11.42578125" style="23" customWidth="1"/>
    <col min="3335" max="3335" width="13.28515625" style="23" customWidth="1"/>
    <col min="3336" max="3336" width="12.7109375" style="23" customWidth="1"/>
    <col min="3337" max="3337" width="15.85546875" style="23" customWidth="1"/>
    <col min="3338" max="3338" width="12.7109375" style="23" customWidth="1"/>
    <col min="3339" max="3339" width="14.7109375" style="23" customWidth="1"/>
    <col min="3340" max="3340" width="18.42578125" style="23" customWidth="1"/>
    <col min="3341" max="3341" width="1.140625" style="23" customWidth="1"/>
    <col min="3342" max="3345" width="0" style="23" hidden="1" customWidth="1"/>
    <col min="3346" max="3347" width="11.5703125" style="23"/>
    <col min="3348" max="3348" width="22.5703125" style="23" customWidth="1"/>
    <col min="3349" max="3584" width="11.5703125" style="23"/>
    <col min="3585" max="3585" width="0.7109375" style="23" customWidth="1"/>
    <col min="3586" max="3586" width="15.140625" style="23" customWidth="1"/>
    <col min="3587" max="3587" width="16.140625" style="23" customWidth="1"/>
    <col min="3588" max="3588" width="16.85546875" style="23" customWidth="1"/>
    <col min="3589" max="3589" width="43" style="23" customWidth="1"/>
    <col min="3590" max="3590" width="11.42578125" style="23" customWidth="1"/>
    <col min="3591" max="3591" width="13.28515625" style="23" customWidth="1"/>
    <col min="3592" max="3592" width="12.7109375" style="23" customWidth="1"/>
    <col min="3593" max="3593" width="15.85546875" style="23" customWidth="1"/>
    <col min="3594" max="3594" width="12.7109375" style="23" customWidth="1"/>
    <col min="3595" max="3595" width="14.7109375" style="23" customWidth="1"/>
    <col min="3596" max="3596" width="18.42578125" style="23" customWidth="1"/>
    <col min="3597" max="3597" width="1.140625" style="23" customWidth="1"/>
    <col min="3598" max="3601" width="0" style="23" hidden="1" customWidth="1"/>
    <col min="3602" max="3603" width="11.5703125" style="23"/>
    <col min="3604" max="3604" width="22.5703125" style="23" customWidth="1"/>
    <col min="3605" max="3840" width="11.5703125" style="23"/>
    <col min="3841" max="3841" width="0.7109375" style="23" customWidth="1"/>
    <col min="3842" max="3842" width="15.140625" style="23" customWidth="1"/>
    <col min="3843" max="3843" width="16.140625" style="23" customWidth="1"/>
    <col min="3844" max="3844" width="16.85546875" style="23" customWidth="1"/>
    <col min="3845" max="3845" width="43" style="23" customWidth="1"/>
    <col min="3846" max="3846" width="11.42578125" style="23" customWidth="1"/>
    <col min="3847" max="3847" width="13.28515625" style="23" customWidth="1"/>
    <col min="3848" max="3848" width="12.7109375" style="23" customWidth="1"/>
    <col min="3849" max="3849" width="15.85546875" style="23" customWidth="1"/>
    <col min="3850" max="3850" width="12.7109375" style="23" customWidth="1"/>
    <col min="3851" max="3851" width="14.7109375" style="23" customWidth="1"/>
    <col min="3852" max="3852" width="18.42578125" style="23" customWidth="1"/>
    <col min="3853" max="3853" width="1.140625" style="23" customWidth="1"/>
    <col min="3854" max="3857" width="0" style="23" hidden="1" customWidth="1"/>
    <col min="3858" max="3859" width="11.5703125" style="23"/>
    <col min="3860" max="3860" width="22.5703125" style="23" customWidth="1"/>
    <col min="3861" max="4096" width="11.5703125" style="23"/>
    <col min="4097" max="4097" width="0.7109375" style="23" customWidth="1"/>
    <col min="4098" max="4098" width="15.140625" style="23" customWidth="1"/>
    <col min="4099" max="4099" width="16.140625" style="23" customWidth="1"/>
    <col min="4100" max="4100" width="16.85546875" style="23" customWidth="1"/>
    <col min="4101" max="4101" width="43" style="23" customWidth="1"/>
    <col min="4102" max="4102" width="11.42578125" style="23" customWidth="1"/>
    <col min="4103" max="4103" width="13.28515625" style="23" customWidth="1"/>
    <col min="4104" max="4104" width="12.7109375" style="23" customWidth="1"/>
    <col min="4105" max="4105" width="15.85546875" style="23" customWidth="1"/>
    <col min="4106" max="4106" width="12.7109375" style="23" customWidth="1"/>
    <col min="4107" max="4107" width="14.7109375" style="23" customWidth="1"/>
    <col min="4108" max="4108" width="18.42578125" style="23" customWidth="1"/>
    <col min="4109" max="4109" width="1.140625" style="23" customWidth="1"/>
    <col min="4110" max="4113" width="0" style="23" hidden="1" customWidth="1"/>
    <col min="4114" max="4115" width="11.5703125" style="23"/>
    <col min="4116" max="4116" width="22.5703125" style="23" customWidth="1"/>
    <col min="4117" max="4352" width="11.5703125" style="23"/>
    <col min="4353" max="4353" width="0.7109375" style="23" customWidth="1"/>
    <col min="4354" max="4354" width="15.140625" style="23" customWidth="1"/>
    <col min="4355" max="4355" width="16.140625" style="23" customWidth="1"/>
    <col min="4356" max="4356" width="16.85546875" style="23" customWidth="1"/>
    <col min="4357" max="4357" width="43" style="23" customWidth="1"/>
    <col min="4358" max="4358" width="11.42578125" style="23" customWidth="1"/>
    <col min="4359" max="4359" width="13.28515625" style="23" customWidth="1"/>
    <col min="4360" max="4360" width="12.7109375" style="23" customWidth="1"/>
    <col min="4361" max="4361" width="15.85546875" style="23" customWidth="1"/>
    <col min="4362" max="4362" width="12.7109375" style="23" customWidth="1"/>
    <col min="4363" max="4363" width="14.7109375" style="23" customWidth="1"/>
    <col min="4364" max="4364" width="18.42578125" style="23" customWidth="1"/>
    <col min="4365" max="4365" width="1.140625" style="23" customWidth="1"/>
    <col min="4366" max="4369" width="0" style="23" hidden="1" customWidth="1"/>
    <col min="4370" max="4371" width="11.5703125" style="23"/>
    <col min="4372" max="4372" width="22.5703125" style="23" customWidth="1"/>
    <col min="4373" max="4608" width="11.5703125" style="23"/>
    <col min="4609" max="4609" width="0.7109375" style="23" customWidth="1"/>
    <col min="4610" max="4610" width="15.140625" style="23" customWidth="1"/>
    <col min="4611" max="4611" width="16.140625" style="23" customWidth="1"/>
    <col min="4612" max="4612" width="16.85546875" style="23" customWidth="1"/>
    <col min="4613" max="4613" width="43" style="23" customWidth="1"/>
    <col min="4614" max="4614" width="11.42578125" style="23" customWidth="1"/>
    <col min="4615" max="4615" width="13.28515625" style="23" customWidth="1"/>
    <col min="4616" max="4616" width="12.7109375" style="23" customWidth="1"/>
    <col min="4617" max="4617" width="15.85546875" style="23" customWidth="1"/>
    <col min="4618" max="4618" width="12.7109375" style="23" customWidth="1"/>
    <col min="4619" max="4619" width="14.7109375" style="23" customWidth="1"/>
    <col min="4620" max="4620" width="18.42578125" style="23" customWidth="1"/>
    <col min="4621" max="4621" width="1.140625" style="23" customWidth="1"/>
    <col min="4622" max="4625" width="0" style="23" hidden="1" customWidth="1"/>
    <col min="4626" max="4627" width="11.5703125" style="23"/>
    <col min="4628" max="4628" width="22.5703125" style="23" customWidth="1"/>
    <col min="4629" max="4864" width="11.5703125" style="23"/>
    <col min="4865" max="4865" width="0.7109375" style="23" customWidth="1"/>
    <col min="4866" max="4866" width="15.140625" style="23" customWidth="1"/>
    <col min="4867" max="4867" width="16.140625" style="23" customWidth="1"/>
    <col min="4868" max="4868" width="16.85546875" style="23" customWidth="1"/>
    <col min="4869" max="4869" width="43" style="23" customWidth="1"/>
    <col min="4870" max="4870" width="11.42578125" style="23" customWidth="1"/>
    <col min="4871" max="4871" width="13.28515625" style="23" customWidth="1"/>
    <col min="4872" max="4872" width="12.7109375" style="23" customWidth="1"/>
    <col min="4873" max="4873" width="15.85546875" style="23" customWidth="1"/>
    <col min="4874" max="4874" width="12.7109375" style="23" customWidth="1"/>
    <col min="4875" max="4875" width="14.7109375" style="23" customWidth="1"/>
    <col min="4876" max="4876" width="18.42578125" style="23" customWidth="1"/>
    <col min="4877" max="4877" width="1.140625" style="23" customWidth="1"/>
    <col min="4878" max="4881" width="0" style="23" hidden="1" customWidth="1"/>
    <col min="4882" max="4883" width="11.5703125" style="23"/>
    <col min="4884" max="4884" width="22.5703125" style="23" customWidth="1"/>
    <col min="4885" max="5120" width="11.5703125" style="23"/>
    <col min="5121" max="5121" width="0.7109375" style="23" customWidth="1"/>
    <col min="5122" max="5122" width="15.140625" style="23" customWidth="1"/>
    <col min="5123" max="5123" width="16.140625" style="23" customWidth="1"/>
    <col min="5124" max="5124" width="16.85546875" style="23" customWidth="1"/>
    <col min="5125" max="5125" width="43" style="23" customWidth="1"/>
    <col min="5126" max="5126" width="11.42578125" style="23" customWidth="1"/>
    <col min="5127" max="5127" width="13.28515625" style="23" customWidth="1"/>
    <col min="5128" max="5128" width="12.7109375" style="23" customWidth="1"/>
    <col min="5129" max="5129" width="15.85546875" style="23" customWidth="1"/>
    <col min="5130" max="5130" width="12.7109375" style="23" customWidth="1"/>
    <col min="5131" max="5131" width="14.7109375" style="23" customWidth="1"/>
    <col min="5132" max="5132" width="18.42578125" style="23" customWidth="1"/>
    <col min="5133" max="5133" width="1.140625" style="23" customWidth="1"/>
    <col min="5134" max="5137" width="0" style="23" hidden="1" customWidth="1"/>
    <col min="5138" max="5139" width="11.5703125" style="23"/>
    <col min="5140" max="5140" width="22.5703125" style="23" customWidth="1"/>
    <col min="5141" max="5376" width="11.5703125" style="23"/>
    <col min="5377" max="5377" width="0.7109375" style="23" customWidth="1"/>
    <col min="5378" max="5378" width="15.140625" style="23" customWidth="1"/>
    <col min="5379" max="5379" width="16.140625" style="23" customWidth="1"/>
    <col min="5380" max="5380" width="16.85546875" style="23" customWidth="1"/>
    <col min="5381" max="5381" width="43" style="23" customWidth="1"/>
    <col min="5382" max="5382" width="11.42578125" style="23" customWidth="1"/>
    <col min="5383" max="5383" width="13.28515625" style="23" customWidth="1"/>
    <col min="5384" max="5384" width="12.7109375" style="23" customWidth="1"/>
    <col min="5385" max="5385" width="15.85546875" style="23" customWidth="1"/>
    <col min="5386" max="5386" width="12.7109375" style="23" customWidth="1"/>
    <col min="5387" max="5387" width="14.7109375" style="23" customWidth="1"/>
    <col min="5388" max="5388" width="18.42578125" style="23" customWidth="1"/>
    <col min="5389" max="5389" width="1.140625" style="23" customWidth="1"/>
    <col min="5390" max="5393" width="0" style="23" hidden="1" customWidth="1"/>
    <col min="5394" max="5395" width="11.5703125" style="23"/>
    <col min="5396" max="5396" width="22.5703125" style="23" customWidth="1"/>
    <col min="5397" max="5632" width="11.5703125" style="23"/>
    <col min="5633" max="5633" width="0.7109375" style="23" customWidth="1"/>
    <col min="5634" max="5634" width="15.140625" style="23" customWidth="1"/>
    <col min="5635" max="5635" width="16.140625" style="23" customWidth="1"/>
    <col min="5636" max="5636" width="16.85546875" style="23" customWidth="1"/>
    <col min="5637" max="5637" width="43" style="23" customWidth="1"/>
    <col min="5638" max="5638" width="11.42578125" style="23" customWidth="1"/>
    <col min="5639" max="5639" width="13.28515625" style="23" customWidth="1"/>
    <col min="5640" max="5640" width="12.7109375" style="23" customWidth="1"/>
    <col min="5641" max="5641" width="15.85546875" style="23" customWidth="1"/>
    <col min="5642" max="5642" width="12.7109375" style="23" customWidth="1"/>
    <col min="5643" max="5643" width="14.7109375" style="23" customWidth="1"/>
    <col min="5644" max="5644" width="18.42578125" style="23" customWidth="1"/>
    <col min="5645" max="5645" width="1.140625" style="23" customWidth="1"/>
    <col min="5646" max="5649" width="0" style="23" hidden="1" customWidth="1"/>
    <col min="5650" max="5651" width="11.5703125" style="23"/>
    <col min="5652" max="5652" width="22.5703125" style="23" customWidth="1"/>
    <col min="5653" max="5888" width="11.5703125" style="23"/>
    <col min="5889" max="5889" width="0.7109375" style="23" customWidth="1"/>
    <col min="5890" max="5890" width="15.140625" style="23" customWidth="1"/>
    <col min="5891" max="5891" width="16.140625" style="23" customWidth="1"/>
    <col min="5892" max="5892" width="16.85546875" style="23" customWidth="1"/>
    <col min="5893" max="5893" width="43" style="23" customWidth="1"/>
    <col min="5894" max="5894" width="11.42578125" style="23" customWidth="1"/>
    <col min="5895" max="5895" width="13.28515625" style="23" customWidth="1"/>
    <col min="5896" max="5896" width="12.7109375" style="23" customWidth="1"/>
    <col min="5897" max="5897" width="15.85546875" style="23" customWidth="1"/>
    <col min="5898" max="5898" width="12.7109375" style="23" customWidth="1"/>
    <col min="5899" max="5899" width="14.7109375" style="23" customWidth="1"/>
    <col min="5900" max="5900" width="18.42578125" style="23" customWidth="1"/>
    <col min="5901" max="5901" width="1.140625" style="23" customWidth="1"/>
    <col min="5902" max="5905" width="0" style="23" hidden="1" customWidth="1"/>
    <col min="5906" max="5907" width="11.5703125" style="23"/>
    <col min="5908" max="5908" width="22.5703125" style="23" customWidth="1"/>
    <col min="5909" max="6144" width="11.5703125" style="23"/>
    <col min="6145" max="6145" width="0.7109375" style="23" customWidth="1"/>
    <col min="6146" max="6146" width="15.140625" style="23" customWidth="1"/>
    <col min="6147" max="6147" width="16.140625" style="23" customWidth="1"/>
    <col min="6148" max="6148" width="16.85546875" style="23" customWidth="1"/>
    <col min="6149" max="6149" width="43" style="23" customWidth="1"/>
    <col min="6150" max="6150" width="11.42578125" style="23" customWidth="1"/>
    <col min="6151" max="6151" width="13.28515625" style="23" customWidth="1"/>
    <col min="6152" max="6152" width="12.7109375" style="23" customWidth="1"/>
    <col min="6153" max="6153" width="15.85546875" style="23" customWidth="1"/>
    <col min="6154" max="6154" width="12.7109375" style="23" customWidth="1"/>
    <col min="6155" max="6155" width="14.7109375" style="23" customWidth="1"/>
    <col min="6156" max="6156" width="18.42578125" style="23" customWidth="1"/>
    <col min="6157" max="6157" width="1.140625" style="23" customWidth="1"/>
    <col min="6158" max="6161" width="0" style="23" hidden="1" customWidth="1"/>
    <col min="6162" max="6163" width="11.5703125" style="23"/>
    <col min="6164" max="6164" width="22.5703125" style="23" customWidth="1"/>
    <col min="6165" max="6400" width="11.5703125" style="23"/>
    <col min="6401" max="6401" width="0.7109375" style="23" customWidth="1"/>
    <col min="6402" max="6402" width="15.140625" style="23" customWidth="1"/>
    <col min="6403" max="6403" width="16.140625" style="23" customWidth="1"/>
    <col min="6404" max="6404" width="16.85546875" style="23" customWidth="1"/>
    <col min="6405" max="6405" width="43" style="23" customWidth="1"/>
    <col min="6406" max="6406" width="11.42578125" style="23" customWidth="1"/>
    <col min="6407" max="6407" width="13.28515625" style="23" customWidth="1"/>
    <col min="6408" max="6408" width="12.7109375" style="23" customWidth="1"/>
    <col min="6409" max="6409" width="15.85546875" style="23" customWidth="1"/>
    <col min="6410" max="6410" width="12.7109375" style="23" customWidth="1"/>
    <col min="6411" max="6411" width="14.7109375" style="23" customWidth="1"/>
    <col min="6412" max="6412" width="18.42578125" style="23" customWidth="1"/>
    <col min="6413" max="6413" width="1.140625" style="23" customWidth="1"/>
    <col min="6414" max="6417" width="0" style="23" hidden="1" customWidth="1"/>
    <col min="6418" max="6419" width="11.5703125" style="23"/>
    <col min="6420" max="6420" width="22.5703125" style="23" customWidth="1"/>
    <col min="6421" max="6656" width="11.5703125" style="23"/>
    <col min="6657" max="6657" width="0.7109375" style="23" customWidth="1"/>
    <col min="6658" max="6658" width="15.140625" style="23" customWidth="1"/>
    <col min="6659" max="6659" width="16.140625" style="23" customWidth="1"/>
    <col min="6660" max="6660" width="16.85546875" style="23" customWidth="1"/>
    <col min="6661" max="6661" width="43" style="23" customWidth="1"/>
    <col min="6662" max="6662" width="11.42578125" style="23" customWidth="1"/>
    <col min="6663" max="6663" width="13.28515625" style="23" customWidth="1"/>
    <col min="6664" max="6664" width="12.7109375" style="23" customWidth="1"/>
    <col min="6665" max="6665" width="15.85546875" style="23" customWidth="1"/>
    <col min="6666" max="6666" width="12.7109375" style="23" customWidth="1"/>
    <col min="6667" max="6667" width="14.7109375" style="23" customWidth="1"/>
    <col min="6668" max="6668" width="18.42578125" style="23" customWidth="1"/>
    <col min="6669" max="6669" width="1.140625" style="23" customWidth="1"/>
    <col min="6670" max="6673" width="0" style="23" hidden="1" customWidth="1"/>
    <col min="6674" max="6675" width="11.5703125" style="23"/>
    <col min="6676" max="6676" width="22.5703125" style="23" customWidth="1"/>
    <col min="6677" max="6912" width="11.5703125" style="23"/>
    <col min="6913" max="6913" width="0.7109375" style="23" customWidth="1"/>
    <col min="6914" max="6914" width="15.140625" style="23" customWidth="1"/>
    <col min="6915" max="6915" width="16.140625" style="23" customWidth="1"/>
    <col min="6916" max="6916" width="16.85546875" style="23" customWidth="1"/>
    <col min="6917" max="6917" width="43" style="23" customWidth="1"/>
    <col min="6918" max="6918" width="11.42578125" style="23" customWidth="1"/>
    <col min="6919" max="6919" width="13.28515625" style="23" customWidth="1"/>
    <col min="6920" max="6920" width="12.7109375" style="23" customWidth="1"/>
    <col min="6921" max="6921" width="15.85546875" style="23" customWidth="1"/>
    <col min="6922" max="6922" width="12.7109375" style="23" customWidth="1"/>
    <col min="6923" max="6923" width="14.7109375" style="23" customWidth="1"/>
    <col min="6924" max="6924" width="18.42578125" style="23" customWidth="1"/>
    <col min="6925" max="6925" width="1.140625" style="23" customWidth="1"/>
    <col min="6926" max="6929" width="0" style="23" hidden="1" customWidth="1"/>
    <col min="6930" max="6931" width="11.5703125" style="23"/>
    <col min="6932" max="6932" width="22.5703125" style="23" customWidth="1"/>
    <col min="6933" max="7168" width="11.5703125" style="23"/>
    <col min="7169" max="7169" width="0.7109375" style="23" customWidth="1"/>
    <col min="7170" max="7170" width="15.140625" style="23" customWidth="1"/>
    <col min="7171" max="7171" width="16.140625" style="23" customWidth="1"/>
    <col min="7172" max="7172" width="16.85546875" style="23" customWidth="1"/>
    <col min="7173" max="7173" width="43" style="23" customWidth="1"/>
    <col min="7174" max="7174" width="11.42578125" style="23" customWidth="1"/>
    <col min="7175" max="7175" width="13.28515625" style="23" customWidth="1"/>
    <col min="7176" max="7176" width="12.7109375" style="23" customWidth="1"/>
    <col min="7177" max="7177" width="15.85546875" style="23" customWidth="1"/>
    <col min="7178" max="7178" width="12.7109375" style="23" customWidth="1"/>
    <col min="7179" max="7179" width="14.7109375" style="23" customWidth="1"/>
    <col min="7180" max="7180" width="18.42578125" style="23" customWidth="1"/>
    <col min="7181" max="7181" width="1.140625" style="23" customWidth="1"/>
    <col min="7182" max="7185" width="0" style="23" hidden="1" customWidth="1"/>
    <col min="7186" max="7187" width="11.5703125" style="23"/>
    <col min="7188" max="7188" width="22.5703125" style="23" customWidth="1"/>
    <col min="7189" max="7424" width="11.5703125" style="23"/>
    <col min="7425" max="7425" width="0.7109375" style="23" customWidth="1"/>
    <col min="7426" max="7426" width="15.140625" style="23" customWidth="1"/>
    <col min="7427" max="7427" width="16.140625" style="23" customWidth="1"/>
    <col min="7428" max="7428" width="16.85546875" style="23" customWidth="1"/>
    <col min="7429" max="7429" width="43" style="23" customWidth="1"/>
    <col min="7430" max="7430" width="11.42578125" style="23" customWidth="1"/>
    <col min="7431" max="7431" width="13.28515625" style="23" customWidth="1"/>
    <col min="7432" max="7432" width="12.7109375" style="23" customWidth="1"/>
    <col min="7433" max="7433" width="15.85546875" style="23" customWidth="1"/>
    <col min="7434" max="7434" width="12.7109375" style="23" customWidth="1"/>
    <col min="7435" max="7435" width="14.7109375" style="23" customWidth="1"/>
    <col min="7436" max="7436" width="18.42578125" style="23" customWidth="1"/>
    <col min="7437" max="7437" width="1.140625" style="23" customWidth="1"/>
    <col min="7438" max="7441" width="0" style="23" hidden="1" customWidth="1"/>
    <col min="7442" max="7443" width="11.5703125" style="23"/>
    <col min="7444" max="7444" width="22.5703125" style="23" customWidth="1"/>
    <col min="7445" max="7680" width="11.5703125" style="23"/>
    <col min="7681" max="7681" width="0.7109375" style="23" customWidth="1"/>
    <col min="7682" max="7682" width="15.140625" style="23" customWidth="1"/>
    <col min="7683" max="7683" width="16.140625" style="23" customWidth="1"/>
    <col min="7684" max="7684" width="16.85546875" style="23" customWidth="1"/>
    <col min="7685" max="7685" width="43" style="23" customWidth="1"/>
    <col min="7686" max="7686" width="11.42578125" style="23" customWidth="1"/>
    <col min="7687" max="7687" width="13.28515625" style="23" customWidth="1"/>
    <col min="7688" max="7688" width="12.7109375" style="23" customWidth="1"/>
    <col min="7689" max="7689" width="15.85546875" style="23" customWidth="1"/>
    <col min="7690" max="7690" width="12.7109375" style="23" customWidth="1"/>
    <col min="7691" max="7691" width="14.7109375" style="23" customWidth="1"/>
    <col min="7692" max="7692" width="18.42578125" style="23" customWidth="1"/>
    <col min="7693" max="7693" width="1.140625" style="23" customWidth="1"/>
    <col min="7694" max="7697" width="0" style="23" hidden="1" customWidth="1"/>
    <col min="7698" max="7699" width="11.5703125" style="23"/>
    <col min="7700" max="7700" width="22.5703125" style="23" customWidth="1"/>
    <col min="7701" max="7936" width="11.5703125" style="23"/>
    <col min="7937" max="7937" width="0.7109375" style="23" customWidth="1"/>
    <col min="7938" max="7938" width="15.140625" style="23" customWidth="1"/>
    <col min="7939" max="7939" width="16.140625" style="23" customWidth="1"/>
    <col min="7940" max="7940" width="16.85546875" style="23" customWidth="1"/>
    <col min="7941" max="7941" width="43" style="23" customWidth="1"/>
    <col min="7942" max="7942" width="11.42578125" style="23" customWidth="1"/>
    <col min="7943" max="7943" width="13.28515625" style="23" customWidth="1"/>
    <col min="7944" max="7944" width="12.7109375" style="23" customWidth="1"/>
    <col min="7945" max="7945" width="15.85546875" style="23" customWidth="1"/>
    <col min="7946" max="7946" width="12.7109375" style="23" customWidth="1"/>
    <col min="7947" max="7947" width="14.7109375" style="23" customWidth="1"/>
    <col min="7948" max="7948" width="18.42578125" style="23" customWidth="1"/>
    <col min="7949" max="7949" width="1.140625" style="23" customWidth="1"/>
    <col min="7950" max="7953" width="0" style="23" hidden="1" customWidth="1"/>
    <col min="7954" max="7955" width="11.5703125" style="23"/>
    <col min="7956" max="7956" width="22.5703125" style="23" customWidth="1"/>
    <col min="7957" max="8192" width="11.5703125" style="23"/>
    <col min="8193" max="8193" width="0.7109375" style="23" customWidth="1"/>
    <col min="8194" max="8194" width="15.140625" style="23" customWidth="1"/>
    <col min="8195" max="8195" width="16.140625" style="23" customWidth="1"/>
    <col min="8196" max="8196" width="16.85546875" style="23" customWidth="1"/>
    <col min="8197" max="8197" width="43" style="23" customWidth="1"/>
    <col min="8198" max="8198" width="11.42578125" style="23" customWidth="1"/>
    <col min="8199" max="8199" width="13.28515625" style="23" customWidth="1"/>
    <col min="8200" max="8200" width="12.7109375" style="23" customWidth="1"/>
    <col min="8201" max="8201" width="15.85546875" style="23" customWidth="1"/>
    <col min="8202" max="8202" width="12.7109375" style="23" customWidth="1"/>
    <col min="8203" max="8203" width="14.7109375" style="23" customWidth="1"/>
    <col min="8204" max="8204" width="18.42578125" style="23" customWidth="1"/>
    <col min="8205" max="8205" width="1.140625" style="23" customWidth="1"/>
    <col min="8206" max="8209" width="0" style="23" hidden="1" customWidth="1"/>
    <col min="8210" max="8211" width="11.5703125" style="23"/>
    <col min="8212" max="8212" width="22.5703125" style="23" customWidth="1"/>
    <col min="8213" max="8448" width="11.5703125" style="23"/>
    <col min="8449" max="8449" width="0.7109375" style="23" customWidth="1"/>
    <col min="8450" max="8450" width="15.140625" style="23" customWidth="1"/>
    <col min="8451" max="8451" width="16.140625" style="23" customWidth="1"/>
    <col min="8452" max="8452" width="16.85546875" style="23" customWidth="1"/>
    <col min="8453" max="8453" width="43" style="23" customWidth="1"/>
    <col min="8454" max="8454" width="11.42578125" style="23" customWidth="1"/>
    <col min="8455" max="8455" width="13.28515625" style="23" customWidth="1"/>
    <col min="8456" max="8456" width="12.7109375" style="23" customWidth="1"/>
    <col min="8457" max="8457" width="15.85546875" style="23" customWidth="1"/>
    <col min="8458" max="8458" width="12.7109375" style="23" customWidth="1"/>
    <col min="8459" max="8459" width="14.7109375" style="23" customWidth="1"/>
    <col min="8460" max="8460" width="18.42578125" style="23" customWidth="1"/>
    <col min="8461" max="8461" width="1.140625" style="23" customWidth="1"/>
    <col min="8462" max="8465" width="0" style="23" hidden="1" customWidth="1"/>
    <col min="8466" max="8467" width="11.5703125" style="23"/>
    <col min="8468" max="8468" width="22.5703125" style="23" customWidth="1"/>
    <col min="8469" max="8704" width="11.5703125" style="23"/>
    <col min="8705" max="8705" width="0.7109375" style="23" customWidth="1"/>
    <col min="8706" max="8706" width="15.140625" style="23" customWidth="1"/>
    <col min="8707" max="8707" width="16.140625" style="23" customWidth="1"/>
    <col min="8708" max="8708" width="16.85546875" style="23" customWidth="1"/>
    <col min="8709" max="8709" width="43" style="23" customWidth="1"/>
    <col min="8710" max="8710" width="11.42578125" style="23" customWidth="1"/>
    <col min="8711" max="8711" width="13.28515625" style="23" customWidth="1"/>
    <col min="8712" max="8712" width="12.7109375" style="23" customWidth="1"/>
    <col min="8713" max="8713" width="15.85546875" style="23" customWidth="1"/>
    <col min="8714" max="8714" width="12.7109375" style="23" customWidth="1"/>
    <col min="8715" max="8715" width="14.7109375" style="23" customWidth="1"/>
    <col min="8716" max="8716" width="18.42578125" style="23" customWidth="1"/>
    <col min="8717" max="8717" width="1.140625" style="23" customWidth="1"/>
    <col min="8718" max="8721" width="0" style="23" hidden="1" customWidth="1"/>
    <col min="8722" max="8723" width="11.5703125" style="23"/>
    <col min="8724" max="8724" width="22.5703125" style="23" customWidth="1"/>
    <col min="8725" max="8960" width="11.5703125" style="23"/>
    <col min="8961" max="8961" width="0.7109375" style="23" customWidth="1"/>
    <col min="8962" max="8962" width="15.140625" style="23" customWidth="1"/>
    <col min="8963" max="8963" width="16.140625" style="23" customWidth="1"/>
    <col min="8964" max="8964" width="16.85546875" style="23" customWidth="1"/>
    <col min="8965" max="8965" width="43" style="23" customWidth="1"/>
    <col min="8966" max="8966" width="11.42578125" style="23" customWidth="1"/>
    <col min="8967" max="8967" width="13.28515625" style="23" customWidth="1"/>
    <col min="8968" max="8968" width="12.7109375" style="23" customWidth="1"/>
    <col min="8969" max="8969" width="15.85546875" style="23" customWidth="1"/>
    <col min="8970" max="8970" width="12.7109375" style="23" customWidth="1"/>
    <col min="8971" max="8971" width="14.7109375" style="23" customWidth="1"/>
    <col min="8972" max="8972" width="18.42578125" style="23" customWidth="1"/>
    <col min="8973" max="8973" width="1.140625" style="23" customWidth="1"/>
    <col min="8974" max="8977" width="0" style="23" hidden="1" customWidth="1"/>
    <col min="8978" max="8979" width="11.5703125" style="23"/>
    <col min="8980" max="8980" width="22.5703125" style="23" customWidth="1"/>
    <col min="8981" max="9216" width="11.5703125" style="23"/>
    <col min="9217" max="9217" width="0.7109375" style="23" customWidth="1"/>
    <col min="9218" max="9218" width="15.140625" style="23" customWidth="1"/>
    <col min="9219" max="9219" width="16.140625" style="23" customWidth="1"/>
    <col min="9220" max="9220" width="16.85546875" style="23" customWidth="1"/>
    <col min="9221" max="9221" width="43" style="23" customWidth="1"/>
    <col min="9222" max="9222" width="11.42578125" style="23" customWidth="1"/>
    <col min="9223" max="9223" width="13.28515625" style="23" customWidth="1"/>
    <col min="9224" max="9224" width="12.7109375" style="23" customWidth="1"/>
    <col min="9225" max="9225" width="15.85546875" style="23" customWidth="1"/>
    <col min="9226" max="9226" width="12.7109375" style="23" customWidth="1"/>
    <col min="9227" max="9227" width="14.7109375" style="23" customWidth="1"/>
    <col min="9228" max="9228" width="18.42578125" style="23" customWidth="1"/>
    <col min="9229" max="9229" width="1.140625" style="23" customWidth="1"/>
    <col min="9230" max="9233" width="0" style="23" hidden="1" customWidth="1"/>
    <col min="9234" max="9235" width="11.5703125" style="23"/>
    <col min="9236" max="9236" width="22.5703125" style="23" customWidth="1"/>
    <col min="9237" max="9472" width="11.5703125" style="23"/>
    <col min="9473" max="9473" width="0.7109375" style="23" customWidth="1"/>
    <col min="9474" max="9474" width="15.140625" style="23" customWidth="1"/>
    <col min="9475" max="9475" width="16.140625" style="23" customWidth="1"/>
    <col min="9476" max="9476" width="16.85546875" style="23" customWidth="1"/>
    <col min="9477" max="9477" width="43" style="23" customWidth="1"/>
    <col min="9478" max="9478" width="11.42578125" style="23" customWidth="1"/>
    <col min="9479" max="9479" width="13.28515625" style="23" customWidth="1"/>
    <col min="9480" max="9480" width="12.7109375" style="23" customWidth="1"/>
    <col min="9481" max="9481" width="15.85546875" style="23" customWidth="1"/>
    <col min="9482" max="9482" width="12.7109375" style="23" customWidth="1"/>
    <col min="9483" max="9483" width="14.7109375" style="23" customWidth="1"/>
    <col min="9484" max="9484" width="18.42578125" style="23" customWidth="1"/>
    <col min="9485" max="9485" width="1.140625" style="23" customWidth="1"/>
    <col min="9486" max="9489" width="0" style="23" hidden="1" customWidth="1"/>
    <col min="9490" max="9491" width="11.5703125" style="23"/>
    <col min="9492" max="9492" width="22.5703125" style="23" customWidth="1"/>
    <col min="9493" max="9728" width="11.5703125" style="23"/>
    <col min="9729" max="9729" width="0.7109375" style="23" customWidth="1"/>
    <col min="9730" max="9730" width="15.140625" style="23" customWidth="1"/>
    <col min="9731" max="9731" width="16.140625" style="23" customWidth="1"/>
    <col min="9732" max="9732" width="16.85546875" style="23" customWidth="1"/>
    <col min="9733" max="9733" width="43" style="23" customWidth="1"/>
    <col min="9734" max="9734" width="11.42578125" style="23" customWidth="1"/>
    <col min="9735" max="9735" width="13.28515625" style="23" customWidth="1"/>
    <col min="9736" max="9736" width="12.7109375" style="23" customWidth="1"/>
    <col min="9737" max="9737" width="15.85546875" style="23" customWidth="1"/>
    <col min="9738" max="9738" width="12.7109375" style="23" customWidth="1"/>
    <col min="9739" max="9739" width="14.7109375" style="23" customWidth="1"/>
    <col min="9740" max="9740" width="18.42578125" style="23" customWidth="1"/>
    <col min="9741" max="9741" width="1.140625" style="23" customWidth="1"/>
    <col min="9742" max="9745" width="0" style="23" hidden="1" customWidth="1"/>
    <col min="9746" max="9747" width="11.5703125" style="23"/>
    <col min="9748" max="9748" width="22.5703125" style="23" customWidth="1"/>
    <col min="9749" max="9984" width="11.5703125" style="23"/>
    <col min="9985" max="9985" width="0.7109375" style="23" customWidth="1"/>
    <col min="9986" max="9986" width="15.140625" style="23" customWidth="1"/>
    <col min="9987" max="9987" width="16.140625" style="23" customWidth="1"/>
    <col min="9988" max="9988" width="16.85546875" style="23" customWidth="1"/>
    <col min="9989" max="9989" width="43" style="23" customWidth="1"/>
    <col min="9990" max="9990" width="11.42578125" style="23" customWidth="1"/>
    <col min="9991" max="9991" width="13.28515625" style="23" customWidth="1"/>
    <col min="9992" max="9992" width="12.7109375" style="23" customWidth="1"/>
    <col min="9993" max="9993" width="15.85546875" style="23" customWidth="1"/>
    <col min="9994" max="9994" width="12.7109375" style="23" customWidth="1"/>
    <col min="9995" max="9995" width="14.7109375" style="23" customWidth="1"/>
    <col min="9996" max="9996" width="18.42578125" style="23" customWidth="1"/>
    <col min="9997" max="9997" width="1.140625" style="23" customWidth="1"/>
    <col min="9998" max="10001" width="0" style="23" hidden="1" customWidth="1"/>
    <col min="10002" max="10003" width="11.5703125" style="23"/>
    <col min="10004" max="10004" width="22.5703125" style="23" customWidth="1"/>
    <col min="10005" max="10240" width="11.5703125" style="23"/>
    <col min="10241" max="10241" width="0.7109375" style="23" customWidth="1"/>
    <col min="10242" max="10242" width="15.140625" style="23" customWidth="1"/>
    <col min="10243" max="10243" width="16.140625" style="23" customWidth="1"/>
    <col min="10244" max="10244" width="16.85546875" style="23" customWidth="1"/>
    <col min="10245" max="10245" width="43" style="23" customWidth="1"/>
    <col min="10246" max="10246" width="11.42578125" style="23" customWidth="1"/>
    <col min="10247" max="10247" width="13.28515625" style="23" customWidth="1"/>
    <col min="10248" max="10248" width="12.7109375" style="23" customWidth="1"/>
    <col min="10249" max="10249" width="15.85546875" style="23" customWidth="1"/>
    <col min="10250" max="10250" width="12.7109375" style="23" customWidth="1"/>
    <col min="10251" max="10251" width="14.7109375" style="23" customWidth="1"/>
    <col min="10252" max="10252" width="18.42578125" style="23" customWidth="1"/>
    <col min="10253" max="10253" width="1.140625" style="23" customWidth="1"/>
    <col min="10254" max="10257" width="0" style="23" hidden="1" customWidth="1"/>
    <col min="10258" max="10259" width="11.5703125" style="23"/>
    <col min="10260" max="10260" width="22.5703125" style="23" customWidth="1"/>
    <col min="10261" max="10496" width="11.5703125" style="23"/>
    <col min="10497" max="10497" width="0.7109375" style="23" customWidth="1"/>
    <col min="10498" max="10498" width="15.140625" style="23" customWidth="1"/>
    <col min="10499" max="10499" width="16.140625" style="23" customWidth="1"/>
    <col min="10500" max="10500" width="16.85546875" style="23" customWidth="1"/>
    <col min="10501" max="10501" width="43" style="23" customWidth="1"/>
    <col min="10502" max="10502" width="11.42578125" style="23" customWidth="1"/>
    <col min="10503" max="10503" width="13.28515625" style="23" customWidth="1"/>
    <col min="10504" max="10504" width="12.7109375" style="23" customWidth="1"/>
    <col min="10505" max="10505" width="15.85546875" style="23" customWidth="1"/>
    <col min="10506" max="10506" width="12.7109375" style="23" customWidth="1"/>
    <col min="10507" max="10507" width="14.7109375" style="23" customWidth="1"/>
    <col min="10508" max="10508" width="18.42578125" style="23" customWidth="1"/>
    <col min="10509" max="10509" width="1.140625" style="23" customWidth="1"/>
    <col min="10510" max="10513" width="0" style="23" hidden="1" customWidth="1"/>
    <col min="10514" max="10515" width="11.5703125" style="23"/>
    <col min="10516" max="10516" width="22.5703125" style="23" customWidth="1"/>
    <col min="10517" max="10752" width="11.5703125" style="23"/>
    <col min="10753" max="10753" width="0.7109375" style="23" customWidth="1"/>
    <col min="10754" max="10754" width="15.140625" style="23" customWidth="1"/>
    <col min="10755" max="10755" width="16.140625" style="23" customWidth="1"/>
    <col min="10756" max="10756" width="16.85546875" style="23" customWidth="1"/>
    <col min="10757" max="10757" width="43" style="23" customWidth="1"/>
    <col min="10758" max="10758" width="11.42578125" style="23" customWidth="1"/>
    <col min="10759" max="10759" width="13.28515625" style="23" customWidth="1"/>
    <col min="10760" max="10760" width="12.7109375" style="23" customWidth="1"/>
    <col min="10761" max="10761" width="15.85546875" style="23" customWidth="1"/>
    <col min="10762" max="10762" width="12.7109375" style="23" customWidth="1"/>
    <col min="10763" max="10763" width="14.7109375" style="23" customWidth="1"/>
    <col min="10764" max="10764" width="18.42578125" style="23" customWidth="1"/>
    <col min="10765" max="10765" width="1.140625" style="23" customWidth="1"/>
    <col min="10766" max="10769" width="0" style="23" hidden="1" customWidth="1"/>
    <col min="10770" max="10771" width="11.5703125" style="23"/>
    <col min="10772" max="10772" width="22.5703125" style="23" customWidth="1"/>
    <col min="10773" max="11008" width="11.5703125" style="23"/>
    <col min="11009" max="11009" width="0.7109375" style="23" customWidth="1"/>
    <col min="11010" max="11010" width="15.140625" style="23" customWidth="1"/>
    <col min="11011" max="11011" width="16.140625" style="23" customWidth="1"/>
    <col min="11012" max="11012" width="16.85546875" style="23" customWidth="1"/>
    <col min="11013" max="11013" width="43" style="23" customWidth="1"/>
    <col min="11014" max="11014" width="11.42578125" style="23" customWidth="1"/>
    <col min="11015" max="11015" width="13.28515625" style="23" customWidth="1"/>
    <col min="11016" max="11016" width="12.7109375" style="23" customWidth="1"/>
    <col min="11017" max="11017" width="15.85546875" style="23" customWidth="1"/>
    <col min="11018" max="11018" width="12.7109375" style="23" customWidth="1"/>
    <col min="11019" max="11019" width="14.7109375" style="23" customWidth="1"/>
    <col min="11020" max="11020" width="18.42578125" style="23" customWidth="1"/>
    <col min="11021" max="11021" width="1.140625" style="23" customWidth="1"/>
    <col min="11022" max="11025" width="0" style="23" hidden="1" customWidth="1"/>
    <col min="11026" max="11027" width="11.5703125" style="23"/>
    <col min="11028" max="11028" width="22.5703125" style="23" customWidth="1"/>
    <col min="11029" max="11264" width="11.5703125" style="23"/>
    <col min="11265" max="11265" width="0.7109375" style="23" customWidth="1"/>
    <col min="11266" max="11266" width="15.140625" style="23" customWidth="1"/>
    <col min="11267" max="11267" width="16.140625" style="23" customWidth="1"/>
    <col min="11268" max="11268" width="16.85546875" style="23" customWidth="1"/>
    <col min="11269" max="11269" width="43" style="23" customWidth="1"/>
    <col min="11270" max="11270" width="11.42578125" style="23" customWidth="1"/>
    <col min="11271" max="11271" width="13.28515625" style="23" customWidth="1"/>
    <col min="11272" max="11272" width="12.7109375" style="23" customWidth="1"/>
    <col min="11273" max="11273" width="15.85546875" style="23" customWidth="1"/>
    <col min="11274" max="11274" width="12.7109375" style="23" customWidth="1"/>
    <col min="11275" max="11275" width="14.7109375" style="23" customWidth="1"/>
    <col min="11276" max="11276" width="18.42578125" style="23" customWidth="1"/>
    <col min="11277" max="11277" width="1.140625" style="23" customWidth="1"/>
    <col min="11278" max="11281" width="0" style="23" hidden="1" customWidth="1"/>
    <col min="11282" max="11283" width="11.5703125" style="23"/>
    <col min="11284" max="11284" width="22.5703125" style="23" customWidth="1"/>
    <col min="11285" max="11520" width="11.5703125" style="23"/>
    <col min="11521" max="11521" width="0.7109375" style="23" customWidth="1"/>
    <col min="11522" max="11522" width="15.140625" style="23" customWidth="1"/>
    <col min="11523" max="11523" width="16.140625" style="23" customWidth="1"/>
    <col min="11524" max="11524" width="16.85546875" style="23" customWidth="1"/>
    <col min="11525" max="11525" width="43" style="23" customWidth="1"/>
    <col min="11526" max="11526" width="11.42578125" style="23" customWidth="1"/>
    <col min="11527" max="11527" width="13.28515625" style="23" customWidth="1"/>
    <col min="11528" max="11528" width="12.7109375" style="23" customWidth="1"/>
    <col min="11529" max="11529" width="15.85546875" style="23" customWidth="1"/>
    <col min="11530" max="11530" width="12.7109375" style="23" customWidth="1"/>
    <col min="11531" max="11531" width="14.7109375" style="23" customWidth="1"/>
    <col min="11532" max="11532" width="18.42578125" style="23" customWidth="1"/>
    <col min="11533" max="11533" width="1.140625" style="23" customWidth="1"/>
    <col min="11534" max="11537" width="0" style="23" hidden="1" customWidth="1"/>
    <col min="11538" max="11539" width="11.5703125" style="23"/>
    <col min="11540" max="11540" width="22.5703125" style="23" customWidth="1"/>
    <col min="11541" max="11776" width="11.5703125" style="23"/>
    <col min="11777" max="11777" width="0.7109375" style="23" customWidth="1"/>
    <col min="11778" max="11778" width="15.140625" style="23" customWidth="1"/>
    <col min="11779" max="11779" width="16.140625" style="23" customWidth="1"/>
    <col min="11780" max="11780" width="16.85546875" style="23" customWidth="1"/>
    <col min="11781" max="11781" width="43" style="23" customWidth="1"/>
    <col min="11782" max="11782" width="11.42578125" style="23" customWidth="1"/>
    <col min="11783" max="11783" width="13.28515625" style="23" customWidth="1"/>
    <col min="11784" max="11784" width="12.7109375" style="23" customWidth="1"/>
    <col min="11785" max="11785" width="15.85546875" style="23" customWidth="1"/>
    <col min="11786" max="11786" width="12.7109375" style="23" customWidth="1"/>
    <col min="11787" max="11787" width="14.7109375" style="23" customWidth="1"/>
    <col min="11788" max="11788" width="18.42578125" style="23" customWidth="1"/>
    <col min="11789" max="11789" width="1.140625" style="23" customWidth="1"/>
    <col min="11790" max="11793" width="0" style="23" hidden="1" customWidth="1"/>
    <col min="11794" max="11795" width="11.5703125" style="23"/>
    <col min="11796" max="11796" width="22.5703125" style="23" customWidth="1"/>
    <col min="11797" max="12032" width="11.5703125" style="23"/>
    <col min="12033" max="12033" width="0.7109375" style="23" customWidth="1"/>
    <col min="12034" max="12034" width="15.140625" style="23" customWidth="1"/>
    <col min="12035" max="12035" width="16.140625" style="23" customWidth="1"/>
    <col min="12036" max="12036" width="16.85546875" style="23" customWidth="1"/>
    <col min="12037" max="12037" width="43" style="23" customWidth="1"/>
    <col min="12038" max="12038" width="11.42578125" style="23" customWidth="1"/>
    <col min="12039" max="12039" width="13.28515625" style="23" customWidth="1"/>
    <col min="12040" max="12040" width="12.7109375" style="23" customWidth="1"/>
    <col min="12041" max="12041" width="15.85546875" style="23" customWidth="1"/>
    <col min="12042" max="12042" width="12.7109375" style="23" customWidth="1"/>
    <col min="12043" max="12043" width="14.7109375" style="23" customWidth="1"/>
    <col min="12044" max="12044" width="18.42578125" style="23" customWidth="1"/>
    <col min="12045" max="12045" width="1.140625" style="23" customWidth="1"/>
    <col min="12046" max="12049" width="0" style="23" hidden="1" customWidth="1"/>
    <col min="12050" max="12051" width="11.5703125" style="23"/>
    <col min="12052" max="12052" width="22.5703125" style="23" customWidth="1"/>
    <col min="12053" max="12288" width="11.5703125" style="23"/>
    <col min="12289" max="12289" width="0.7109375" style="23" customWidth="1"/>
    <col min="12290" max="12290" width="15.140625" style="23" customWidth="1"/>
    <col min="12291" max="12291" width="16.140625" style="23" customWidth="1"/>
    <col min="12292" max="12292" width="16.85546875" style="23" customWidth="1"/>
    <col min="12293" max="12293" width="43" style="23" customWidth="1"/>
    <col min="12294" max="12294" width="11.42578125" style="23" customWidth="1"/>
    <col min="12295" max="12295" width="13.28515625" style="23" customWidth="1"/>
    <col min="12296" max="12296" width="12.7109375" style="23" customWidth="1"/>
    <col min="12297" max="12297" width="15.85546875" style="23" customWidth="1"/>
    <col min="12298" max="12298" width="12.7109375" style="23" customWidth="1"/>
    <col min="12299" max="12299" width="14.7109375" style="23" customWidth="1"/>
    <col min="12300" max="12300" width="18.42578125" style="23" customWidth="1"/>
    <col min="12301" max="12301" width="1.140625" style="23" customWidth="1"/>
    <col min="12302" max="12305" width="0" style="23" hidden="1" customWidth="1"/>
    <col min="12306" max="12307" width="11.5703125" style="23"/>
    <col min="12308" max="12308" width="22.5703125" style="23" customWidth="1"/>
    <col min="12309" max="12544" width="11.5703125" style="23"/>
    <col min="12545" max="12545" width="0.7109375" style="23" customWidth="1"/>
    <col min="12546" max="12546" width="15.140625" style="23" customWidth="1"/>
    <col min="12547" max="12547" width="16.140625" style="23" customWidth="1"/>
    <col min="12548" max="12548" width="16.85546875" style="23" customWidth="1"/>
    <col min="12549" max="12549" width="43" style="23" customWidth="1"/>
    <col min="12550" max="12550" width="11.42578125" style="23" customWidth="1"/>
    <col min="12551" max="12551" width="13.28515625" style="23" customWidth="1"/>
    <col min="12552" max="12552" width="12.7109375" style="23" customWidth="1"/>
    <col min="12553" max="12553" width="15.85546875" style="23" customWidth="1"/>
    <col min="12554" max="12554" width="12.7109375" style="23" customWidth="1"/>
    <col min="12555" max="12555" width="14.7109375" style="23" customWidth="1"/>
    <col min="12556" max="12556" width="18.42578125" style="23" customWidth="1"/>
    <col min="12557" max="12557" width="1.140625" style="23" customWidth="1"/>
    <col min="12558" max="12561" width="0" style="23" hidden="1" customWidth="1"/>
    <col min="12562" max="12563" width="11.5703125" style="23"/>
    <col min="12564" max="12564" width="22.5703125" style="23" customWidth="1"/>
    <col min="12565" max="12800" width="11.5703125" style="23"/>
    <col min="12801" max="12801" width="0.7109375" style="23" customWidth="1"/>
    <col min="12802" max="12802" width="15.140625" style="23" customWidth="1"/>
    <col min="12803" max="12803" width="16.140625" style="23" customWidth="1"/>
    <col min="12804" max="12804" width="16.85546875" style="23" customWidth="1"/>
    <col min="12805" max="12805" width="43" style="23" customWidth="1"/>
    <col min="12806" max="12806" width="11.42578125" style="23" customWidth="1"/>
    <col min="12807" max="12807" width="13.28515625" style="23" customWidth="1"/>
    <col min="12808" max="12808" width="12.7109375" style="23" customWidth="1"/>
    <col min="12809" max="12809" width="15.85546875" style="23" customWidth="1"/>
    <col min="12810" max="12810" width="12.7109375" style="23" customWidth="1"/>
    <col min="12811" max="12811" width="14.7109375" style="23" customWidth="1"/>
    <col min="12812" max="12812" width="18.42578125" style="23" customWidth="1"/>
    <col min="12813" max="12813" width="1.140625" style="23" customWidth="1"/>
    <col min="12814" max="12817" width="0" style="23" hidden="1" customWidth="1"/>
    <col min="12818" max="12819" width="11.5703125" style="23"/>
    <col min="12820" max="12820" width="22.5703125" style="23" customWidth="1"/>
    <col min="12821" max="13056" width="11.5703125" style="23"/>
    <col min="13057" max="13057" width="0.7109375" style="23" customWidth="1"/>
    <col min="13058" max="13058" width="15.140625" style="23" customWidth="1"/>
    <col min="13059" max="13059" width="16.140625" style="23" customWidth="1"/>
    <col min="13060" max="13060" width="16.85546875" style="23" customWidth="1"/>
    <col min="13061" max="13061" width="43" style="23" customWidth="1"/>
    <col min="13062" max="13062" width="11.42578125" style="23" customWidth="1"/>
    <col min="13063" max="13063" width="13.28515625" style="23" customWidth="1"/>
    <col min="13064" max="13064" width="12.7109375" style="23" customWidth="1"/>
    <col min="13065" max="13065" width="15.85546875" style="23" customWidth="1"/>
    <col min="13066" max="13066" width="12.7109375" style="23" customWidth="1"/>
    <col min="13067" max="13067" width="14.7109375" style="23" customWidth="1"/>
    <col min="13068" max="13068" width="18.42578125" style="23" customWidth="1"/>
    <col min="13069" max="13069" width="1.140625" style="23" customWidth="1"/>
    <col min="13070" max="13073" width="0" style="23" hidden="1" customWidth="1"/>
    <col min="13074" max="13075" width="11.5703125" style="23"/>
    <col min="13076" max="13076" width="22.5703125" style="23" customWidth="1"/>
    <col min="13077" max="13312" width="11.5703125" style="23"/>
    <col min="13313" max="13313" width="0.7109375" style="23" customWidth="1"/>
    <col min="13314" max="13314" width="15.140625" style="23" customWidth="1"/>
    <col min="13315" max="13315" width="16.140625" style="23" customWidth="1"/>
    <col min="13316" max="13316" width="16.85546875" style="23" customWidth="1"/>
    <col min="13317" max="13317" width="43" style="23" customWidth="1"/>
    <col min="13318" max="13318" width="11.42578125" style="23" customWidth="1"/>
    <col min="13319" max="13319" width="13.28515625" style="23" customWidth="1"/>
    <col min="13320" max="13320" width="12.7109375" style="23" customWidth="1"/>
    <col min="13321" max="13321" width="15.85546875" style="23" customWidth="1"/>
    <col min="13322" max="13322" width="12.7109375" style="23" customWidth="1"/>
    <col min="13323" max="13323" width="14.7109375" style="23" customWidth="1"/>
    <col min="13324" max="13324" width="18.42578125" style="23" customWidth="1"/>
    <col min="13325" max="13325" width="1.140625" style="23" customWidth="1"/>
    <col min="13326" max="13329" width="0" style="23" hidden="1" customWidth="1"/>
    <col min="13330" max="13331" width="11.5703125" style="23"/>
    <col min="13332" max="13332" width="22.5703125" style="23" customWidth="1"/>
    <col min="13333" max="13568" width="11.5703125" style="23"/>
    <col min="13569" max="13569" width="0.7109375" style="23" customWidth="1"/>
    <col min="13570" max="13570" width="15.140625" style="23" customWidth="1"/>
    <col min="13571" max="13571" width="16.140625" style="23" customWidth="1"/>
    <col min="13572" max="13572" width="16.85546875" style="23" customWidth="1"/>
    <col min="13573" max="13573" width="43" style="23" customWidth="1"/>
    <col min="13574" max="13574" width="11.42578125" style="23" customWidth="1"/>
    <col min="13575" max="13575" width="13.28515625" style="23" customWidth="1"/>
    <col min="13576" max="13576" width="12.7109375" style="23" customWidth="1"/>
    <col min="13577" max="13577" width="15.85546875" style="23" customWidth="1"/>
    <col min="13578" max="13578" width="12.7109375" style="23" customWidth="1"/>
    <col min="13579" max="13579" width="14.7109375" style="23" customWidth="1"/>
    <col min="13580" max="13580" width="18.42578125" style="23" customWidth="1"/>
    <col min="13581" max="13581" width="1.140625" style="23" customWidth="1"/>
    <col min="13582" max="13585" width="0" style="23" hidden="1" customWidth="1"/>
    <col min="13586" max="13587" width="11.5703125" style="23"/>
    <col min="13588" max="13588" width="22.5703125" style="23" customWidth="1"/>
    <col min="13589" max="13824" width="11.5703125" style="23"/>
    <col min="13825" max="13825" width="0.7109375" style="23" customWidth="1"/>
    <col min="13826" max="13826" width="15.140625" style="23" customWidth="1"/>
    <col min="13827" max="13827" width="16.140625" style="23" customWidth="1"/>
    <col min="13828" max="13828" width="16.85546875" style="23" customWidth="1"/>
    <col min="13829" max="13829" width="43" style="23" customWidth="1"/>
    <col min="13830" max="13830" width="11.42578125" style="23" customWidth="1"/>
    <col min="13831" max="13831" width="13.28515625" style="23" customWidth="1"/>
    <col min="13832" max="13832" width="12.7109375" style="23" customWidth="1"/>
    <col min="13833" max="13833" width="15.85546875" style="23" customWidth="1"/>
    <col min="13834" max="13834" width="12.7109375" style="23" customWidth="1"/>
    <col min="13835" max="13835" width="14.7109375" style="23" customWidth="1"/>
    <col min="13836" max="13836" width="18.42578125" style="23" customWidth="1"/>
    <col min="13837" max="13837" width="1.140625" style="23" customWidth="1"/>
    <col min="13838" max="13841" width="0" style="23" hidden="1" customWidth="1"/>
    <col min="13842" max="13843" width="11.5703125" style="23"/>
    <col min="13844" max="13844" width="22.5703125" style="23" customWidth="1"/>
    <col min="13845" max="14080" width="11.5703125" style="23"/>
    <col min="14081" max="14081" width="0.7109375" style="23" customWidth="1"/>
    <col min="14082" max="14082" width="15.140625" style="23" customWidth="1"/>
    <col min="14083" max="14083" width="16.140625" style="23" customWidth="1"/>
    <col min="14084" max="14084" width="16.85546875" style="23" customWidth="1"/>
    <col min="14085" max="14085" width="43" style="23" customWidth="1"/>
    <col min="14086" max="14086" width="11.42578125" style="23" customWidth="1"/>
    <col min="14087" max="14087" width="13.28515625" style="23" customWidth="1"/>
    <col min="14088" max="14088" width="12.7109375" style="23" customWidth="1"/>
    <col min="14089" max="14089" width="15.85546875" style="23" customWidth="1"/>
    <col min="14090" max="14090" width="12.7109375" style="23" customWidth="1"/>
    <col min="14091" max="14091" width="14.7109375" style="23" customWidth="1"/>
    <col min="14092" max="14092" width="18.42578125" style="23" customWidth="1"/>
    <col min="14093" max="14093" width="1.140625" style="23" customWidth="1"/>
    <col min="14094" max="14097" width="0" style="23" hidden="1" customWidth="1"/>
    <col min="14098" max="14099" width="11.5703125" style="23"/>
    <col min="14100" max="14100" width="22.5703125" style="23" customWidth="1"/>
    <col min="14101" max="14336" width="11.5703125" style="23"/>
    <col min="14337" max="14337" width="0.7109375" style="23" customWidth="1"/>
    <col min="14338" max="14338" width="15.140625" style="23" customWidth="1"/>
    <col min="14339" max="14339" width="16.140625" style="23" customWidth="1"/>
    <col min="14340" max="14340" width="16.85546875" style="23" customWidth="1"/>
    <col min="14341" max="14341" width="43" style="23" customWidth="1"/>
    <col min="14342" max="14342" width="11.42578125" style="23" customWidth="1"/>
    <col min="14343" max="14343" width="13.28515625" style="23" customWidth="1"/>
    <col min="14344" max="14344" width="12.7109375" style="23" customWidth="1"/>
    <col min="14345" max="14345" width="15.85546875" style="23" customWidth="1"/>
    <col min="14346" max="14346" width="12.7109375" style="23" customWidth="1"/>
    <col min="14347" max="14347" width="14.7109375" style="23" customWidth="1"/>
    <col min="14348" max="14348" width="18.42578125" style="23" customWidth="1"/>
    <col min="14349" max="14349" width="1.140625" style="23" customWidth="1"/>
    <col min="14350" max="14353" width="0" style="23" hidden="1" customWidth="1"/>
    <col min="14354" max="14355" width="11.5703125" style="23"/>
    <col min="14356" max="14356" width="22.5703125" style="23" customWidth="1"/>
    <col min="14357" max="14592" width="11.5703125" style="23"/>
    <col min="14593" max="14593" width="0.7109375" style="23" customWidth="1"/>
    <col min="14594" max="14594" width="15.140625" style="23" customWidth="1"/>
    <col min="14595" max="14595" width="16.140625" style="23" customWidth="1"/>
    <col min="14596" max="14596" width="16.85546875" style="23" customWidth="1"/>
    <col min="14597" max="14597" width="43" style="23" customWidth="1"/>
    <col min="14598" max="14598" width="11.42578125" style="23" customWidth="1"/>
    <col min="14599" max="14599" width="13.28515625" style="23" customWidth="1"/>
    <col min="14600" max="14600" width="12.7109375" style="23" customWidth="1"/>
    <col min="14601" max="14601" width="15.85546875" style="23" customWidth="1"/>
    <col min="14602" max="14602" width="12.7109375" style="23" customWidth="1"/>
    <col min="14603" max="14603" width="14.7109375" style="23" customWidth="1"/>
    <col min="14604" max="14604" width="18.42578125" style="23" customWidth="1"/>
    <col min="14605" max="14605" width="1.140625" style="23" customWidth="1"/>
    <col min="14606" max="14609" width="0" style="23" hidden="1" customWidth="1"/>
    <col min="14610" max="14611" width="11.5703125" style="23"/>
    <col min="14612" max="14612" width="22.5703125" style="23" customWidth="1"/>
    <col min="14613" max="14848" width="11.5703125" style="23"/>
    <col min="14849" max="14849" width="0.7109375" style="23" customWidth="1"/>
    <col min="14850" max="14850" width="15.140625" style="23" customWidth="1"/>
    <col min="14851" max="14851" width="16.140625" style="23" customWidth="1"/>
    <col min="14852" max="14852" width="16.85546875" style="23" customWidth="1"/>
    <col min="14853" max="14853" width="43" style="23" customWidth="1"/>
    <col min="14854" max="14854" width="11.42578125" style="23" customWidth="1"/>
    <col min="14855" max="14855" width="13.28515625" style="23" customWidth="1"/>
    <col min="14856" max="14856" width="12.7109375" style="23" customWidth="1"/>
    <col min="14857" max="14857" width="15.85546875" style="23" customWidth="1"/>
    <col min="14858" max="14858" width="12.7109375" style="23" customWidth="1"/>
    <col min="14859" max="14859" width="14.7109375" style="23" customWidth="1"/>
    <col min="14860" max="14860" width="18.42578125" style="23" customWidth="1"/>
    <col min="14861" max="14861" width="1.140625" style="23" customWidth="1"/>
    <col min="14862" max="14865" width="0" style="23" hidden="1" customWidth="1"/>
    <col min="14866" max="14867" width="11.5703125" style="23"/>
    <col min="14868" max="14868" width="22.5703125" style="23" customWidth="1"/>
    <col min="14869" max="15104" width="11.5703125" style="23"/>
    <col min="15105" max="15105" width="0.7109375" style="23" customWidth="1"/>
    <col min="15106" max="15106" width="15.140625" style="23" customWidth="1"/>
    <col min="15107" max="15107" width="16.140625" style="23" customWidth="1"/>
    <col min="15108" max="15108" width="16.85546875" style="23" customWidth="1"/>
    <col min="15109" max="15109" width="43" style="23" customWidth="1"/>
    <col min="15110" max="15110" width="11.42578125" style="23" customWidth="1"/>
    <col min="15111" max="15111" width="13.28515625" style="23" customWidth="1"/>
    <col min="15112" max="15112" width="12.7109375" style="23" customWidth="1"/>
    <col min="15113" max="15113" width="15.85546875" style="23" customWidth="1"/>
    <col min="15114" max="15114" width="12.7109375" style="23" customWidth="1"/>
    <col min="15115" max="15115" width="14.7109375" style="23" customWidth="1"/>
    <col min="15116" max="15116" width="18.42578125" style="23" customWidth="1"/>
    <col min="15117" max="15117" width="1.140625" style="23" customWidth="1"/>
    <col min="15118" max="15121" width="0" style="23" hidden="1" customWidth="1"/>
    <col min="15122" max="15123" width="11.5703125" style="23"/>
    <col min="15124" max="15124" width="22.5703125" style="23" customWidth="1"/>
    <col min="15125" max="15360" width="11.5703125" style="23"/>
    <col min="15361" max="15361" width="0.7109375" style="23" customWidth="1"/>
    <col min="15362" max="15362" width="15.140625" style="23" customWidth="1"/>
    <col min="15363" max="15363" width="16.140625" style="23" customWidth="1"/>
    <col min="15364" max="15364" width="16.85546875" style="23" customWidth="1"/>
    <col min="15365" max="15365" width="43" style="23" customWidth="1"/>
    <col min="15366" max="15366" width="11.42578125" style="23" customWidth="1"/>
    <col min="15367" max="15367" width="13.28515625" style="23" customWidth="1"/>
    <col min="15368" max="15368" width="12.7109375" style="23" customWidth="1"/>
    <col min="15369" max="15369" width="15.85546875" style="23" customWidth="1"/>
    <col min="15370" max="15370" width="12.7109375" style="23" customWidth="1"/>
    <col min="15371" max="15371" width="14.7109375" style="23" customWidth="1"/>
    <col min="15372" max="15372" width="18.42578125" style="23" customWidth="1"/>
    <col min="15373" max="15373" width="1.140625" style="23" customWidth="1"/>
    <col min="15374" max="15377" width="0" style="23" hidden="1" customWidth="1"/>
    <col min="15378" max="15379" width="11.5703125" style="23"/>
    <col min="15380" max="15380" width="22.5703125" style="23" customWidth="1"/>
    <col min="15381" max="15616" width="11.5703125" style="23"/>
    <col min="15617" max="15617" width="0.7109375" style="23" customWidth="1"/>
    <col min="15618" max="15618" width="15.140625" style="23" customWidth="1"/>
    <col min="15619" max="15619" width="16.140625" style="23" customWidth="1"/>
    <col min="15620" max="15620" width="16.85546875" style="23" customWidth="1"/>
    <col min="15621" max="15621" width="43" style="23" customWidth="1"/>
    <col min="15622" max="15622" width="11.42578125" style="23" customWidth="1"/>
    <col min="15623" max="15623" width="13.28515625" style="23" customWidth="1"/>
    <col min="15624" max="15624" width="12.7109375" style="23" customWidth="1"/>
    <col min="15625" max="15625" width="15.85546875" style="23" customWidth="1"/>
    <col min="15626" max="15626" width="12.7109375" style="23" customWidth="1"/>
    <col min="15627" max="15627" width="14.7109375" style="23" customWidth="1"/>
    <col min="15628" max="15628" width="18.42578125" style="23" customWidth="1"/>
    <col min="15629" max="15629" width="1.140625" style="23" customWidth="1"/>
    <col min="15630" max="15633" width="0" style="23" hidden="1" customWidth="1"/>
    <col min="15634" max="15635" width="11.5703125" style="23"/>
    <col min="15636" max="15636" width="22.5703125" style="23" customWidth="1"/>
    <col min="15637" max="15872" width="11.5703125" style="23"/>
    <col min="15873" max="15873" width="0.7109375" style="23" customWidth="1"/>
    <col min="15874" max="15874" width="15.140625" style="23" customWidth="1"/>
    <col min="15875" max="15875" width="16.140625" style="23" customWidth="1"/>
    <col min="15876" max="15876" width="16.85546875" style="23" customWidth="1"/>
    <col min="15877" max="15877" width="43" style="23" customWidth="1"/>
    <col min="15878" max="15878" width="11.42578125" style="23" customWidth="1"/>
    <col min="15879" max="15879" width="13.28515625" style="23" customWidth="1"/>
    <col min="15880" max="15880" width="12.7109375" style="23" customWidth="1"/>
    <col min="15881" max="15881" width="15.85546875" style="23" customWidth="1"/>
    <col min="15882" max="15882" width="12.7109375" style="23" customWidth="1"/>
    <col min="15883" max="15883" width="14.7109375" style="23" customWidth="1"/>
    <col min="15884" max="15884" width="18.42578125" style="23" customWidth="1"/>
    <col min="15885" max="15885" width="1.140625" style="23" customWidth="1"/>
    <col min="15886" max="15889" width="0" style="23" hidden="1" customWidth="1"/>
    <col min="15890" max="15891" width="11.5703125" style="23"/>
    <col min="15892" max="15892" width="22.5703125" style="23" customWidth="1"/>
    <col min="15893" max="16128" width="11.5703125" style="23"/>
    <col min="16129" max="16129" width="0.7109375" style="23" customWidth="1"/>
    <col min="16130" max="16130" width="15.140625" style="23" customWidth="1"/>
    <col min="16131" max="16131" width="16.140625" style="23" customWidth="1"/>
    <col min="16132" max="16132" width="16.85546875" style="23" customWidth="1"/>
    <col min="16133" max="16133" width="43" style="23" customWidth="1"/>
    <col min="16134" max="16134" width="11.42578125" style="23" customWidth="1"/>
    <col min="16135" max="16135" width="13.28515625" style="23" customWidth="1"/>
    <col min="16136" max="16136" width="12.7109375" style="23" customWidth="1"/>
    <col min="16137" max="16137" width="15.85546875" style="23" customWidth="1"/>
    <col min="16138" max="16138" width="12.7109375" style="23" customWidth="1"/>
    <col min="16139" max="16139" width="14.7109375" style="23" customWidth="1"/>
    <col min="16140" max="16140" width="18.42578125" style="23" customWidth="1"/>
    <col min="16141" max="16141" width="1.140625" style="23" customWidth="1"/>
    <col min="16142" max="16145" width="0" style="23" hidden="1" customWidth="1"/>
    <col min="16146" max="16147" width="11.5703125" style="23"/>
    <col min="16148" max="16148" width="22.5703125" style="23" customWidth="1"/>
    <col min="16149" max="16384" width="11.5703125" style="23"/>
  </cols>
  <sheetData>
    <row r="1" spans="2:21" ht="6" customHeight="1" thickBot="1" x14ac:dyDescent="0.25">
      <c r="H1" s="75"/>
      <c r="I1" s="75"/>
      <c r="J1" s="76"/>
      <c r="K1" s="76"/>
      <c r="L1" s="76"/>
      <c r="M1" s="77"/>
    </row>
    <row r="2" spans="2:21" ht="7.5" customHeight="1" x14ac:dyDescent="0.2">
      <c r="B2" s="464"/>
      <c r="C2" s="465"/>
      <c r="D2" s="465"/>
      <c r="E2" s="465"/>
      <c r="F2" s="465"/>
      <c r="G2" s="465"/>
      <c r="H2" s="465"/>
      <c r="I2" s="79"/>
      <c r="J2" s="80"/>
      <c r="K2" s="80"/>
      <c r="L2" s="80"/>
      <c r="M2" s="81"/>
    </row>
    <row r="3" spans="2:21" x14ac:dyDescent="0.2">
      <c r="B3" s="466"/>
      <c r="C3" s="467"/>
      <c r="D3" s="467"/>
      <c r="E3" s="467"/>
      <c r="F3" s="467"/>
      <c r="G3" s="467"/>
      <c r="H3" s="467"/>
      <c r="I3" s="467"/>
      <c r="J3" s="467"/>
      <c r="K3" s="467"/>
      <c r="L3" s="467"/>
      <c r="M3" s="82"/>
    </row>
    <row r="4" spans="2:21" ht="28.5" customHeight="1" x14ac:dyDescent="0.2">
      <c r="B4" s="450" t="s">
        <v>373</v>
      </c>
      <c r="C4" s="450"/>
      <c r="D4" s="450"/>
      <c r="E4" s="450"/>
      <c r="F4" s="450"/>
      <c r="G4" s="450"/>
      <c r="H4" s="450"/>
      <c r="I4" s="450"/>
      <c r="J4" s="450"/>
      <c r="K4" s="450"/>
      <c r="L4" s="450"/>
      <c r="M4" s="450"/>
      <c r="N4" s="451"/>
    </row>
    <row r="5" spans="2:21" ht="6.75" customHeight="1" x14ac:dyDescent="0.2">
      <c r="B5" s="83"/>
      <c r="C5" s="84"/>
      <c r="D5" s="84"/>
      <c r="E5" s="84"/>
      <c r="F5" s="55"/>
      <c r="G5" s="55"/>
      <c r="H5" s="68"/>
      <c r="I5" s="85"/>
      <c r="J5" s="77"/>
      <c r="K5" s="77"/>
      <c r="L5" s="77"/>
      <c r="M5" s="86"/>
    </row>
    <row r="6" spans="2:21" ht="6.75" customHeight="1" x14ac:dyDescent="0.2">
      <c r="B6" s="83"/>
      <c r="C6" s="84"/>
      <c r="D6" s="84"/>
      <c r="E6" s="84"/>
      <c r="F6" s="55"/>
      <c r="G6" s="55"/>
      <c r="H6" s="68"/>
      <c r="I6" s="85"/>
      <c r="J6" s="77"/>
      <c r="K6" s="77"/>
      <c r="L6" s="77"/>
      <c r="M6" s="86"/>
    </row>
    <row r="7" spans="2:21" ht="15" customHeight="1" x14ac:dyDescent="0.2">
      <c r="B7" s="470" t="s">
        <v>88</v>
      </c>
      <c r="C7" s="471"/>
      <c r="D7" s="460" t="s">
        <v>343</v>
      </c>
      <c r="E7" s="460"/>
      <c r="F7" s="51"/>
      <c r="G7" s="51"/>
      <c r="H7" s="54"/>
      <c r="I7" s="54"/>
      <c r="J7" s="51"/>
      <c r="K7" s="51"/>
      <c r="L7" s="51"/>
      <c r="M7" s="87"/>
    </row>
    <row r="8" spans="2:21" ht="30.75" customHeight="1" x14ac:dyDescent="0.2">
      <c r="B8" s="422" t="s">
        <v>376</v>
      </c>
      <c r="C8" s="69"/>
      <c r="D8" s="185">
        <v>45713</v>
      </c>
      <c r="E8" s="425" t="s">
        <v>375</v>
      </c>
      <c r="F8" s="426">
        <v>45719</v>
      </c>
      <c r="G8" s="51"/>
      <c r="H8" s="54"/>
      <c r="I8" s="54"/>
      <c r="J8" s="51"/>
      <c r="K8" s="51"/>
      <c r="L8" s="51"/>
      <c r="M8" s="87"/>
    </row>
    <row r="9" spans="2:21" ht="43.5" customHeight="1" x14ac:dyDescent="0.2">
      <c r="B9" s="470" t="s">
        <v>1</v>
      </c>
      <c r="C9" s="471"/>
      <c r="D9" s="472" t="s">
        <v>89</v>
      </c>
      <c r="E9" s="472"/>
      <c r="F9" s="472"/>
      <c r="G9" s="472"/>
      <c r="H9" s="472"/>
      <c r="I9" s="472"/>
      <c r="J9" s="472"/>
      <c r="K9" s="472"/>
      <c r="L9" s="472"/>
      <c r="M9" s="473"/>
      <c r="Q9" s="89"/>
    </row>
    <row r="10" spans="2:21" s="91" customFormat="1" ht="15" customHeight="1" x14ac:dyDescent="0.25">
      <c r="B10" s="468" t="s">
        <v>2</v>
      </c>
      <c r="C10" s="469"/>
      <c r="D10" s="51" t="str">
        <f>+[14]DATOS!B7</f>
        <v>EDELMIRA SIERRA GUTIÉRREZ</v>
      </c>
      <c r="E10" s="51"/>
      <c r="F10" s="51"/>
      <c r="G10" s="51"/>
      <c r="H10" s="54"/>
      <c r="I10" s="54"/>
      <c r="J10" s="51"/>
      <c r="K10" s="51"/>
      <c r="L10" s="51"/>
      <c r="M10" s="87"/>
      <c r="N10" s="90"/>
      <c r="O10" s="90"/>
      <c r="P10" s="90"/>
    </row>
    <row r="11" spans="2:21" ht="6" customHeight="1" x14ac:dyDescent="0.2">
      <c r="B11" s="92"/>
      <c r="C11" s="56"/>
      <c r="D11" s="69"/>
      <c r="E11" s="69"/>
      <c r="F11" s="69"/>
      <c r="G11" s="69"/>
      <c r="H11" s="68"/>
      <c r="I11" s="85"/>
      <c r="J11" s="77"/>
      <c r="K11" s="77"/>
      <c r="L11" s="77"/>
      <c r="M11" s="86"/>
    </row>
    <row r="12" spans="2:21" ht="18.75" customHeight="1" x14ac:dyDescent="0.2">
      <c r="B12" s="468" t="s">
        <v>3</v>
      </c>
      <c r="C12" s="469"/>
      <c r="D12" s="5" t="s">
        <v>90</v>
      </c>
      <c r="E12" s="6"/>
      <c r="F12" s="6"/>
      <c r="G12" s="450" t="s">
        <v>306</v>
      </c>
      <c r="H12" s="450"/>
      <c r="I12" s="463" t="s">
        <v>321</v>
      </c>
      <c r="J12" s="463"/>
      <c r="K12" s="463"/>
      <c r="L12" s="77"/>
      <c r="M12" s="86"/>
    </row>
    <row r="13" spans="2:21" ht="14.25" customHeight="1" x14ac:dyDescent="0.2">
      <c r="B13" s="468" t="s">
        <v>5</v>
      </c>
      <c r="C13" s="469"/>
      <c r="D13" s="7" t="s">
        <v>91</v>
      </c>
      <c r="E13" s="8"/>
      <c r="F13" s="8"/>
      <c r="G13" s="8"/>
      <c r="H13" s="68"/>
      <c r="I13" s="85"/>
      <c r="J13" s="77"/>
      <c r="K13" s="77"/>
      <c r="L13" s="77"/>
      <c r="M13" s="86"/>
    </row>
    <row r="14" spans="2:21" ht="14.25" customHeight="1" x14ac:dyDescent="0.2">
      <c r="B14" s="468" t="s">
        <v>6</v>
      </c>
      <c r="C14" s="469"/>
      <c r="D14" s="9" t="s">
        <v>92</v>
      </c>
      <c r="E14" s="10"/>
      <c r="F14" s="10"/>
      <c r="G14" s="328" t="s">
        <v>308</v>
      </c>
      <c r="H14" s="328" t="s">
        <v>309</v>
      </c>
      <c r="I14" s="85"/>
      <c r="J14" s="77"/>
      <c r="K14" s="77"/>
      <c r="L14" s="77"/>
      <c r="M14" s="86"/>
      <c r="T14" s="1" t="s">
        <v>93</v>
      </c>
      <c r="U14" s="1">
        <v>566700</v>
      </c>
    </row>
    <row r="15" spans="2:21" ht="22.5" customHeight="1" x14ac:dyDescent="0.2">
      <c r="B15" s="468" t="s">
        <v>9</v>
      </c>
      <c r="C15" s="469"/>
      <c r="D15" s="11">
        <v>40092</v>
      </c>
      <c r="E15" s="10"/>
      <c r="F15" s="10"/>
      <c r="G15" s="221" t="s">
        <v>308</v>
      </c>
      <c r="H15" s="221"/>
      <c r="I15" s="85"/>
      <c r="J15" s="77"/>
      <c r="K15" s="77"/>
      <c r="L15" s="77"/>
      <c r="M15" s="86"/>
      <c r="T15" s="1" t="s">
        <v>10</v>
      </c>
      <c r="U15" s="1">
        <v>589500</v>
      </c>
    </row>
    <row r="16" spans="2:21" ht="35.25" customHeight="1" x14ac:dyDescent="0.2">
      <c r="B16" s="468" t="s">
        <v>11</v>
      </c>
      <c r="C16" s="469"/>
      <c r="D16" s="11">
        <v>40156</v>
      </c>
      <c r="E16" s="474"/>
      <c r="F16" s="474"/>
      <c r="G16" s="93"/>
      <c r="H16" s="68"/>
      <c r="I16" s="85"/>
      <c r="J16" s="77"/>
      <c r="K16" s="77"/>
      <c r="L16" s="77"/>
      <c r="M16" s="86"/>
      <c r="T16" s="1"/>
      <c r="U16" s="1"/>
    </row>
    <row r="17" spans="1:21" ht="33" customHeight="1" x14ac:dyDescent="0.2">
      <c r="B17" s="468" t="s">
        <v>13</v>
      </c>
      <c r="C17" s="469"/>
      <c r="D17" s="7" t="s">
        <v>94</v>
      </c>
      <c r="E17" s="8"/>
      <c r="F17" s="77"/>
      <c r="G17" s="77"/>
      <c r="H17" s="68"/>
      <c r="I17" s="54"/>
      <c r="J17" s="77"/>
      <c r="K17" s="77"/>
      <c r="L17" s="77"/>
      <c r="M17" s="86"/>
      <c r="T17" s="1"/>
      <c r="U17" s="1"/>
    </row>
    <row r="18" spans="1:21" ht="26.25" customHeight="1" x14ac:dyDescent="0.2">
      <c r="B18" s="468" t="s">
        <v>16</v>
      </c>
      <c r="C18" s="469"/>
      <c r="D18" s="11">
        <v>40247</v>
      </c>
      <c r="E18" s="8"/>
      <c r="F18" s="8"/>
      <c r="G18" s="8"/>
      <c r="H18" s="68"/>
      <c r="I18" s="85"/>
      <c r="J18" s="77"/>
      <c r="K18" s="77"/>
      <c r="L18" s="77"/>
      <c r="M18" s="86"/>
      <c r="T18" s="1"/>
      <c r="U18" s="1"/>
    </row>
    <row r="19" spans="1:21" ht="15" customHeight="1" thickBot="1" x14ac:dyDescent="0.25">
      <c r="B19" s="94"/>
      <c r="C19" s="95"/>
      <c r="D19" s="61"/>
      <c r="E19" s="61"/>
      <c r="F19" s="61"/>
      <c r="G19" s="61"/>
      <c r="H19" s="68"/>
      <c r="I19" s="85"/>
      <c r="J19" s="77"/>
      <c r="K19" s="77"/>
      <c r="L19" s="77"/>
      <c r="M19" s="154"/>
    </row>
    <row r="20" spans="1:21" ht="15" customHeight="1" thickBot="1" x14ac:dyDescent="0.25">
      <c r="A20" s="86"/>
      <c r="B20" s="475" t="s">
        <v>19</v>
      </c>
      <c r="C20" s="475" t="s">
        <v>95</v>
      </c>
      <c r="D20" s="475" t="s">
        <v>20</v>
      </c>
      <c r="E20" s="476" t="s">
        <v>1</v>
      </c>
      <c r="F20" s="476" t="s">
        <v>21</v>
      </c>
      <c r="G20" s="476" t="s">
        <v>22</v>
      </c>
      <c r="H20" s="476" t="s">
        <v>23</v>
      </c>
      <c r="I20" s="476"/>
      <c r="J20" s="444" t="s">
        <v>311</v>
      </c>
      <c r="K20" s="444" t="s">
        <v>322</v>
      </c>
      <c r="L20" s="457" t="s">
        <v>310</v>
      </c>
      <c r="M20" s="447" t="s">
        <v>181</v>
      </c>
      <c r="R20" s="439" t="s">
        <v>25</v>
      </c>
      <c r="S20" s="439" t="s">
        <v>26</v>
      </c>
    </row>
    <row r="21" spans="1:21" ht="37.5" customHeight="1" thickBot="1" x14ac:dyDescent="0.25">
      <c r="A21" s="86"/>
      <c r="B21" s="475"/>
      <c r="C21" s="475"/>
      <c r="D21" s="475"/>
      <c r="E21" s="476"/>
      <c r="F21" s="476"/>
      <c r="G21" s="476"/>
      <c r="H21" s="345" t="s">
        <v>28</v>
      </c>
      <c r="I21" s="345" t="s">
        <v>96</v>
      </c>
      <c r="J21" s="445"/>
      <c r="K21" s="445"/>
      <c r="L21" s="458"/>
      <c r="M21" s="448"/>
      <c r="N21" s="96" t="s">
        <v>97</v>
      </c>
      <c r="O21" s="96" t="s">
        <v>98</v>
      </c>
      <c r="P21" s="96" t="s">
        <v>99</v>
      </c>
      <c r="R21" s="439"/>
      <c r="S21" s="439"/>
    </row>
    <row r="22" spans="1:21" ht="162" customHeight="1" x14ac:dyDescent="0.2">
      <c r="A22" s="77"/>
      <c r="B22" s="417" t="s">
        <v>100</v>
      </c>
      <c r="C22" s="418"/>
      <c r="D22" s="406" t="s">
        <v>36</v>
      </c>
      <c r="E22" s="407" t="s">
        <v>344</v>
      </c>
      <c r="F22" s="408" t="s">
        <v>345</v>
      </c>
      <c r="G22" s="409">
        <v>1</v>
      </c>
      <c r="H22" s="410">
        <v>45338</v>
      </c>
      <c r="I22" s="411">
        <v>45632</v>
      </c>
      <c r="J22" s="104">
        <f>290/360</f>
        <v>0.80555555555555558</v>
      </c>
      <c r="K22" s="32">
        <f>J22</f>
        <v>0.80555555555555558</v>
      </c>
      <c r="L22" s="32">
        <f>J22</f>
        <v>0.80555555555555558</v>
      </c>
      <c r="M22" s="47" t="s">
        <v>314</v>
      </c>
      <c r="N22" s="403"/>
      <c r="O22" s="403"/>
      <c r="P22" s="403"/>
      <c r="R22" s="45"/>
      <c r="S22" s="45"/>
    </row>
    <row r="23" spans="1:21" ht="96.6" customHeight="1" x14ac:dyDescent="0.2">
      <c r="A23" s="77"/>
      <c r="B23" s="97" t="s">
        <v>100</v>
      </c>
      <c r="C23" s="98" t="s">
        <v>4</v>
      </c>
      <c r="D23" s="99" t="s">
        <v>36</v>
      </c>
      <c r="E23" s="100" t="s">
        <v>86</v>
      </c>
      <c r="F23" s="98" t="s">
        <v>85</v>
      </c>
      <c r="G23" s="101">
        <v>0.75</v>
      </c>
      <c r="H23" s="102">
        <v>45068</v>
      </c>
      <c r="I23" s="103">
        <v>45275</v>
      </c>
      <c r="J23" s="104">
        <f>203/360</f>
        <v>0.56388888888888888</v>
      </c>
      <c r="K23" s="32">
        <f t="shared" ref="K23:L29" si="0">J23</f>
        <v>0.56388888888888888</v>
      </c>
      <c r="L23" s="32">
        <f t="shared" si="0"/>
        <v>0.56388888888888888</v>
      </c>
      <c r="M23" s="47" t="s">
        <v>314</v>
      </c>
      <c r="N23" s="96"/>
      <c r="O23" s="96"/>
      <c r="P23" s="96"/>
      <c r="R23" s="22">
        <f>DAYS360(H23,I23,FALSE)</f>
        <v>203</v>
      </c>
      <c r="S23" s="23">
        <f>+R23/30</f>
        <v>6.7666666666666666</v>
      </c>
    </row>
    <row r="24" spans="1:21" ht="116.25" customHeight="1" x14ac:dyDescent="0.2">
      <c r="A24" s="77"/>
      <c r="B24" s="97" t="s">
        <v>101</v>
      </c>
      <c r="C24" s="106" t="s">
        <v>4</v>
      </c>
      <c r="D24" s="99" t="s">
        <v>36</v>
      </c>
      <c r="E24" s="107" t="s">
        <v>72</v>
      </c>
      <c r="F24" s="108" t="s">
        <v>81</v>
      </c>
      <c r="G24" s="109" t="s">
        <v>34</v>
      </c>
      <c r="H24" s="39">
        <v>44809</v>
      </c>
      <c r="I24" s="40">
        <v>45067</v>
      </c>
      <c r="J24" s="110">
        <f>(165+57)/360</f>
        <v>0.6166666666666667</v>
      </c>
      <c r="K24" s="32">
        <f t="shared" si="0"/>
        <v>0.6166666666666667</v>
      </c>
      <c r="L24" s="32">
        <f t="shared" si="0"/>
        <v>0.6166666666666667</v>
      </c>
      <c r="M24" s="348" t="s">
        <v>358</v>
      </c>
      <c r="N24" s="96"/>
      <c r="O24" s="96"/>
      <c r="P24" s="96"/>
      <c r="R24" s="22">
        <f>DAYS360(H24,I24,FALSE)</f>
        <v>256</v>
      </c>
      <c r="S24" s="23">
        <f>+R24/30</f>
        <v>8.5333333333333332</v>
      </c>
    </row>
    <row r="25" spans="1:21" ht="118.5" customHeight="1" x14ac:dyDescent="0.2">
      <c r="B25" s="97" t="s">
        <v>100</v>
      </c>
      <c r="C25" s="106" t="s">
        <v>4</v>
      </c>
      <c r="D25" s="99" t="s">
        <v>36</v>
      </c>
      <c r="E25" s="107" t="s">
        <v>72</v>
      </c>
      <c r="F25" s="108" t="s">
        <v>73</v>
      </c>
      <c r="G25" s="109">
        <v>1</v>
      </c>
      <c r="H25" s="112">
        <v>44609</v>
      </c>
      <c r="I25" s="113">
        <v>44806</v>
      </c>
      <c r="J25" s="110">
        <f>185/360</f>
        <v>0.51388888888888884</v>
      </c>
      <c r="K25" s="32">
        <f t="shared" si="0"/>
        <v>0.51388888888888884</v>
      </c>
      <c r="L25" s="32">
        <f t="shared" si="0"/>
        <v>0.51388888888888884</v>
      </c>
      <c r="M25" s="41" t="s">
        <v>314</v>
      </c>
      <c r="N25" s="96"/>
      <c r="O25" s="96"/>
      <c r="P25" s="96"/>
      <c r="R25" s="18"/>
      <c r="S25" s="18"/>
    </row>
    <row r="26" spans="1:21" ht="118.5" customHeight="1" x14ac:dyDescent="0.2">
      <c r="B26" s="97" t="s">
        <v>100</v>
      </c>
      <c r="C26" s="106" t="s">
        <v>102</v>
      </c>
      <c r="D26" s="99" t="s">
        <v>0</v>
      </c>
      <c r="E26" s="107" t="s">
        <v>103</v>
      </c>
      <c r="F26" s="108" t="s">
        <v>83</v>
      </c>
      <c r="G26" s="109" t="s">
        <v>34</v>
      </c>
      <c r="H26" s="112">
        <v>44364</v>
      </c>
      <c r="I26" s="113">
        <v>44536</v>
      </c>
      <c r="J26" s="110">
        <f>169/360</f>
        <v>0.46944444444444444</v>
      </c>
      <c r="K26" s="32">
        <f t="shared" si="0"/>
        <v>0.46944444444444444</v>
      </c>
      <c r="L26" s="32">
        <f t="shared" si="0"/>
        <v>0.46944444444444444</v>
      </c>
      <c r="M26" s="41" t="s">
        <v>314</v>
      </c>
      <c r="N26" s="96"/>
      <c r="O26" s="96"/>
      <c r="P26" s="96"/>
      <c r="R26" s="22">
        <f>DAYS360(H26,I26,FALSE)</f>
        <v>169</v>
      </c>
      <c r="S26" s="23">
        <f>+R26/30</f>
        <v>5.6333333333333337</v>
      </c>
    </row>
    <row r="27" spans="1:21" ht="127.5" customHeight="1" x14ac:dyDescent="0.2">
      <c r="B27" s="114" t="s">
        <v>100</v>
      </c>
      <c r="C27" s="115" t="s">
        <v>4</v>
      </c>
      <c r="D27" s="46" t="s">
        <v>0</v>
      </c>
      <c r="E27" s="116" t="s">
        <v>104</v>
      </c>
      <c r="F27" s="117" t="s">
        <v>75</v>
      </c>
      <c r="G27" s="20">
        <v>1</v>
      </c>
      <c r="H27" s="118">
        <v>43865</v>
      </c>
      <c r="I27" s="119">
        <v>44348</v>
      </c>
      <c r="J27" s="120">
        <f>367/360</f>
        <v>1.0194444444444444</v>
      </c>
      <c r="K27" s="32">
        <f t="shared" si="0"/>
        <v>1.0194444444444444</v>
      </c>
      <c r="L27" s="32">
        <f t="shared" si="0"/>
        <v>1.0194444444444444</v>
      </c>
      <c r="M27" s="42" t="s">
        <v>314</v>
      </c>
      <c r="N27" s="12">
        <f>YEARFRAC(H27,I27,30/360)</f>
        <v>1.325</v>
      </c>
      <c r="O27" s="78">
        <f>+J27</f>
        <v>1.0194444444444444</v>
      </c>
      <c r="P27" s="78">
        <f>_xlfn.DAYS(I27,H27)</f>
        <v>483</v>
      </c>
      <c r="Q27" s="121">
        <f>+P27/30</f>
        <v>16.100000000000001</v>
      </c>
      <c r="R27" s="23">
        <v>367</v>
      </c>
      <c r="S27" s="23">
        <f>+R27/30</f>
        <v>12.233333333333333</v>
      </c>
    </row>
    <row r="28" spans="1:21" ht="122.45" customHeight="1" x14ac:dyDescent="0.2">
      <c r="B28" s="114" t="s">
        <v>100</v>
      </c>
      <c r="C28" s="115" t="s">
        <v>105</v>
      </c>
      <c r="D28" s="115" t="s">
        <v>0</v>
      </c>
      <c r="E28" s="116" t="s">
        <v>106</v>
      </c>
      <c r="F28" s="122" t="s">
        <v>107</v>
      </c>
      <c r="G28" s="20">
        <v>1</v>
      </c>
      <c r="H28" s="118">
        <v>43686</v>
      </c>
      <c r="I28" s="119">
        <v>43798</v>
      </c>
      <c r="J28" s="120">
        <f>101/360</f>
        <v>0.28055555555555556</v>
      </c>
      <c r="K28" s="32">
        <f t="shared" si="0"/>
        <v>0.28055555555555556</v>
      </c>
      <c r="L28" s="32">
        <f t="shared" si="0"/>
        <v>0.28055555555555556</v>
      </c>
      <c r="M28" s="42" t="s">
        <v>314</v>
      </c>
      <c r="N28" s="78">
        <f>+_xlfn.DAYS(I28,H28)</f>
        <v>112</v>
      </c>
      <c r="O28" s="121">
        <f>+N28/30</f>
        <v>3.7333333333333334</v>
      </c>
      <c r="P28" s="121">
        <f>+J28</f>
        <v>0.28055555555555556</v>
      </c>
      <c r="R28" s="23">
        <f>3*30+11</f>
        <v>101</v>
      </c>
      <c r="S28" s="23">
        <f>+R28/30</f>
        <v>3.3666666666666667</v>
      </c>
    </row>
    <row r="29" spans="1:21" ht="112.9" customHeight="1" x14ac:dyDescent="0.2">
      <c r="B29" s="114" t="s">
        <v>100</v>
      </c>
      <c r="C29" s="115" t="s">
        <v>105</v>
      </c>
      <c r="D29" s="115" t="s">
        <v>0</v>
      </c>
      <c r="E29" s="116" t="s">
        <v>108</v>
      </c>
      <c r="F29" s="122" t="s">
        <v>41</v>
      </c>
      <c r="G29" s="20">
        <v>1</v>
      </c>
      <c r="H29" s="118">
        <v>43222</v>
      </c>
      <c r="I29" s="119">
        <v>43619</v>
      </c>
      <c r="J29" s="120">
        <f>307/360</f>
        <v>0.85277777777777775</v>
      </c>
      <c r="K29" s="32">
        <f t="shared" si="0"/>
        <v>0.85277777777777775</v>
      </c>
      <c r="L29" s="32">
        <f t="shared" si="0"/>
        <v>0.85277777777777775</v>
      </c>
      <c r="M29" s="42" t="s">
        <v>363</v>
      </c>
      <c r="N29" s="78">
        <f>+_xlfn.DAYS(I29,H29)</f>
        <v>397</v>
      </c>
      <c r="O29" s="121">
        <f>+N29/30</f>
        <v>13.233333333333333</v>
      </c>
      <c r="P29" s="121">
        <f>+J29</f>
        <v>0.85277777777777775</v>
      </c>
      <c r="R29" s="23">
        <f>(10*30)+7</f>
        <v>307</v>
      </c>
      <c r="S29" s="23">
        <f>+R29/30</f>
        <v>10.233333333333333</v>
      </c>
    </row>
    <row r="30" spans="1:21" ht="83.25" customHeight="1" x14ac:dyDescent="0.2">
      <c r="B30" s="114" t="s">
        <v>109</v>
      </c>
      <c r="C30" s="115" t="s">
        <v>110</v>
      </c>
      <c r="D30" s="46" t="s">
        <v>0</v>
      </c>
      <c r="E30" s="116" t="s">
        <v>111</v>
      </c>
      <c r="F30" s="122" t="s">
        <v>112</v>
      </c>
      <c r="G30" s="20">
        <v>1</v>
      </c>
      <c r="H30" s="118">
        <v>42583</v>
      </c>
      <c r="I30" s="119">
        <v>42916</v>
      </c>
      <c r="J30" s="120">
        <f>249/360</f>
        <v>0.69166666666666665</v>
      </c>
      <c r="K30" s="32">
        <f t="shared" ref="K30:K37" si="1">J30</f>
        <v>0.69166666666666665</v>
      </c>
      <c r="L30" s="32">
        <v>0</v>
      </c>
      <c r="M30" s="42" t="s">
        <v>359</v>
      </c>
      <c r="N30" s="78">
        <f>+_xlfn.DAYS(I30,H30)</f>
        <v>333</v>
      </c>
      <c r="O30" s="121">
        <f>+N30/30</f>
        <v>11.1</v>
      </c>
      <c r="P30" s="121"/>
      <c r="R30" s="23">
        <f>10*30</f>
        <v>300</v>
      </c>
      <c r="S30" s="23">
        <f>+R30/30</f>
        <v>10</v>
      </c>
    </row>
    <row r="31" spans="1:21" ht="95.25" customHeight="1" x14ac:dyDescent="0.2">
      <c r="B31" s="123" t="s">
        <v>100</v>
      </c>
      <c r="C31" s="124" t="s">
        <v>113</v>
      </c>
      <c r="D31" s="125" t="s">
        <v>114</v>
      </c>
      <c r="E31" s="126" t="s">
        <v>115</v>
      </c>
      <c r="F31" s="127" t="s">
        <v>116</v>
      </c>
      <c r="G31" s="14" t="s">
        <v>34</v>
      </c>
      <c r="H31" s="128">
        <v>42403</v>
      </c>
      <c r="I31" s="40">
        <v>42575</v>
      </c>
      <c r="J31" s="32">
        <f>156/360</f>
        <v>0.43333333333333335</v>
      </c>
      <c r="K31" s="32">
        <f t="shared" si="1"/>
        <v>0.43333333333333335</v>
      </c>
      <c r="L31" s="32">
        <v>0</v>
      </c>
      <c r="M31" s="42" t="s">
        <v>326</v>
      </c>
      <c r="O31" s="121"/>
      <c r="P31" s="121"/>
    </row>
    <row r="32" spans="1:21" ht="108.75" customHeight="1" x14ac:dyDescent="0.2">
      <c r="B32" s="114" t="s">
        <v>117</v>
      </c>
      <c r="C32" s="115" t="s">
        <v>118</v>
      </c>
      <c r="D32" s="115" t="s">
        <v>119</v>
      </c>
      <c r="E32" s="116" t="s">
        <v>120</v>
      </c>
      <c r="F32" s="122">
        <v>2015217</v>
      </c>
      <c r="G32" s="20">
        <v>1</v>
      </c>
      <c r="H32" s="118">
        <v>42037</v>
      </c>
      <c r="I32" s="119">
        <v>42338</v>
      </c>
      <c r="J32" s="120">
        <f>298/360</f>
        <v>0.82777777777777772</v>
      </c>
      <c r="K32" s="32">
        <f t="shared" si="1"/>
        <v>0.82777777777777772</v>
      </c>
      <c r="L32" s="32">
        <v>0</v>
      </c>
      <c r="M32" s="42" t="s">
        <v>325</v>
      </c>
      <c r="N32" s="78">
        <f>+_xlfn.DAYS(I32,H32)</f>
        <v>301</v>
      </c>
      <c r="O32" s="121">
        <f>+N32/30</f>
        <v>10.033333333333333</v>
      </c>
      <c r="P32" s="121"/>
      <c r="R32" s="129">
        <f>DAYS360(H32,I32)</f>
        <v>298</v>
      </c>
      <c r="S32" s="23">
        <f>+R32/30</f>
        <v>9.9333333333333336</v>
      </c>
    </row>
    <row r="33" spans="1:19" ht="72.599999999999994" customHeight="1" x14ac:dyDescent="0.2">
      <c r="A33" s="86"/>
      <c r="B33" s="123" t="s">
        <v>100</v>
      </c>
      <c r="C33" s="125" t="s">
        <v>121</v>
      </c>
      <c r="D33" s="125" t="s">
        <v>114</v>
      </c>
      <c r="E33" s="130" t="s">
        <v>122</v>
      </c>
      <c r="F33" s="127" t="s">
        <v>123</v>
      </c>
      <c r="G33" s="14" t="s">
        <v>34</v>
      </c>
      <c r="H33" s="128">
        <v>41470</v>
      </c>
      <c r="I33" s="40">
        <v>41864</v>
      </c>
      <c r="J33" s="32">
        <f>364/360</f>
        <v>1.0111111111111111</v>
      </c>
      <c r="K33" s="32">
        <f t="shared" si="1"/>
        <v>1.0111111111111111</v>
      </c>
      <c r="L33" s="32">
        <v>0</v>
      </c>
      <c r="M33" s="42" t="s">
        <v>324</v>
      </c>
      <c r="O33" s="121"/>
      <c r="P33" s="121"/>
      <c r="R33" s="129"/>
    </row>
    <row r="34" spans="1:19" ht="176.45" customHeight="1" x14ac:dyDescent="0.2">
      <c r="A34" s="86"/>
      <c r="B34" s="114" t="s">
        <v>124</v>
      </c>
      <c r="C34" s="115" t="s">
        <v>90</v>
      </c>
      <c r="D34" s="115" t="s">
        <v>125</v>
      </c>
      <c r="E34" s="116" t="s">
        <v>126</v>
      </c>
      <c r="F34" s="122" t="s">
        <v>127</v>
      </c>
      <c r="G34" s="20">
        <v>1</v>
      </c>
      <c r="H34" s="118">
        <v>41349</v>
      </c>
      <c r="I34" s="119">
        <v>41417</v>
      </c>
      <c r="J34" s="120">
        <f>69/360</f>
        <v>0.19166666666666668</v>
      </c>
      <c r="K34" s="32">
        <f t="shared" si="1"/>
        <v>0.19166666666666668</v>
      </c>
      <c r="L34" s="32">
        <v>0</v>
      </c>
      <c r="M34" s="42" t="s">
        <v>314</v>
      </c>
      <c r="N34" s="78">
        <f>+_xlfn.DAYS(I34,H34)</f>
        <v>68</v>
      </c>
      <c r="O34" s="121">
        <f>+N34/30</f>
        <v>2.2666666666666666</v>
      </c>
      <c r="P34" s="121"/>
      <c r="R34" s="23">
        <v>69</v>
      </c>
      <c r="S34" s="23">
        <f>+R34/30</f>
        <v>2.2999999999999998</v>
      </c>
    </row>
    <row r="35" spans="1:19" s="134" customFormat="1" ht="84.75" customHeight="1" x14ac:dyDescent="0.2">
      <c r="A35" s="131"/>
      <c r="B35" s="123" t="s">
        <v>100</v>
      </c>
      <c r="C35" s="125" t="s">
        <v>121</v>
      </c>
      <c r="D35" s="125" t="s">
        <v>114</v>
      </c>
      <c r="E35" s="126" t="s">
        <v>128</v>
      </c>
      <c r="F35" s="127" t="s">
        <v>129</v>
      </c>
      <c r="G35" s="14" t="s">
        <v>34</v>
      </c>
      <c r="H35" s="128">
        <v>41130</v>
      </c>
      <c r="I35" s="31">
        <v>41316</v>
      </c>
      <c r="J35" s="32">
        <f>(150+27)/360</f>
        <v>0.49166666666666664</v>
      </c>
      <c r="K35" s="32">
        <f t="shared" si="1"/>
        <v>0.49166666666666664</v>
      </c>
      <c r="L35" s="32">
        <v>0</v>
      </c>
      <c r="M35" s="348" t="s">
        <v>327</v>
      </c>
      <c r="N35" s="132"/>
      <c r="O35" s="133"/>
      <c r="P35" s="133"/>
      <c r="R35" s="135"/>
    </row>
    <row r="36" spans="1:19" s="134" customFormat="1" ht="101.45" customHeight="1" x14ac:dyDescent="0.2">
      <c r="A36" s="131"/>
      <c r="B36" s="123" t="s">
        <v>100</v>
      </c>
      <c r="C36" s="125" t="s">
        <v>121</v>
      </c>
      <c r="D36" s="125" t="s">
        <v>130</v>
      </c>
      <c r="E36" s="130" t="s">
        <v>131</v>
      </c>
      <c r="F36" s="127" t="s">
        <v>132</v>
      </c>
      <c r="G36" s="14" t="s">
        <v>34</v>
      </c>
      <c r="H36" s="128">
        <v>41017</v>
      </c>
      <c r="I36" s="31">
        <v>41129</v>
      </c>
      <c r="J36" s="32">
        <f>(90+20)/360</f>
        <v>0.30555555555555558</v>
      </c>
      <c r="K36" s="32">
        <f t="shared" si="1"/>
        <v>0.30555555555555558</v>
      </c>
      <c r="L36" s="32">
        <v>0</v>
      </c>
      <c r="M36" s="42" t="s">
        <v>314</v>
      </c>
      <c r="N36" s="132"/>
      <c r="O36" s="133"/>
      <c r="P36" s="133"/>
      <c r="R36" s="135"/>
    </row>
    <row r="37" spans="1:19" ht="175.5" customHeight="1" x14ac:dyDescent="0.2">
      <c r="A37" s="86"/>
      <c r="B37" s="114" t="s">
        <v>133</v>
      </c>
      <c r="C37" s="115" t="s">
        <v>134</v>
      </c>
      <c r="D37" s="115" t="s">
        <v>0</v>
      </c>
      <c r="E37" s="116" t="s">
        <v>135</v>
      </c>
      <c r="F37" s="122">
        <v>239</v>
      </c>
      <c r="G37" s="20">
        <v>1</v>
      </c>
      <c r="H37" s="118">
        <v>40598</v>
      </c>
      <c r="I37" s="119">
        <v>40862</v>
      </c>
      <c r="J37" s="120">
        <f>240/360</f>
        <v>0.66666666666666663</v>
      </c>
      <c r="K37" s="32">
        <f t="shared" si="1"/>
        <v>0.66666666666666663</v>
      </c>
      <c r="L37" s="32">
        <v>0</v>
      </c>
      <c r="M37" s="44" t="s">
        <v>341</v>
      </c>
      <c r="N37" s="78">
        <f>+_xlfn.DAYS(I37,H37)</f>
        <v>264</v>
      </c>
      <c r="O37" s="121">
        <f>+N37/30</f>
        <v>8.8000000000000007</v>
      </c>
      <c r="P37" s="121">
        <f>+J37</f>
        <v>0.66666666666666663</v>
      </c>
      <c r="R37" s="136">
        <f>8*30</f>
        <v>240</v>
      </c>
      <c r="S37" s="23">
        <f>+R37/30</f>
        <v>8</v>
      </c>
    </row>
    <row r="38" spans="1:19" ht="75.75" customHeight="1" x14ac:dyDescent="0.2">
      <c r="A38" s="86"/>
      <c r="B38" s="114" t="s">
        <v>136</v>
      </c>
      <c r="C38" s="115" t="s">
        <v>90</v>
      </c>
      <c r="D38" s="115" t="s">
        <v>137</v>
      </c>
      <c r="E38" s="116" t="s">
        <v>138</v>
      </c>
      <c r="F38" s="122" t="s">
        <v>34</v>
      </c>
      <c r="G38" s="137">
        <v>1</v>
      </c>
      <c r="H38" s="118">
        <v>40413</v>
      </c>
      <c r="I38" s="119">
        <v>40592</v>
      </c>
      <c r="J38" s="120">
        <f>(175+127+411)/360</f>
        <v>1.9805555555555556</v>
      </c>
      <c r="K38" s="32">
        <f>J38</f>
        <v>1.9805555555555556</v>
      </c>
      <c r="L38" s="32">
        <v>0</v>
      </c>
      <c r="M38" s="44" t="s">
        <v>360</v>
      </c>
      <c r="N38" s="78">
        <f>+_xlfn.DAYS(I38,H38)</f>
        <v>179</v>
      </c>
      <c r="O38" s="121">
        <f>+N38/30</f>
        <v>5.9666666666666668</v>
      </c>
      <c r="P38" s="138">
        <f>+J38</f>
        <v>1.9805555555555556</v>
      </c>
      <c r="R38" s="129">
        <f>DAYS360(H38,I38)</f>
        <v>175</v>
      </c>
      <c r="S38" s="23">
        <f>+R38/30</f>
        <v>5.833333333333333</v>
      </c>
    </row>
    <row r="39" spans="1:19" ht="59.25" customHeight="1" thickBot="1" x14ac:dyDescent="0.25">
      <c r="A39" s="86"/>
      <c r="B39" s="139" t="s">
        <v>124</v>
      </c>
      <c r="C39" s="140" t="s">
        <v>90</v>
      </c>
      <c r="D39" s="140" t="s">
        <v>139</v>
      </c>
      <c r="E39" s="141" t="s">
        <v>140</v>
      </c>
      <c r="F39" s="142" t="s">
        <v>34</v>
      </c>
      <c r="G39" s="143">
        <v>1</v>
      </c>
      <c r="H39" s="144">
        <v>40273</v>
      </c>
      <c r="I39" s="145">
        <v>40408</v>
      </c>
      <c r="J39" s="146">
        <f>(120+13)/360</f>
        <v>0.36944444444444446</v>
      </c>
      <c r="K39" s="32">
        <f>J39</f>
        <v>0.36944444444444446</v>
      </c>
      <c r="L39" s="32">
        <v>0</v>
      </c>
      <c r="M39" s="42" t="s">
        <v>314</v>
      </c>
      <c r="N39" s="78">
        <f>+_xlfn.DAYS(I39,H39)</f>
        <v>135</v>
      </c>
      <c r="O39" s="121">
        <f>+N39/30</f>
        <v>4.5</v>
      </c>
      <c r="P39" s="121"/>
      <c r="R39" s="129">
        <f>DAYS360(H39,I39)</f>
        <v>133</v>
      </c>
      <c r="S39" s="23">
        <f>+R39/30</f>
        <v>4.4333333333333336</v>
      </c>
    </row>
    <row r="40" spans="1:19" ht="32.25" customHeight="1" thickBot="1" x14ac:dyDescent="0.25">
      <c r="A40" s="86"/>
      <c r="B40" s="147"/>
      <c r="D40" s="148"/>
      <c r="E40" s="148"/>
      <c r="F40" s="148"/>
      <c r="G40" s="148"/>
      <c r="H40" s="431" t="s">
        <v>315</v>
      </c>
      <c r="I40" s="432"/>
      <c r="J40" s="433"/>
      <c r="K40" s="343">
        <f>SUM(K22:K39)</f>
        <v>12.091666666666669</v>
      </c>
      <c r="L40" s="340"/>
      <c r="M40" s="400" t="s">
        <v>308</v>
      </c>
      <c r="O40" s="121"/>
      <c r="P40" s="121">
        <f>SUM(P28:P39)</f>
        <v>3.7805555555555554</v>
      </c>
    </row>
    <row r="41" spans="1:19" ht="24" customHeight="1" thickBot="1" x14ac:dyDescent="0.25">
      <c r="B41" s="147"/>
      <c r="D41" s="148"/>
      <c r="E41" s="148"/>
      <c r="F41" s="148"/>
      <c r="G41" s="148"/>
      <c r="H41" s="55"/>
      <c r="I41" s="429" t="s">
        <v>316</v>
      </c>
      <c r="J41" s="429"/>
      <c r="K41" s="430"/>
      <c r="L41" s="344">
        <f>SUM(L22:L40)</f>
        <v>5.1222222222222227</v>
      </c>
      <c r="M41" s="391" t="s">
        <v>308</v>
      </c>
      <c r="O41" s="121"/>
      <c r="P41" s="121"/>
    </row>
    <row r="42" spans="1:19" ht="16.5" customHeight="1" x14ac:dyDescent="0.2">
      <c r="B42" s="147"/>
      <c r="D42" s="55" t="s">
        <v>317</v>
      </c>
      <c r="E42" s="148"/>
      <c r="F42" s="148"/>
      <c r="G42" s="148"/>
      <c r="H42" s="96"/>
      <c r="L42" s="86"/>
      <c r="M42" s="77"/>
      <c r="O42" s="121"/>
      <c r="P42" s="121"/>
    </row>
    <row r="43" spans="1:19" ht="16.5" customHeight="1" x14ac:dyDescent="0.2">
      <c r="B43" s="147"/>
      <c r="D43" s="71" t="s">
        <v>318</v>
      </c>
      <c r="E43" s="148"/>
      <c r="F43" s="148"/>
      <c r="G43" s="148"/>
      <c r="H43" s="96"/>
      <c r="L43" s="86"/>
      <c r="M43" s="77"/>
      <c r="O43" s="121"/>
      <c r="P43" s="121"/>
    </row>
    <row r="44" spans="1:19" ht="16.5" customHeight="1" x14ac:dyDescent="0.2">
      <c r="B44" s="147"/>
      <c r="L44" s="86"/>
      <c r="M44" s="77"/>
      <c r="N44" s="149" t="e">
        <f>+#REF!/12</f>
        <v>#REF!</v>
      </c>
      <c r="O44" s="121"/>
      <c r="P44" s="121"/>
    </row>
    <row r="45" spans="1:19" ht="6" customHeight="1" thickBot="1" x14ac:dyDescent="0.25">
      <c r="B45" s="153"/>
      <c r="C45" s="76"/>
      <c r="D45" s="76"/>
      <c r="E45" s="76"/>
      <c r="F45" s="76"/>
      <c r="G45" s="76"/>
      <c r="H45" s="75"/>
      <c r="I45" s="75"/>
      <c r="J45" s="76"/>
      <c r="K45" s="76"/>
      <c r="L45" s="154"/>
      <c r="M45" s="77"/>
      <c r="O45" s="121"/>
    </row>
    <row r="46" spans="1:19" ht="6.75" customHeight="1" x14ac:dyDescent="0.2">
      <c r="O46" s="121"/>
    </row>
  </sheetData>
  <mergeCells count="33">
    <mergeCell ref="I41:K41"/>
    <mergeCell ref="S20:S21"/>
    <mergeCell ref="G20:G21"/>
    <mergeCell ref="H20:I20"/>
    <mergeCell ref="J20:J21"/>
    <mergeCell ref="K20:K21"/>
    <mergeCell ref="L20:L21"/>
    <mergeCell ref="R20:R21"/>
    <mergeCell ref="B2:H2"/>
    <mergeCell ref="B3:L3"/>
    <mergeCell ref="B17:C17"/>
    <mergeCell ref="B7:C7"/>
    <mergeCell ref="D7:E7"/>
    <mergeCell ref="B9:C9"/>
    <mergeCell ref="B10:C10"/>
    <mergeCell ref="B12:C12"/>
    <mergeCell ref="D9:M9"/>
    <mergeCell ref="B13:C13"/>
    <mergeCell ref="B14:C14"/>
    <mergeCell ref="B15:C15"/>
    <mergeCell ref="B16:C16"/>
    <mergeCell ref="E16:F16"/>
    <mergeCell ref="B4:N4"/>
    <mergeCell ref="G12:H12"/>
    <mergeCell ref="I12:K12"/>
    <mergeCell ref="M20:M21"/>
    <mergeCell ref="H40:J40"/>
    <mergeCell ref="B18:C18"/>
    <mergeCell ref="B20:B21"/>
    <mergeCell ref="C20:C21"/>
    <mergeCell ref="D20:D21"/>
    <mergeCell ref="E20:E21"/>
    <mergeCell ref="F20:F21"/>
  </mergeCells>
  <printOptions horizontalCentered="1"/>
  <pageMargins left="0" right="0" top="0.98425196850393704" bottom="0.74803149606299213" header="0" footer="0.47244094488188981"/>
  <pageSetup scale="50" orientation="portrait" r:id="rId1"/>
  <headerFooter>
    <oddFooter>&amp;C&amp;14&amp;P Pág de &amp;N</oddFooter>
  </headerFooter>
  <rowBreaks count="1" manualBreakCount="1">
    <brk id="30" max="12" man="1"/>
  </rowBreaks>
  <ignoredErrors>
    <ignoredError sqref="J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8"/>
  <sheetViews>
    <sheetView view="pageBreakPreview" zoomScaleNormal="100" zoomScaleSheetLayoutView="100" workbookViewId="0">
      <selection activeCell="E7" sqref="E7:F7"/>
    </sheetView>
  </sheetViews>
  <sheetFormatPr baseColWidth="10" defaultColWidth="11.5703125" defaultRowHeight="12.75" x14ac:dyDescent="0.2"/>
  <cols>
    <col min="1" max="1" width="2" style="155" customWidth="1"/>
    <col min="2" max="2" width="17.85546875" style="155" customWidth="1"/>
    <col min="3" max="3" width="16.140625" style="155" hidden="1" customWidth="1"/>
    <col min="4" max="4" width="16.85546875" style="155" customWidth="1"/>
    <col min="5" max="5" width="44.7109375" style="155" customWidth="1"/>
    <col min="6" max="6" width="11.42578125" style="155" customWidth="1"/>
    <col min="7" max="7" width="13.28515625" style="155" customWidth="1"/>
    <col min="8" max="8" width="12.7109375" style="155" customWidth="1"/>
    <col min="9" max="9" width="15.85546875" style="155" customWidth="1"/>
    <col min="10" max="10" width="12.7109375" style="155" customWidth="1"/>
    <col min="11" max="11" width="18.7109375" style="155" customWidth="1"/>
    <col min="12" max="12" width="18.42578125" style="155" customWidth="1"/>
    <col min="13" max="13" width="25.42578125" style="155" customWidth="1"/>
    <col min="14" max="14" width="3.5703125" style="155" customWidth="1"/>
    <col min="15" max="15" width="5.28515625" style="156" customWidth="1"/>
    <col min="16" max="16" width="2.5703125" style="156" customWidth="1"/>
    <col min="17" max="17" width="5.140625" style="156" customWidth="1"/>
    <col min="18" max="18" width="2.5703125" style="155" customWidth="1"/>
    <col min="19" max="20" width="11.5703125" style="155"/>
    <col min="21" max="21" width="22.5703125" style="155" customWidth="1"/>
    <col min="22" max="16384" width="11.5703125" style="155"/>
  </cols>
  <sheetData>
    <row r="1" spans="2:27" ht="7.5" customHeight="1" x14ac:dyDescent="0.2">
      <c r="B1" s="492"/>
      <c r="C1" s="493"/>
      <c r="D1" s="493"/>
      <c r="E1" s="493"/>
      <c r="F1" s="493"/>
      <c r="G1" s="493"/>
      <c r="H1" s="493"/>
      <c r="I1" s="199"/>
      <c r="J1" s="199"/>
      <c r="K1" s="199"/>
      <c r="L1" s="199"/>
      <c r="M1" s="198"/>
    </row>
    <row r="2" spans="2:27" x14ac:dyDescent="0.2">
      <c r="B2" s="494"/>
      <c r="C2" s="495"/>
      <c r="D2" s="495"/>
      <c r="E2" s="495"/>
      <c r="F2" s="495"/>
      <c r="G2" s="495"/>
      <c r="H2" s="495"/>
      <c r="I2" s="495"/>
      <c r="J2" s="495"/>
      <c r="K2" s="495"/>
      <c r="L2" s="495"/>
      <c r="M2" s="197"/>
    </row>
    <row r="3" spans="2:27" ht="23.25" customHeight="1" x14ac:dyDescent="0.2">
      <c r="B3" s="496" t="str">
        <f>' PROP 1 - Coord. Operativo Intv'!B4:M4</f>
        <v>ANEXO DE EVALUACIÓN Y VERIFICACIÓN TÉCNICA DEFINITIVA - EDELMIRA SIERRA</v>
      </c>
      <c r="C3" s="497"/>
      <c r="D3" s="497"/>
      <c r="E3" s="497"/>
      <c r="F3" s="497"/>
      <c r="G3" s="497"/>
      <c r="H3" s="497"/>
      <c r="I3" s="497"/>
      <c r="J3" s="497"/>
      <c r="K3" s="497"/>
      <c r="L3" s="497"/>
      <c r="M3" s="498"/>
    </row>
    <row r="4" spans="2:27" ht="6.75" customHeight="1" x14ac:dyDescent="0.2">
      <c r="B4" s="165"/>
      <c r="C4" s="196"/>
      <c r="D4" s="196"/>
      <c r="E4" s="196"/>
      <c r="F4" s="195"/>
      <c r="G4" s="195"/>
      <c r="H4" s="195"/>
      <c r="I4" s="162"/>
      <c r="J4" s="162"/>
      <c r="K4" s="162"/>
      <c r="L4" s="162"/>
      <c r="M4" s="161"/>
    </row>
    <row r="5" spans="2:27" ht="6.75" customHeight="1" x14ac:dyDescent="0.2">
      <c r="B5" s="165"/>
      <c r="C5" s="196"/>
      <c r="D5" s="196"/>
      <c r="E5" s="196"/>
      <c r="F5" s="195"/>
      <c r="G5" s="195"/>
      <c r="H5" s="195"/>
      <c r="I5" s="162"/>
      <c r="J5" s="162"/>
      <c r="K5" s="162"/>
      <c r="L5" s="162"/>
      <c r="M5" s="161"/>
    </row>
    <row r="6" spans="2:27" ht="15" customHeight="1" x14ac:dyDescent="0.2">
      <c r="B6" s="470" t="s">
        <v>88</v>
      </c>
      <c r="C6" s="471"/>
      <c r="D6" s="51" t="s">
        <v>343</v>
      </c>
      <c r="E6" s="192"/>
      <c r="F6" s="192"/>
      <c r="G6" s="192"/>
      <c r="H6" s="192"/>
      <c r="I6" s="192"/>
      <c r="J6" s="192"/>
      <c r="K6" s="192"/>
      <c r="L6" s="192"/>
      <c r="M6" s="191"/>
      <c r="N6" s="162"/>
    </row>
    <row r="7" spans="2:27" ht="24.75" customHeight="1" x14ac:dyDescent="0.2">
      <c r="B7" s="427" t="s">
        <v>377</v>
      </c>
      <c r="C7" s="186"/>
      <c r="D7" s="419">
        <v>45713</v>
      </c>
      <c r="E7" s="425" t="s">
        <v>375</v>
      </c>
      <c r="F7" s="426">
        <v>45719</v>
      </c>
      <c r="G7" s="192"/>
      <c r="H7" s="192"/>
      <c r="I7" s="192"/>
      <c r="J7" s="192"/>
      <c r="K7" s="192"/>
      <c r="L7" s="192"/>
      <c r="M7" s="191"/>
      <c r="N7" s="162"/>
    </row>
    <row r="8" spans="2:27" ht="42.75" customHeight="1" x14ac:dyDescent="0.2">
      <c r="B8" s="499" t="s">
        <v>1</v>
      </c>
      <c r="C8" s="500"/>
      <c r="D8" s="490" t="s">
        <v>84</v>
      </c>
      <c r="E8" s="490"/>
      <c r="F8" s="490"/>
      <c r="G8" s="490"/>
      <c r="H8" s="490"/>
      <c r="I8" s="490"/>
      <c r="J8" s="490"/>
      <c r="K8" s="490"/>
      <c r="L8" s="490"/>
      <c r="M8" s="491"/>
      <c r="N8" s="67"/>
      <c r="S8" s="485"/>
      <c r="T8" s="485"/>
      <c r="U8" s="485"/>
      <c r="V8" s="485"/>
      <c r="W8" s="485"/>
      <c r="X8" s="485"/>
      <c r="Y8" s="485"/>
      <c r="Z8" s="485"/>
      <c r="AA8" s="486"/>
    </row>
    <row r="9" spans="2:27" s="189" customFormat="1" ht="15" customHeight="1" x14ac:dyDescent="0.25">
      <c r="B9" s="477" t="s">
        <v>2</v>
      </c>
      <c r="C9" s="478"/>
      <c r="D9" s="192" t="str">
        <f>+[15]DATOS!B7</f>
        <v>EDELMIRA SIERRA GUTIÉRREZ</v>
      </c>
      <c r="E9" s="192"/>
      <c r="F9" s="192"/>
      <c r="G9" s="192"/>
      <c r="H9" s="192"/>
      <c r="I9" s="192"/>
      <c r="J9" s="192"/>
      <c r="K9" s="192"/>
      <c r="L9" s="192"/>
      <c r="M9" s="191"/>
      <c r="O9" s="190"/>
      <c r="P9" s="190"/>
      <c r="Q9" s="190"/>
    </row>
    <row r="10" spans="2:27" ht="6" customHeight="1" x14ac:dyDescent="0.2">
      <c r="B10" s="188"/>
      <c r="C10" s="187"/>
      <c r="D10" s="186"/>
      <c r="E10" s="186"/>
      <c r="F10" s="186"/>
      <c r="G10" s="186"/>
      <c r="H10" s="186"/>
      <c r="I10" s="162"/>
      <c r="J10" s="162"/>
      <c r="K10" s="162"/>
      <c r="L10" s="162"/>
      <c r="M10" s="161"/>
    </row>
    <row r="11" spans="2:27" ht="25.5" customHeight="1" x14ac:dyDescent="0.2">
      <c r="B11" s="477" t="s">
        <v>3</v>
      </c>
      <c r="C11" s="478"/>
      <c r="D11" s="70" t="s">
        <v>162</v>
      </c>
      <c r="E11" s="54"/>
      <c r="F11" s="51"/>
      <c r="G11" s="459" t="s">
        <v>306</v>
      </c>
      <c r="H11" s="459"/>
      <c r="I11" s="463" t="s">
        <v>328</v>
      </c>
      <c r="J11" s="463"/>
      <c r="K11" s="463"/>
      <c r="L11" s="162"/>
      <c r="M11" s="161"/>
      <c r="N11" s="162"/>
    </row>
    <row r="12" spans="2:27" ht="14.25" customHeight="1" x14ac:dyDescent="0.2">
      <c r="B12" s="477" t="s">
        <v>5</v>
      </c>
      <c r="C12" s="478"/>
      <c r="D12" s="70" t="s">
        <v>56</v>
      </c>
      <c r="E12" s="54"/>
      <c r="F12" s="51"/>
      <c r="G12" s="6"/>
      <c r="H12" s="72"/>
      <c r="I12" s="85"/>
      <c r="J12" s="77"/>
      <c r="K12" s="77"/>
      <c r="L12" s="162"/>
      <c r="M12" s="161"/>
      <c r="N12" s="162"/>
    </row>
    <row r="13" spans="2:27" ht="14.25" customHeight="1" x14ac:dyDescent="0.2">
      <c r="B13" s="477" t="s">
        <v>6</v>
      </c>
      <c r="C13" s="478"/>
      <c r="D13" s="70" t="s">
        <v>161</v>
      </c>
      <c r="E13" s="54"/>
      <c r="F13" s="70"/>
      <c r="G13" s="328" t="s">
        <v>308</v>
      </c>
      <c r="H13" s="328" t="s">
        <v>309</v>
      </c>
      <c r="I13" s="85"/>
      <c r="J13" s="77"/>
      <c r="K13" s="77"/>
      <c r="L13" s="162"/>
      <c r="M13" s="161"/>
      <c r="N13" s="162"/>
      <c r="U13" s="184" t="s">
        <v>93</v>
      </c>
      <c r="V13" s="184">
        <v>566700</v>
      </c>
    </row>
    <row r="14" spans="2:27" ht="14.25" customHeight="1" x14ac:dyDescent="0.2">
      <c r="B14" s="477" t="s">
        <v>9</v>
      </c>
      <c r="C14" s="478"/>
      <c r="D14" s="185">
        <v>42607</v>
      </c>
      <c r="E14" s="54"/>
      <c r="F14" s="70"/>
      <c r="G14" s="221" t="s">
        <v>308</v>
      </c>
      <c r="H14" s="321"/>
      <c r="I14" s="51"/>
      <c r="J14" s="54"/>
      <c r="K14" s="54"/>
      <c r="L14" s="162"/>
      <c r="M14" s="161"/>
      <c r="N14" s="162"/>
      <c r="U14" s="184" t="s">
        <v>10</v>
      </c>
      <c r="V14" s="184">
        <v>589500</v>
      </c>
    </row>
    <row r="15" spans="2:27" ht="14.25" customHeight="1" x14ac:dyDescent="0.2">
      <c r="B15" s="477" t="s">
        <v>11</v>
      </c>
      <c r="C15" s="478"/>
      <c r="D15" s="185">
        <v>42734</v>
      </c>
      <c r="E15" s="54"/>
      <c r="F15" s="54"/>
      <c r="G15" s="54"/>
      <c r="H15" s="54"/>
      <c r="I15" s="51"/>
      <c r="J15" s="54"/>
      <c r="K15" s="54"/>
      <c r="L15" s="162"/>
      <c r="M15" s="161"/>
      <c r="N15" s="162"/>
      <c r="U15" s="184"/>
      <c r="V15" s="184"/>
    </row>
    <row r="16" spans="2:27" ht="26.25" customHeight="1" x14ac:dyDescent="0.2">
      <c r="B16" s="477" t="s">
        <v>13</v>
      </c>
      <c r="C16" s="478"/>
      <c r="D16" s="490" t="s">
        <v>160</v>
      </c>
      <c r="E16" s="490"/>
      <c r="F16" s="490"/>
      <c r="G16" s="490"/>
      <c r="H16" s="490"/>
      <c r="I16" s="490"/>
      <c r="J16" s="490"/>
      <c r="K16" s="490"/>
      <c r="L16" s="162"/>
      <c r="M16" s="161"/>
      <c r="N16" s="162"/>
      <c r="U16" s="184"/>
      <c r="V16" s="184"/>
    </row>
    <row r="17" spans="1:22" ht="14.25" customHeight="1" x14ac:dyDescent="0.2">
      <c r="B17" s="477" t="s">
        <v>16</v>
      </c>
      <c r="C17" s="478"/>
      <c r="D17" s="185">
        <v>43300</v>
      </c>
      <c r="E17" s="54"/>
      <c r="F17" s="51"/>
      <c r="G17" s="54"/>
      <c r="H17" s="54"/>
      <c r="I17" s="51"/>
      <c r="J17" s="54"/>
      <c r="K17" s="54"/>
      <c r="L17" s="162"/>
      <c r="M17" s="161"/>
      <c r="N17" s="162"/>
      <c r="U17" s="184"/>
      <c r="V17" s="184"/>
    </row>
    <row r="18" spans="1:22" ht="15" customHeight="1" thickBot="1" x14ac:dyDescent="0.25">
      <c r="B18" s="183"/>
      <c r="C18" s="164"/>
      <c r="D18" s="182"/>
      <c r="E18" s="182"/>
      <c r="F18" s="182"/>
      <c r="G18" s="182"/>
      <c r="H18" s="181"/>
      <c r="I18" s="162"/>
      <c r="J18" s="162"/>
      <c r="K18" s="162"/>
      <c r="L18" s="162"/>
      <c r="M18" s="158"/>
      <c r="N18" s="162"/>
    </row>
    <row r="19" spans="1:22" ht="15" customHeight="1" x14ac:dyDescent="0.2">
      <c r="A19" s="161"/>
      <c r="B19" s="481" t="s">
        <v>19</v>
      </c>
      <c r="C19" s="483" t="s">
        <v>95</v>
      </c>
      <c r="D19" s="483" t="s">
        <v>20</v>
      </c>
      <c r="E19" s="479" t="s">
        <v>1</v>
      </c>
      <c r="F19" s="479" t="s">
        <v>21</v>
      </c>
      <c r="G19" s="479" t="s">
        <v>22</v>
      </c>
      <c r="H19" s="487" t="s">
        <v>23</v>
      </c>
      <c r="I19" s="488"/>
      <c r="J19" s="479" t="s">
        <v>24</v>
      </c>
      <c r="K19" s="444" t="s">
        <v>322</v>
      </c>
      <c r="L19" s="457" t="s">
        <v>310</v>
      </c>
      <c r="M19" s="447" t="s">
        <v>181</v>
      </c>
      <c r="N19" s="162"/>
      <c r="S19" s="489" t="s">
        <v>25</v>
      </c>
      <c r="T19" s="489" t="s">
        <v>26</v>
      </c>
    </row>
    <row r="20" spans="1:22" ht="37.5" customHeight="1" thickBot="1" x14ac:dyDescent="0.25">
      <c r="A20" s="161"/>
      <c r="B20" s="482"/>
      <c r="C20" s="484"/>
      <c r="D20" s="484"/>
      <c r="E20" s="480"/>
      <c r="F20" s="480"/>
      <c r="G20" s="480"/>
      <c r="H20" s="349" t="s">
        <v>28</v>
      </c>
      <c r="I20" s="349" t="s">
        <v>96</v>
      </c>
      <c r="J20" s="480"/>
      <c r="K20" s="445"/>
      <c r="L20" s="458"/>
      <c r="M20" s="448"/>
      <c r="O20" s="179" t="s">
        <v>97</v>
      </c>
      <c r="P20" s="179" t="s">
        <v>98</v>
      </c>
      <c r="Q20" s="179" t="s">
        <v>99</v>
      </c>
      <c r="S20" s="489"/>
      <c r="T20" s="489"/>
    </row>
    <row r="21" spans="1:22" ht="150" customHeight="1" x14ac:dyDescent="0.2">
      <c r="A21" s="162"/>
      <c r="B21" s="176" t="s">
        <v>361</v>
      </c>
      <c r="C21" s="175"/>
      <c r="D21" s="406" t="s">
        <v>36</v>
      </c>
      <c r="E21" s="407" t="s">
        <v>344</v>
      </c>
      <c r="F21" s="408" t="s">
        <v>345</v>
      </c>
      <c r="G21" s="409">
        <v>1</v>
      </c>
      <c r="H21" s="410">
        <v>45338</v>
      </c>
      <c r="I21" s="411">
        <v>45632</v>
      </c>
      <c r="J21" s="32">
        <f>290/360</f>
        <v>0.80555555555555558</v>
      </c>
      <c r="K21" s="32">
        <f>J21</f>
        <v>0.80555555555555558</v>
      </c>
      <c r="L21" s="32">
        <f>J21</f>
        <v>0.80555555555555558</v>
      </c>
      <c r="M21" s="47" t="s">
        <v>314</v>
      </c>
      <c r="O21" s="179"/>
      <c r="P21" s="179"/>
      <c r="Q21" s="179"/>
      <c r="S21" s="420"/>
      <c r="T21" s="420"/>
    </row>
    <row r="22" spans="1:22" ht="98.45" customHeight="1" x14ac:dyDescent="0.2">
      <c r="A22" s="162"/>
      <c r="B22" s="176" t="s">
        <v>154</v>
      </c>
      <c r="C22" s="175" t="s">
        <v>4</v>
      </c>
      <c r="D22" s="174" t="s">
        <v>36</v>
      </c>
      <c r="E22" s="48" t="s">
        <v>86</v>
      </c>
      <c r="F22" s="46" t="s">
        <v>85</v>
      </c>
      <c r="G22" s="49">
        <v>1</v>
      </c>
      <c r="H22" s="39">
        <v>45068</v>
      </c>
      <c r="I22" s="40">
        <v>45275</v>
      </c>
      <c r="J22" s="32">
        <f>203/360</f>
        <v>0.56388888888888888</v>
      </c>
      <c r="K22" s="32">
        <f t="shared" ref="K22:L24" si="0">J22</f>
        <v>0.56388888888888888</v>
      </c>
      <c r="L22" s="32">
        <f t="shared" si="0"/>
        <v>0.56388888888888888</v>
      </c>
      <c r="M22" s="47" t="s">
        <v>314</v>
      </c>
      <c r="O22" s="179"/>
      <c r="P22" s="179"/>
      <c r="Q22" s="179"/>
      <c r="S22" s="155">
        <f>DAYS360(H22,I22,FALSE)</f>
        <v>203</v>
      </c>
      <c r="T22" s="155">
        <f t="shared" ref="T22:T32" si="1">+S22/30</f>
        <v>6.7666666666666666</v>
      </c>
    </row>
    <row r="23" spans="1:22" ht="111.6" customHeight="1" x14ac:dyDescent="0.2">
      <c r="A23" s="162"/>
      <c r="B23" s="176" t="s">
        <v>154</v>
      </c>
      <c r="C23" s="175" t="s">
        <v>4</v>
      </c>
      <c r="D23" s="174" t="s">
        <v>36</v>
      </c>
      <c r="E23" s="173" t="s">
        <v>159</v>
      </c>
      <c r="F23" s="180" t="s">
        <v>81</v>
      </c>
      <c r="G23" s="14">
        <v>1</v>
      </c>
      <c r="H23" s="171">
        <v>44809</v>
      </c>
      <c r="I23" s="170">
        <v>45067</v>
      </c>
      <c r="J23" s="169">
        <f>(165+57)/360</f>
        <v>0.6166666666666667</v>
      </c>
      <c r="K23" s="32">
        <f t="shared" si="0"/>
        <v>0.6166666666666667</v>
      </c>
      <c r="L23" s="32">
        <f t="shared" si="0"/>
        <v>0.6166666666666667</v>
      </c>
      <c r="M23" s="348" t="s">
        <v>335</v>
      </c>
      <c r="O23" s="179"/>
      <c r="P23" s="179"/>
      <c r="Q23" s="179"/>
      <c r="S23" s="155">
        <f>DAYS360(H23,I23,FALSE)</f>
        <v>256</v>
      </c>
      <c r="T23" s="155">
        <f t="shared" si="1"/>
        <v>8.5333333333333332</v>
      </c>
    </row>
    <row r="24" spans="1:22" ht="108.6" customHeight="1" x14ac:dyDescent="0.2">
      <c r="A24" s="162"/>
      <c r="B24" s="176" t="s">
        <v>154</v>
      </c>
      <c r="C24" s="175" t="s">
        <v>4</v>
      </c>
      <c r="D24" s="174" t="s">
        <v>36</v>
      </c>
      <c r="E24" s="173" t="s">
        <v>158</v>
      </c>
      <c r="F24" s="180" t="s">
        <v>73</v>
      </c>
      <c r="G24" s="14">
        <v>1</v>
      </c>
      <c r="H24" s="171">
        <v>44609</v>
      </c>
      <c r="I24" s="170">
        <v>44806</v>
      </c>
      <c r="J24" s="169">
        <f>185/360</f>
        <v>0.51388888888888884</v>
      </c>
      <c r="K24" s="32">
        <f t="shared" si="0"/>
        <v>0.51388888888888884</v>
      </c>
      <c r="L24" s="32">
        <f t="shared" si="0"/>
        <v>0.51388888888888884</v>
      </c>
      <c r="M24" s="41" t="s">
        <v>314</v>
      </c>
      <c r="O24" s="179"/>
      <c r="P24" s="179"/>
      <c r="Q24" s="179"/>
      <c r="S24" s="155">
        <v>185</v>
      </c>
      <c r="T24" s="155">
        <f t="shared" si="1"/>
        <v>6.166666666666667</v>
      </c>
    </row>
    <row r="25" spans="1:22" ht="69" customHeight="1" x14ac:dyDescent="0.2">
      <c r="A25" s="162"/>
      <c r="B25" s="176" t="s">
        <v>124</v>
      </c>
      <c r="C25" s="175" t="s">
        <v>146</v>
      </c>
      <c r="D25" s="174" t="s">
        <v>157</v>
      </c>
      <c r="E25" s="173" t="s">
        <v>156</v>
      </c>
      <c r="F25" s="180" t="s">
        <v>155</v>
      </c>
      <c r="G25" s="14" t="s">
        <v>34</v>
      </c>
      <c r="H25" s="171">
        <v>44349</v>
      </c>
      <c r="I25" s="170">
        <v>44552</v>
      </c>
      <c r="J25" s="169">
        <f>200/360</f>
        <v>0.55555555555555558</v>
      </c>
      <c r="K25" s="32">
        <f t="shared" ref="K25:K32" si="2">J25</f>
        <v>0.55555555555555558</v>
      </c>
      <c r="L25" s="32">
        <v>0</v>
      </c>
      <c r="M25" s="348" t="s">
        <v>329</v>
      </c>
      <c r="O25" s="179"/>
      <c r="P25" s="179"/>
      <c r="Q25" s="179"/>
      <c r="S25" s="155">
        <f>DAYS360(H25,I25,FALSE)</f>
        <v>200</v>
      </c>
      <c r="T25" s="155">
        <f t="shared" si="1"/>
        <v>6.666666666666667</v>
      </c>
    </row>
    <row r="26" spans="1:22" ht="126.75" customHeight="1" x14ac:dyDescent="0.2">
      <c r="A26" s="162"/>
      <c r="B26" s="176" t="s">
        <v>154</v>
      </c>
      <c r="C26" s="175" t="s">
        <v>4</v>
      </c>
      <c r="D26" s="174" t="s">
        <v>0</v>
      </c>
      <c r="E26" s="173" t="s">
        <v>104</v>
      </c>
      <c r="F26" s="180" t="s">
        <v>75</v>
      </c>
      <c r="G26" s="14">
        <v>1</v>
      </c>
      <c r="H26" s="171">
        <v>43865</v>
      </c>
      <c r="I26" s="170">
        <v>44348</v>
      </c>
      <c r="J26" s="169">
        <f>367/360</f>
        <v>1.0194444444444444</v>
      </c>
      <c r="K26" s="32">
        <f t="shared" si="2"/>
        <v>1.0194444444444444</v>
      </c>
      <c r="L26" s="32">
        <f>K26</f>
        <v>1.0194444444444444</v>
      </c>
      <c r="M26" s="42" t="s">
        <v>314</v>
      </c>
      <c r="O26" s="179"/>
      <c r="P26" s="179"/>
      <c r="Q26" s="179"/>
      <c r="S26" s="155">
        <v>367</v>
      </c>
      <c r="T26" s="155">
        <f t="shared" si="1"/>
        <v>12.233333333333333</v>
      </c>
    </row>
    <row r="27" spans="1:22" ht="151.15" customHeight="1" x14ac:dyDescent="0.2">
      <c r="A27" s="162"/>
      <c r="B27" s="176" t="s">
        <v>143</v>
      </c>
      <c r="C27" s="175" t="s">
        <v>146</v>
      </c>
      <c r="D27" s="174" t="s">
        <v>53</v>
      </c>
      <c r="E27" s="173" t="s">
        <v>153</v>
      </c>
      <c r="F27" s="172" t="s">
        <v>152</v>
      </c>
      <c r="G27" s="14">
        <v>1</v>
      </c>
      <c r="H27" s="171">
        <v>43593</v>
      </c>
      <c r="I27" s="170">
        <v>43826</v>
      </c>
      <c r="J27" s="169">
        <f>(210+20)/360</f>
        <v>0.63888888888888884</v>
      </c>
      <c r="K27" s="32">
        <f t="shared" si="2"/>
        <v>0.63888888888888884</v>
      </c>
      <c r="L27" s="32">
        <v>0</v>
      </c>
      <c r="M27" s="41" t="s">
        <v>314</v>
      </c>
      <c r="O27" s="177">
        <f>YEARFRAC(H27,I27,30/360)</f>
        <v>0.63611111111111107</v>
      </c>
      <c r="P27" s="156">
        <f>+J27</f>
        <v>0.63888888888888884</v>
      </c>
      <c r="Q27" s="156">
        <f>_xlfn.DAYS(I27,H27)</f>
        <v>233</v>
      </c>
      <c r="R27" s="157">
        <f>+Q27/30</f>
        <v>7.7666666666666666</v>
      </c>
      <c r="S27" s="155">
        <f t="shared" ref="S27:S32" si="3">DAYS360(H27,I27,FALSE)</f>
        <v>229</v>
      </c>
      <c r="T27" s="155">
        <f t="shared" si="1"/>
        <v>7.6333333333333337</v>
      </c>
    </row>
    <row r="28" spans="1:22" ht="112.15" customHeight="1" x14ac:dyDescent="0.2">
      <c r="A28" s="162"/>
      <c r="B28" s="176" t="s">
        <v>151</v>
      </c>
      <c r="C28" s="175" t="s">
        <v>105</v>
      </c>
      <c r="D28" s="175" t="s">
        <v>0</v>
      </c>
      <c r="E28" s="173" t="s">
        <v>108</v>
      </c>
      <c r="F28" s="178" t="s">
        <v>41</v>
      </c>
      <c r="G28" s="14">
        <v>1</v>
      </c>
      <c r="H28" s="171">
        <v>43222</v>
      </c>
      <c r="I28" s="170">
        <v>43619</v>
      </c>
      <c r="J28" s="169">
        <f>307/360</f>
        <v>0.85277777777777775</v>
      </c>
      <c r="K28" s="32">
        <f t="shared" si="2"/>
        <v>0.85277777777777775</v>
      </c>
      <c r="L28" s="32">
        <f>K28</f>
        <v>0.85277777777777775</v>
      </c>
      <c r="M28" s="42" t="s">
        <v>363</v>
      </c>
      <c r="O28" s="177"/>
      <c r="R28" s="157"/>
      <c r="S28" s="155">
        <f t="shared" si="3"/>
        <v>391</v>
      </c>
      <c r="T28" s="155">
        <f t="shared" si="1"/>
        <v>13.033333333333333</v>
      </c>
    </row>
    <row r="29" spans="1:22" ht="108.75" customHeight="1" x14ac:dyDescent="0.2">
      <c r="A29" s="162"/>
      <c r="B29" s="176" t="s">
        <v>143</v>
      </c>
      <c r="C29" s="175" t="s">
        <v>146</v>
      </c>
      <c r="D29" s="174" t="s">
        <v>53</v>
      </c>
      <c r="E29" s="173" t="s">
        <v>150</v>
      </c>
      <c r="F29" s="172" t="s">
        <v>149</v>
      </c>
      <c r="G29" s="14">
        <v>1</v>
      </c>
      <c r="H29" s="171">
        <v>43315</v>
      </c>
      <c r="I29" s="170">
        <v>43564</v>
      </c>
      <c r="J29" s="169">
        <f>240/360</f>
        <v>0.66666666666666663</v>
      </c>
      <c r="K29" s="32">
        <f t="shared" si="2"/>
        <v>0.66666666666666663</v>
      </c>
      <c r="L29" s="32">
        <v>0</v>
      </c>
      <c r="M29" s="42" t="s">
        <v>314</v>
      </c>
      <c r="O29" s="156">
        <f>+_xlfn.DAYS(I29,H29)</f>
        <v>249</v>
      </c>
      <c r="P29" s="157">
        <f>+O29/30</f>
        <v>8.3000000000000007</v>
      </c>
      <c r="Q29" s="157">
        <f>+J29</f>
        <v>0.66666666666666663</v>
      </c>
      <c r="S29" s="155">
        <f t="shared" si="3"/>
        <v>246</v>
      </c>
      <c r="T29" s="155">
        <f t="shared" si="1"/>
        <v>8.1999999999999993</v>
      </c>
    </row>
    <row r="30" spans="1:22" ht="101.25" customHeight="1" x14ac:dyDescent="0.2">
      <c r="A30" s="162"/>
      <c r="B30" s="176" t="s">
        <v>143</v>
      </c>
      <c r="C30" s="175" t="s">
        <v>146</v>
      </c>
      <c r="D30" s="174" t="s">
        <v>53</v>
      </c>
      <c r="E30" s="173" t="s">
        <v>148</v>
      </c>
      <c r="F30" s="172" t="s">
        <v>147</v>
      </c>
      <c r="G30" s="14">
        <v>1</v>
      </c>
      <c r="H30" s="171">
        <v>43125</v>
      </c>
      <c r="I30" s="170">
        <v>43170</v>
      </c>
      <c r="J30" s="169">
        <f>45/360</f>
        <v>0.125</v>
      </c>
      <c r="K30" s="32">
        <f t="shared" si="2"/>
        <v>0.125</v>
      </c>
      <c r="L30" s="32">
        <v>0</v>
      </c>
      <c r="M30" s="42" t="s">
        <v>314</v>
      </c>
      <c r="P30" s="157"/>
      <c r="Q30" s="157"/>
      <c r="S30" s="155">
        <f t="shared" si="3"/>
        <v>46</v>
      </c>
      <c r="T30" s="155">
        <f t="shared" si="1"/>
        <v>1.5333333333333334</v>
      </c>
    </row>
    <row r="31" spans="1:22" ht="120" customHeight="1" x14ac:dyDescent="0.2">
      <c r="A31" s="162"/>
      <c r="B31" s="176" t="s">
        <v>143</v>
      </c>
      <c r="C31" s="175" t="s">
        <v>146</v>
      </c>
      <c r="D31" s="174" t="s">
        <v>53</v>
      </c>
      <c r="E31" s="173" t="s">
        <v>145</v>
      </c>
      <c r="F31" s="172" t="s">
        <v>144</v>
      </c>
      <c r="G31" s="14">
        <v>1</v>
      </c>
      <c r="H31" s="171">
        <v>42849</v>
      </c>
      <c r="I31" s="170">
        <v>43092</v>
      </c>
      <c r="J31" s="169">
        <f>240/360</f>
        <v>0.66666666666666663</v>
      </c>
      <c r="K31" s="32">
        <f t="shared" si="2"/>
        <v>0.66666666666666663</v>
      </c>
      <c r="L31" s="32">
        <v>0</v>
      </c>
      <c r="M31" s="42" t="s">
        <v>314</v>
      </c>
      <c r="O31" s="156">
        <f>+_xlfn.DAYS(I31,H31)</f>
        <v>243</v>
      </c>
      <c r="P31" s="157">
        <f>+O31/30</f>
        <v>8.1</v>
      </c>
      <c r="Q31" s="157">
        <f>+J31</f>
        <v>0.66666666666666663</v>
      </c>
      <c r="S31" s="155">
        <f t="shared" si="3"/>
        <v>239</v>
      </c>
      <c r="T31" s="155">
        <f t="shared" si="1"/>
        <v>7.9666666666666668</v>
      </c>
    </row>
    <row r="32" spans="1:22" ht="120" customHeight="1" thickBot="1" x14ac:dyDescent="0.25">
      <c r="A32" s="162"/>
      <c r="B32" s="176" t="s">
        <v>143</v>
      </c>
      <c r="C32" s="175" t="s">
        <v>4</v>
      </c>
      <c r="D32" s="174" t="s">
        <v>53</v>
      </c>
      <c r="E32" s="173" t="s">
        <v>142</v>
      </c>
      <c r="F32" s="172" t="s">
        <v>141</v>
      </c>
      <c r="G32" s="14">
        <v>1</v>
      </c>
      <c r="H32" s="171">
        <v>42734</v>
      </c>
      <c r="I32" s="170">
        <v>42837</v>
      </c>
      <c r="J32" s="169">
        <f>103/360</f>
        <v>0.28611111111111109</v>
      </c>
      <c r="K32" s="32">
        <f t="shared" si="2"/>
        <v>0.28611111111111109</v>
      </c>
      <c r="L32" s="32">
        <f>K32</f>
        <v>0.28611111111111109</v>
      </c>
      <c r="M32" s="42" t="s">
        <v>330</v>
      </c>
      <c r="O32" s="156">
        <f>+_xlfn.DAYS(I32,H32)</f>
        <v>103</v>
      </c>
      <c r="P32" s="157">
        <f>+O32/30</f>
        <v>3.4333333333333331</v>
      </c>
      <c r="Q32" s="157">
        <f>+J32</f>
        <v>0.28611111111111109</v>
      </c>
      <c r="S32" s="155">
        <f t="shared" si="3"/>
        <v>102</v>
      </c>
      <c r="T32" s="155">
        <f t="shared" si="1"/>
        <v>3.4</v>
      </c>
    </row>
    <row r="33" spans="1:18" ht="29.25" customHeight="1" thickBot="1" x14ac:dyDescent="0.25">
      <c r="A33" s="161"/>
      <c r="B33" s="147"/>
      <c r="C33" s="23"/>
      <c r="D33" s="148"/>
      <c r="E33" s="148"/>
      <c r="F33" s="148"/>
      <c r="G33" s="148"/>
      <c r="H33" s="431" t="s">
        <v>315</v>
      </c>
      <c r="I33" s="432"/>
      <c r="J33" s="433"/>
      <c r="K33" s="343">
        <f>SUM(K21:K32)</f>
        <v>7.3111111111111118</v>
      </c>
      <c r="L33" s="340"/>
      <c r="M33" s="350" t="s">
        <v>308</v>
      </c>
      <c r="P33" s="157"/>
      <c r="Q33" s="157"/>
    </row>
    <row r="34" spans="1:18" ht="25.5" customHeight="1" thickBot="1" x14ac:dyDescent="0.25">
      <c r="A34" s="162"/>
      <c r="B34" s="147"/>
      <c r="C34" s="23"/>
      <c r="D34" s="148"/>
      <c r="E34" s="148"/>
      <c r="F34" s="148"/>
      <c r="G34" s="148"/>
      <c r="H34" s="55"/>
      <c r="I34" s="429" t="s">
        <v>316</v>
      </c>
      <c r="J34" s="429"/>
      <c r="K34" s="430"/>
      <c r="L34" s="344">
        <f>SUM(L21:L32)</f>
        <v>4.6583333333333332</v>
      </c>
      <c r="M34" s="73" t="s">
        <v>308</v>
      </c>
      <c r="P34" s="157"/>
      <c r="Q34" s="157"/>
    </row>
    <row r="35" spans="1:18" ht="13.5" customHeight="1" x14ac:dyDescent="0.2">
      <c r="A35" s="162"/>
      <c r="B35" s="147"/>
      <c r="C35" s="23"/>
      <c r="D35" s="55" t="s">
        <v>317</v>
      </c>
      <c r="E35" s="148"/>
      <c r="F35" s="148"/>
      <c r="G35" s="148"/>
      <c r="H35" s="244"/>
      <c r="I35" s="152"/>
      <c r="J35" s="23"/>
      <c r="K35" s="23"/>
      <c r="L35" s="77"/>
      <c r="M35" s="86"/>
      <c r="P35" s="157"/>
      <c r="Q35" s="157"/>
    </row>
    <row r="36" spans="1:18" ht="13.5" customHeight="1" x14ac:dyDescent="0.2">
      <c r="A36" s="162"/>
      <c r="B36" s="147"/>
      <c r="C36" s="23"/>
      <c r="D36" s="71" t="s">
        <v>318</v>
      </c>
      <c r="E36" s="148"/>
      <c r="F36" s="148"/>
      <c r="G36" s="148"/>
      <c r="H36" s="244"/>
      <c r="I36" s="152"/>
      <c r="J36" s="23"/>
      <c r="K36" s="23"/>
      <c r="L36" s="77"/>
      <c r="M36" s="86"/>
      <c r="P36" s="157"/>
      <c r="Q36" s="157"/>
    </row>
    <row r="37" spans="1:18" x14ac:dyDescent="0.2">
      <c r="B37" s="147"/>
      <c r="C37" s="23"/>
      <c r="D37" s="23"/>
      <c r="E37" s="23"/>
      <c r="F37" s="23"/>
      <c r="G37" s="23"/>
      <c r="H37" s="152"/>
      <c r="I37" s="152"/>
      <c r="J37" s="23"/>
      <c r="K37" s="23"/>
      <c r="L37" s="77"/>
      <c r="M37" s="86"/>
      <c r="O37" s="167" t="e">
        <f>+#REF!/12</f>
        <v>#REF!</v>
      </c>
      <c r="P37" s="157"/>
      <c r="Q37" s="157"/>
    </row>
    <row r="38" spans="1:18" ht="13.5" thickBot="1" x14ac:dyDescent="0.25">
      <c r="B38" s="153"/>
      <c r="C38" s="76"/>
      <c r="D38" s="76"/>
      <c r="E38" s="76"/>
      <c r="F38" s="76"/>
      <c r="G38" s="76"/>
      <c r="H38" s="75"/>
      <c r="I38" s="75"/>
      <c r="J38" s="76"/>
      <c r="K38" s="76"/>
      <c r="L38" s="76"/>
      <c r="M38" s="154"/>
      <c r="P38" s="157"/>
      <c r="Q38" s="157" t="e">
        <f>+#REF!/12</f>
        <v>#REF!</v>
      </c>
      <c r="R38" s="155">
        <f>4*12</f>
        <v>48</v>
      </c>
    </row>
  </sheetData>
  <mergeCells count="33">
    <mergeCell ref="B1:H1"/>
    <mergeCell ref="B2:L2"/>
    <mergeCell ref="B3:M3"/>
    <mergeCell ref="B8:C8"/>
    <mergeCell ref="B9:C9"/>
    <mergeCell ref="B6:C6"/>
    <mergeCell ref="S8:AA8"/>
    <mergeCell ref="H19:I19"/>
    <mergeCell ref="J19:J20"/>
    <mergeCell ref="K19:K20"/>
    <mergeCell ref="L19:L20"/>
    <mergeCell ref="S19:S20"/>
    <mergeCell ref="T19:T20"/>
    <mergeCell ref="D8:M8"/>
    <mergeCell ref="G11:H11"/>
    <mergeCell ref="I11:K11"/>
    <mergeCell ref="M19:M20"/>
    <mergeCell ref="G19:G20"/>
    <mergeCell ref="D16:K16"/>
    <mergeCell ref="D19:D20"/>
    <mergeCell ref="H33:J33"/>
    <mergeCell ref="I34:K34"/>
    <mergeCell ref="B11:C11"/>
    <mergeCell ref="E19:E20"/>
    <mergeCell ref="F19:F20"/>
    <mergeCell ref="B12:C12"/>
    <mergeCell ref="B13:C13"/>
    <mergeCell ref="B14:C14"/>
    <mergeCell ref="B15:C15"/>
    <mergeCell ref="B16:C16"/>
    <mergeCell ref="B17:C17"/>
    <mergeCell ref="B19:B20"/>
    <mergeCell ref="C19:C20"/>
  </mergeCells>
  <printOptions horizontalCentered="1"/>
  <pageMargins left="0" right="0" top="0.78740157480314965" bottom="0" header="0" footer="0"/>
  <pageSetup scale="5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
  <sheetViews>
    <sheetView view="pageBreakPreview" topLeftCell="B1" zoomScale="80" zoomScaleNormal="90" zoomScaleSheetLayoutView="80" workbookViewId="0">
      <selection activeCell="E8" sqref="E8:F8"/>
    </sheetView>
  </sheetViews>
  <sheetFormatPr baseColWidth="10" defaultColWidth="11.5703125" defaultRowHeight="12.75" x14ac:dyDescent="0.2"/>
  <cols>
    <col min="1" max="1" width="2.28515625" style="155" customWidth="1"/>
    <col min="2" max="2" width="25" style="155" customWidth="1"/>
    <col min="3" max="3" width="14.5703125" style="155" hidden="1" customWidth="1"/>
    <col min="4" max="4" width="17" style="155" customWidth="1"/>
    <col min="5" max="5" width="42" style="155" customWidth="1"/>
    <col min="6" max="6" width="12.28515625" style="155" customWidth="1"/>
    <col min="7" max="7" width="12.7109375" style="155" customWidth="1"/>
    <col min="8" max="8" width="12.140625" style="155" customWidth="1"/>
    <col min="9" max="9" width="13" style="155" customWidth="1"/>
    <col min="10" max="10" width="13.140625" style="155" customWidth="1"/>
    <col min="11" max="11" width="13.85546875" style="155" customWidth="1"/>
    <col min="12" max="12" width="14" style="155" customWidth="1"/>
    <col min="13" max="13" width="23.7109375" style="155" customWidth="1"/>
    <col min="14" max="14" width="2.140625" style="155" customWidth="1"/>
    <col min="15" max="15" width="2.42578125" style="184" customWidth="1"/>
    <col min="16" max="16" width="2.42578125" style="155" customWidth="1"/>
    <col min="17" max="17" width="2.7109375" style="155" customWidth="1"/>
    <col min="18" max="18" width="2.85546875" style="155" customWidth="1"/>
    <col min="19" max="19" width="3.28515625" style="155" customWidth="1"/>
    <col min="20" max="20" width="3" style="155" customWidth="1"/>
    <col min="21" max="21" width="6" style="155" customWidth="1"/>
    <col min="22" max="22" width="2.42578125" style="155" customWidth="1"/>
    <col min="23" max="23" width="9.140625" style="155" customWidth="1"/>
    <col min="24" max="24" width="15.42578125" style="155" customWidth="1"/>
    <col min="25" max="25" width="22.140625" style="155" customWidth="1"/>
    <col min="26" max="16384" width="11.5703125" style="155"/>
  </cols>
  <sheetData>
    <row r="1" spans="2:16" ht="6" customHeight="1" thickBot="1" x14ac:dyDescent="0.25">
      <c r="H1" s="159"/>
      <c r="I1" s="159"/>
      <c r="J1" s="159"/>
      <c r="K1" s="159"/>
      <c r="L1" s="159"/>
      <c r="M1" s="162"/>
    </row>
    <row r="2" spans="2:16" x14ac:dyDescent="0.2">
      <c r="B2" s="200"/>
      <c r="C2" s="201"/>
      <c r="D2" s="201"/>
      <c r="E2" s="201"/>
      <c r="F2" s="201"/>
      <c r="G2" s="201"/>
      <c r="H2" s="201"/>
      <c r="I2" s="199"/>
      <c r="J2" s="199"/>
      <c r="K2" s="199"/>
      <c r="L2" s="199"/>
      <c r="M2" s="198"/>
    </row>
    <row r="3" spans="2:16" x14ac:dyDescent="0.2">
      <c r="B3" s="202"/>
      <c r="C3" s="203"/>
      <c r="D3" s="203"/>
      <c r="E3" s="203"/>
      <c r="F3" s="203"/>
      <c r="G3" s="203"/>
      <c r="H3" s="203"/>
      <c r="I3" s="203"/>
      <c r="J3" s="203"/>
      <c r="K3" s="203"/>
      <c r="L3" s="203"/>
      <c r="M3" s="204"/>
    </row>
    <row r="4" spans="2:16" ht="15" customHeight="1" x14ac:dyDescent="0.2">
      <c r="B4" s="501" t="s">
        <v>373</v>
      </c>
      <c r="C4" s="450"/>
      <c r="D4" s="450"/>
      <c r="E4" s="450"/>
      <c r="F4" s="450"/>
      <c r="G4" s="450"/>
      <c r="H4" s="450"/>
      <c r="I4" s="450"/>
      <c r="J4" s="450"/>
      <c r="K4" s="450"/>
      <c r="L4" s="450"/>
      <c r="M4" s="354"/>
      <c r="N4" s="346"/>
      <c r="O4" s="346"/>
      <c r="P4" s="351"/>
    </row>
    <row r="5" spans="2:16" ht="12" customHeight="1" x14ac:dyDescent="0.2">
      <c r="B5" s="165"/>
      <c r="C5" s="196"/>
      <c r="D5" s="196"/>
      <c r="E5" s="196"/>
      <c r="F5" s="195"/>
      <c r="G5" s="195"/>
      <c r="H5" s="195"/>
      <c r="I5" s="162"/>
      <c r="J5" s="162"/>
      <c r="K5" s="162"/>
      <c r="L5" s="162"/>
      <c r="M5" s="161"/>
    </row>
    <row r="6" spans="2:16" ht="12" customHeight="1" x14ac:dyDescent="0.2">
      <c r="B6" s="165"/>
      <c r="C6" s="196"/>
      <c r="D6" s="196"/>
      <c r="E6" s="196"/>
      <c r="F6" s="195"/>
      <c r="G6" s="195"/>
      <c r="H6" s="195"/>
      <c r="I6" s="162"/>
      <c r="J6" s="162"/>
      <c r="K6" s="162"/>
      <c r="L6" s="162"/>
      <c r="M6" s="161"/>
    </row>
    <row r="7" spans="2:16" ht="15" customHeight="1" x14ac:dyDescent="0.2">
      <c r="B7" s="194" t="s">
        <v>88</v>
      </c>
      <c r="C7" s="162"/>
      <c r="D7" s="460" t="s">
        <v>343</v>
      </c>
      <c r="E7" s="460"/>
      <c r="F7" s="460"/>
      <c r="G7" s="192"/>
      <c r="H7" s="192"/>
      <c r="I7" s="192"/>
      <c r="J7" s="192"/>
      <c r="K7" s="192"/>
      <c r="L7" s="162"/>
      <c r="M7" s="161"/>
    </row>
    <row r="8" spans="2:16" ht="30" customHeight="1" x14ac:dyDescent="0.2">
      <c r="B8" s="427" t="s">
        <v>377</v>
      </c>
      <c r="C8" s="192"/>
      <c r="D8" s="419">
        <v>45713</v>
      </c>
      <c r="E8" s="425" t="s">
        <v>375</v>
      </c>
      <c r="F8" s="426">
        <v>45719</v>
      </c>
      <c r="G8" s="192"/>
      <c r="H8" s="192"/>
      <c r="I8" s="192"/>
      <c r="J8" s="192"/>
      <c r="K8" s="192"/>
      <c r="L8" s="162"/>
      <c r="M8" s="161"/>
    </row>
    <row r="9" spans="2:16" ht="43.5" customHeight="1" x14ac:dyDescent="0.2">
      <c r="B9" s="194" t="s">
        <v>1</v>
      </c>
      <c r="C9" s="162"/>
      <c r="D9" s="502" t="s">
        <v>89</v>
      </c>
      <c r="E9" s="502"/>
      <c r="F9" s="502"/>
      <c r="G9" s="502"/>
      <c r="H9" s="502"/>
      <c r="I9" s="502"/>
      <c r="J9" s="502"/>
      <c r="K9" s="502"/>
      <c r="L9" s="502"/>
      <c r="M9" s="205"/>
    </row>
    <row r="10" spans="2:16" ht="13.15" customHeight="1" x14ac:dyDescent="0.2">
      <c r="B10" s="194"/>
      <c r="C10" s="162"/>
      <c r="D10" s="88"/>
      <c r="E10" s="88"/>
      <c r="F10" s="88"/>
      <c r="G10" s="88"/>
      <c r="H10" s="88"/>
      <c r="I10" s="88"/>
      <c r="J10" s="88"/>
      <c r="K10" s="88"/>
      <c r="L10" s="88"/>
      <c r="M10" s="205"/>
    </row>
    <row r="11" spans="2:16" s="189" customFormat="1" ht="15" customHeight="1" x14ac:dyDescent="0.25">
      <c r="B11" s="188" t="s">
        <v>2</v>
      </c>
      <c r="C11" s="206"/>
      <c r="D11" s="503" t="str">
        <f>+[16]DATOS!B7</f>
        <v>EDELMIRA SIERRA GUTIÉRREZ</v>
      </c>
      <c r="E11" s="503"/>
      <c r="F11" s="192"/>
      <c r="G11" s="192"/>
      <c r="H11" s="192"/>
      <c r="I11" s="192"/>
      <c r="J11" s="192"/>
      <c r="K11" s="192"/>
      <c r="L11" s="206"/>
      <c r="M11" s="207"/>
      <c r="O11" s="184"/>
    </row>
    <row r="12" spans="2:16" ht="7.5" customHeight="1" x14ac:dyDescent="0.2">
      <c r="B12" s="188"/>
      <c r="C12" s="186"/>
      <c r="D12" s="186"/>
      <c r="E12" s="186"/>
      <c r="F12" s="186"/>
      <c r="G12" s="186"/>
      <c r="H12" s="162"/>
      <c r="I12" s="162"/>
      <c r="J12" s="162"/>
      <c r="K12" s="162"/>
      <c r="L12" s="162"/>
      <c r="M12" s="161"/>
    </row>
    <row r="13" spans="2:16" ht="31.5" customHeight="1" x14ac:dyDescent="0.2">
      <c r="B13" s="188" t="s">
        <v>3</v>
      </c>
      <c r="C13" s="162"/>
      <c r="D13" s="504" t="s">
        <v>163</v>
      </c>
      <c r="E13" s="504"/>
      <c r="F13" s="208"/>
      <c r="G13" s="186"/>
      <c r="H13" s="459" t="s">
        <v>306</v>
      </c>
      <c r="I13" s="459"/>
      <c r="J13" s="463" t="s">
        <v>331</v>
      </c>
      <c r="K13" s="463"/>
      <c r="L13" s="463"/>
      <c r="M13" s="151"/>
    </row>
    <row r="14" spans="2:16" ht="14.25" customHeight="1" x14ac:dyDescent="0.2">
      <c r="B14" s="188" t="s">
        <v>5</v>
      </c>
      <c r="C14" s="162"/>
      <c r="D14" s="209" t="s">
        <v>164</v>
      </c>
      <c r="E14" s="210"/>
      <c r="F14" s="211"/>
      <c r="G14" s="186"/>
      <c r="H14" s="6"/>
      <c r="I14" s="72"/>
      <c r="J14" s="85"/>
      <c r="K14" s="77"/>
      <c r="L14" s="77"/>
      <c r="M14" s="86"/>
    </row>
    <row r="15" spans="2:16" ht="14.25" customHeight="1" x14ac:dyDescent="0.2">
      <c r="B15" s="188" t="s">
        <v>6</v>
      </c>
      <c r="C15" s="162"/>
      <c r="D15" s="212" t="s">
        <v>165</v>
      </c>
      <c r="E15" s="166"/>
      <c r="F15" s="213"/>
      <c r="G15" s="186"/>
      <c r="H15" s="328" t="s">
        <v>308</v>
      </c>
      <c r="I15" s="328" t="s">
        <v>309</v>
      </c>
      <c r="J15" s="85"/>
      <c r="K15" s="77"/>
      <c r="L15" s="77"/>
      <c r="M15" s="86"/>
    </row>
    <row r="16" spans="2:16" ht="14.25" customHeight="1" x14ac:dyDescent="0.2">
      <c r="B16" s="188" t="s">
        <v>9</v>
      </c>
      <c r="C16" s="162"/>
      <c r="D16" s="214">
        <v>41718</v>
      </c>
      <c r="E16" s="210"/>
      <c r="F16" s="213"/>
      <c r="G16" s="186"/>
      <c r="H16" s="221" t="s">
        <v>308</v>
      </c>
      <c r="I16" s="364"/>
      <c r="J16" s="51"/>
      <c r="K16" s="54"/>
      <c r="L16" s="54"/>
      <c r="M16" s="25"/>
    </row>
    <row r="17" spans="1:26" ht="14.25" customHeight="1" x14ac:dyDescent="0.2">
      <c r="B17" s="188" t="s">
        <v>11</v>
      </c>
      <c r="C17" s="162"/>
      <c r="D17" s="214">
        <v>41732</v>
      </c>
      <c r="E17" s="210"/>
      <c r="F17" s="215"/>
      <c r="G17" s="186"/>
      <c r="H17" s="162"/>
      <c r="I17" s="162"/>
      <c r="J17" s="162"/>
      <c r="K17" s="162"/>
      <c r="L17" s="162"/>
      <c r="M17" s="161"/>
    </row>
    <row r="18" spans="1:26" ht="14.25" customHeight="1" x14ac:dyDescent="0.2">
      <c r="B18" s="188" t="s">
        <v>13</v>
      </c>
      <c r="C18" s="209"/>
      <c r="D18" s="211"/>
      <c r="E18" s="166"/>
      <c r="F18" s="166"/>
      <c r="G18" s="195"/>
      <c r="H18" s="192"/>
      <c r="I18" s="162"/>
      <c r="J18" s="162"/>
      <c r="K18" s="162"/>
      <c r="L18" s="162"/>
      <c r="M18" s="161"/>
    </row>
    <row r="19" spans="1:26" ht="22.5" customHeight="1" x14ac:dyDescent="0.2">
      <c r="B19" s="188" t="s">
        <v>16</v>
      </c>
      <c r="C19" s="214"/>
      <c r="D19" s="211"/>
      <c r="E19" s="211"/>
      <c r="F19" s="211"/>
      <c r="G19" s="186"/>
      <c r="H19" s="162"/>
      <c r="I19" s="162"/>
      <c r="J19" s="162"/>
      <c r="K19" s="162"/>
      <c r="L19" s="162"/>
      <c r="M19" s="161"/>
      <c r="Y19" s="184" t="s">
        <v>18</v>
      </c>
      <c r="Z19" s="184">
        <v>781242</v>
      </c>
    </row>
    <row r="20" spans="1:26" ht="11.25" customHeight="1" thickBot="1" x14ac:dyDescent="0.25">
      <c r="B20" s="183"/>
      <c r="C20" s="164"/>
      <c r="D20" s="182"/>
      <c r="E20" s="182"/>
      <c r="F20" s="182"/>
      <c r="G20" s="182"/>
      <c r="H20" s="181"/>
      <c r="I20" s="162"/>
      <c r="J20" s="162"/>
      <c r="K20" s="162"/>
      <c r="L20" s="162"/>
      <c r="M20" s="158"/>
      <c r="N20" s="162"/>
    </row>
    <row r="21" spans="1:26" ht="29.45" customHeight="1" x14ac:dyDescent="0.2">
      <c r="A21" s="162"/>
      <c r="B21" s="481" t="s">
        <v>19</v>
      </c>
      <c r="C21" s="483" t="s">
        <v>95</v>
      </c>
      <c r="D21" s="483" t="s">
        <v>20</v>
      </c>
      <c r="E21" s="479" t="s">
        <v>1</v>
      </c>
      <c r="F21" s="479" t="s">
        <v>21</v>
      </c>
      <c r="G21" s="479" t="s">
        <v>22</v>
      </c>
      <c r="H21" s="352" t="s">
        <v>23</v>
      </c>
      <c r="I21" s="353"/>
      <c r="J21" s="479" t="s">
        <v>166</v>
      </c>
      <c r="K21" s="444" t="s">
        <v>322</v>
      </c>
      <c r="L21" s="457" t="s">
        <v>333</v>
      </c>
      <c r="M21" s="447" t="s">
        <v>181</v>
      </c>
      <c r="N21" s="162"/>
      <c r="W21" s="216" t="s">
        <v>25</v>
      </c>
      <c r="X21" s="216" t="s">
        <v>26</v>
      </c>
    </row>
    <row r="22" spans="1:26" ht="32.25" customHeight="1" thickBot="1" x14ac:dyDescent="0.25">
      <c r="A22" s="162"/>
      <c r="B22" s="482"/>
      <c r="C22" s="484"/>
      <c r="D22" s="484"/>
      <c r="E22" s="480"/>
      <c r="F22" s="480"/>
      <c r="G22" s="480"/>
      <c r="H22" s="349" t="s">
        <v>28</v>
      </c>
      <c r="I22" s="349" t="s">
        <v>96</v>
      </c>
      <c r="J22" s="480"/>
      <c r="K22" s="445"/>
      <c r="L22" s="458"/>
      <c r="M22" s="448"/>
      <c r="W22" s="216"/>
      <c r="X22" s="216"/>
    </row>
    <row r="23" spans="1:26" ht="153.75" customHeight="1" x14ac:dyDescent="0.2">
      <c r="A23" s="162"/>
      <c r="B23" s="176" t="s">
        <v>364</v>
      </c>
      <c r="C23" s="106"/>
      <c r="D23" s="406" t="s">
        <v>36</v>
      </c>
      <c r="E23" s="407" t="s">
        <v>344</v>
      </c>
      <c r="F23" s="408" t="s">
        <v>345</v>
      </c>
      <c r="G23" s="409">
        <v>1</v>
      </c>
      <c r="H23" s="410">
        <v>45338</v>
      </c>
      <c r="I23" s="411">
        <v>45632</v>
      </c>
      <c r="J23" s="32">
        <f>290/360</f>
        <v>0.80555555555555558</v>
      </c>
      <c r="K23" s="32">
        <f>J23</f>
        <v>0.80555555555555558</v>
      </c>
      <c r="L23" s="32">
        <f>K23</f>
        <v>0.80555555555555558</v>
      </c>
      <c r="M23" s="47" t="s">
        <v>314</v>
      </c>
      <c r="W23" s="217"/>
      <c r="X23" s="217"/>
    </row>
    <row r="24" spans="1:26" ht="96.6" customHeight="1" x14ac:dyDescent="0.2">
      <c r="A24" s="162"/>
      <c r="B24" s="176" t="s">
        <v>154</v>
      </c>
      <c r="C24" s="106" t="s">
        <v>4</v>
      </c>
      <c r="D24" s="99" t="s">
        <v>36</v>
      </c>
      <c r="E24" s="48" t="s">
        <v>86</v>
      </c>
      <c r="F24" s="46" t="s">
        <v>85</v>
      </c>
      <c r="G24" s="49">
        <v>1</v>
      </c>
      <c r="H24" s="39">
        <v>45068</v>
      </c>
      <c r="I24" s="40">
        <v>45275</v>
      </c>
      <c r="J24" s="32">
        <f>203/360</f>
        <v>0.56388888888888888</v>
      </c>
      <c r="K24" s="32">
        <f t="shared" ref="K24:L28" si="0">J24</f>
        <v>0.56388888888888888</v>
      </c>
      <c r="L24" s="32">
        <f t="shared" si="0"/>
        <v>0.56388888888888888</v>
      </c>
      <c r="M24" s="47" t="s">
        <v>314</v>
      </c>
      <c r="W24" s="177">
        <f>DAYS360(H24,I24)</f>
        <v>203</v>
      </c>
      <c r="X24" s="155">
        <f>+W24/30</f>
        <v>6.7666666666666666</v>
      </c>
    </row>
    <row r="25" spans="1:26" ht="104.25" customHeight="1" x14ac:dyDescent="0.2">
      <c r="A25" s="162"/>
      <c r="B25" s="176" t="s">
        <v>154</v>
      </c>
      <c r="C25" s="106" t="s">
        <v>4</v>
      </c>
      <c r="D25" s="99" t="s">
        <v>36</v>
      </c>
      <c r="E25" s="107" t="s">
        <v>72</v>
      </c>
      <c r="F25" s="108" t="s">
        <v>81</v>
      </c>
      <c r="G25" s="109" t="s">
        <v>34</v>
      </c>
      <c r="H25" s="171">
        <v>44809</v>
      </c>
      <c r="I25" s="103">
        <v>45067</v>
      </c>
      <c r="J25" s="169">
        <f>(165+57)/360</f>
        <v>0.6166666666666667</v>
      </c>
      <c r="K25" s="32">
        <f t="shared" si="0"/>
        <v>0.6166666666666667</v>
      </c>
      <c r="L25" s="32">
        <f t="shared" si="0"/>
        <v>0.6166666666666667</v>
      </c>
      <c r="M25" s="348" t="s">
        <v>335</v>
      </c>
      <c r="W25" s="177">
        <f>DAYS360(H25,I25)</f>
        <v>256</v>
      </c>
      <c r="X25" s="155">
        <f>+W25/30</f>
        <v>8.5333333333333332</v>
      </c>
    </row>
    <row r="26" spans="1:26" ht="114" customHeight="1" x14ac:dyDescent="0.2">
      <c r="A26" s="162"/>
      <c r="B26" s="176" t="s">
        <v>154</v>
      </c>
      <c r="C26" s="106" t="s">
        <v>4</v>
      </c>
      <c r="D26" s="99" t="s">
        <v>36</v>
      </c>
      <c r="E26" s="107" t="s">
        <v>72</v>
      </c>
      <c r="F26" s="108" t="s">
        <v>73</v>
      </c>
      <c r="G26" s="109">
        <v>1</v>
      </c>
      <c r="H26" s="112">
        <v>44609</v>
      </c>
      <c r="I26" s="113">
        <v>44806</v>
      </c>
      <c r="J26" s="169">
        <f>185/360</f>
        <v>0.51388888888888884</v>
      </c>
      <c r="K26" s="32">
        <f t="shared" si="0"/>
        <v>0.51388888888888884</v>
      </c>
      <c r="L26" s="32">
        <f t="shared" si="0"/>
        <v>0.51388888888888884</v>
      </c>
      <c r="M26" s="41" t="s">
        <v>314</v>
      </c>
      <c r="W26" s="217"/>
      <c r="X26" s="217"/>
    </row>
    <row r="27" spans="1:26" ht="122.25" customHeight="1" x14ac:dyDescent="0.2">
      <c r="A27" s="162"/>
      <c r="B27" s="176" t="s">
        <v>154</v>
      </c>
      <c r="C27" s="175" t="s">
        <v>4</v>
      </c>
      <c r="D27" s="174" t="s">
        <v>0</v>
      </c>
      <c r="E27" s="218" t="s">
        <v>167</v>
      </c>
      <c r="F27" s="180" t="s">
        <v>75</v>
      </c>
      <c r="G27" s="14">
        <v>1</v>
      </c>
      <c r="H27" s="171">
        <v>43865</v>
      </c>
      <c r="I27" s="170">
        <v>44348</v>
      </c>
      <c r="J27" s="169">
        <f>367/360</f>
        <v>1.0194444444444444</v>
      </c>
      <c r="K27" s="32">
        <f t="shared" si="0"/>
        <v>1.0194444444444444</v>
      </c>
      <c r="L27" s="32">
        <f t="shared" si="0"/>
        <v>1.0194444444444444</v>
      </c>
      <c r="M27" s="348" t="s">
        <v>314</v>
      </c>
      <c r="O27" s="177">
        <f>YEARFRAC(H27,I27,30/360)</f>
        <v>1.325</v>
      </c>
      <c r="P27" s="156">
        <f>+J27</f>
        <v>1.0194444444444444</v>
      </c>
      <c r="Q27" s="156" t="e">
        <f>_xlfn.DAYS(I27,H27)</f>
        <v>#VALUE!</v>
      </c>
      <c r="R27" s="157" t="e">
        <f>+Q27/30</f>
        <v>#VALUE!</v>
      </c>
      <c r="S27" s="156"/>
      <c r="T27" s="155">
        <f>10*30+7</f>
        <v>307</v>
      </c>
      <c r="U27" s="155">
        <f>+T27/30</f>
        <v>10.233333333333333</v>
      </c>
      <c r="W27" s="155">
        <v>367</v>
      </c>
      <c r="X27" s="219">
        <f>+W27/30</f>
        <v>12.233333333333333</v>
      </c>
    </row>
    <row r="28" spans="1:26" ht="124.9" customHeight="1" x14ac:dyDescent="0.2">
      <c r="A28" s="162"/>
      <c r="B28" s="176" t="s">
        <v>154</v>
      </c>
      <c r="C28" s="175" t="s">
        <v>105</v>
      </c>
      <c r="D28" s="175" t="s">
        <v>0</v>
      </c>
      <c r="E28" s="218" t="s">
        <v>168</v>
      </c>
      <c r="F28" s="172" t="s">
        <v>107</v>
      </c>
      <c r="G28" s="14">
        <v>1</v>
      </c>
      <c r="H28" s="171">
        <v>43686</v>
      </c>
      <c r="I28" s="170">
        <v>43798</v>
      </c>
      <c r="J28" s="120">
        <f>101/360</f>
        <v>0.28055555555555556</v>
      </c>
      <c r="K28" s="32">
        <f t="shared" si="0"/>
        <v>0.28055555555555556</v>
      </c>
      <c r="L28" s="32">
        <f t="shared" si="0"/>
        <v>0.28055555555555556</v>
      </c>
      <c r="M28" s="42" t="s">
        <v>314</v>
      </c>
      <c r="O28" s="184" t="e">
        <f>+_xlfn.DAYS(I28,H28)</f>
        <v>#VALUE!</v>
      </c>
      <c r="P28" s="220" t="e">
        <f>+O28/30</f>
        <v>#VALUE!</v>
      </c>
      <c r="W28" s="155">
        <f>3*30+11</f>
        <v>101</v>
      </c>
      <c r="X28" s="155">
        <f>+W28/30</f>
        <v>3.3666666666666667</v>
      </c>
    </row>
    <row r="29" spans="1:26" ht="83.25" customHeight="1" x14ac:dyDescent="0.2">
      <c r="A29" s="162"/>
      <c r="B29" s="176" t="s">
        <v>31</v>
      </c>
      <c r="C29" s="175" t="s">
        <v>163</v>
      </c>
      <c r="D29" s="175" t="s">
        <v>0</v>
      </c>
      <c r="E29" s="218" t="s">
        <v>169</v>
      </c>
      <c r="F29" s="172" t="s">
        <v>170</v>
      </c>
      <c r="G29" s="14">
        <v>1</v>
      </c>
      <c r="H29" s="171">
        <v>43070</v>
      </c>
      <c r="I29" s="170">
        <v>43159</v>
      </c>
      <c r="J29" s="169">
        <f>90/360</f>
        <v>0.25</v>
      </c>
      <c r="K29" s="32">
        <f>J29</f>
        <v>0.25</v>
      </c>
      <c r="L29" s="32">
        <v>0</v>
      </c>
      <c r="M29" s="41" t="s">
        <v>314</v>
      </c>
      <c r="O29" s="184" t="e">
        <f>+_xlfn.DAYS(I29,H29)</f>
        <v>#VALUE!</v>
      </c>
      <c r="P29" s="220" t="e">
        <f>+O29/30</f>
        <v>#VALUE!</v>
      </c>
      <c r="W29" s="177">
        <f>DAYS360(H29,I29)</f>
        <v>87</v>
      </c>
      <c r="X29" s="155">
        <f>+W29/30</f>
        <v>2.9</v>
      </c>
    </row>
    <row r="30" spans="1:26" ht="84.75" customHeight="1" x14ac:dyDescent="0.2">
      <c r="A30" s="162"/>
      <c r="B30" s="176" t="s">
        <v>58</v>
      </c>
      <c r="C30" s="175" t="s">
        <v>163</v>
      </c>
      <c r="D30" s="175" t="s">
        <v>171</v>
      </c>
      <c r="E30" s="218" t="s">
        <v>172</v>
      </c>
      <c r="F30" s="172" t="s">
        <v>34</v>
      </c>
      <c r="G30" s="14">
        <v>1</v>
      </c>
      <c r="H30" s="171">
        <v>41944</v>
      </c>
      <c r="I30" s="170">
        <v>42399</v>
      </c>
      <c r="J30" s="169">
        <f>(15*30)/360</f>
        <v>1.25</v>
      </c>
      <c r="K30" s="32">
        <f>J30</f>
        <v>1.25</v>
      </c>
      <c r="L30" s="32">
        <v>0</v>
      </c>
      <c r="M30" s="355" t="s">
        <v>314</v>
      </c>
      <c r="O30" s="184" t="e">
        <f>+_xlfn.DAYS(I30,H30)</f>
        <v>#VALUE!</v>
      </c>
      <c r="P30" s="220" t="e">
        <f>+O30/30</f>
        <v>#VALUE!</v>
      </c>
      <c r="W30" s="177">
        <f>DAYS360(H30,I30)</f>
        <v>449</v>
      </c>
      <c r="X30" s="155">
        <f>+W30/30</f>
        <v>14.966666666666667</v>
      </c>
    </row>
    <row r="31" spans="1:26" ht="51.75" thickBot="1" x14ac:dyDescent="0.25">
      <c r="A31" s="162"/>
      <c r="B31" s="176" t="s">
        <v>173</v>
      </c>
      <c r="C31" s="175" t="s">
        <v>163</v>
      </c>
      <c r="D31" s="175" t="s">
        <v>174</v>
      </c>
      <c r="E31" s="218" t="s">
        <v>175</v>
      </c>
      <c r="F31" s="172" t="s">
        <v>34</v>
      </c>
      <c r="G31" s="14">
        <v>1</v>
      </c>
      <c r="H31" s="171">
        <v>41733</v>
      </c>
      <c r="I31" s="170">
        <v>41914</v>
      </c>
      <c r="J31" s="169">
        <f>178/360</f>
        <v>0.49444444444444446</v>
      </c>
      <c r="K31" s="32">
        <f>J31</f>
        <v>0.49444444444444446</v>
      </c>
      <c r="L31" s="32">
        <v>0</v>
      </c>
      <c r="M31" s="355" t="s">
        <v>314</v>
      </c>
      <c r="O31" s="184" t="e">
        <f>+_xlfn.DAYS(I31,H31)</f>
        <v>#VALUE!</v>
      </c>
      <c r="P31" s="220" t="e">
        <f>+O31/30</f>
        <v>#VALUE!</v>
      </c>
      <c r="W31" s="177">
        <f>DAYS360(H31,I31)</f>
        <v>178</v>
      </c>
      <c r="X31" s="155">
        <f>+W31/30</f>
        <v>5.9333333333333336</v>
      </c>
    </row>
    <row r="32" spans="1:26" ht="29.25" customHeight="1" thickBot="1" x14ac:dyDescent="0.25">
      <c r="A32" s="161"/>
      <c r="B32" s="147"/>
      <c r="C32" s="23"/>
      <c r="D32" s="148"/>
      <c r="E32" s="148"/>
      <c r="F32" s="148"/>
      <c r="G32" s="148"/>
      <c r="H32" s="431" t="s">
        <v>315</v>
      </c>
      <c r="I32" s="432"/>
      <c r="J32" s="433"/>
      <c r="K32" s="343">
        <f>SUM(K23:K31)</f>
        <v>5.7944444444444443</v>
      </c>
      <c r="L32" s="334"/>
      <c r="M32" s="362" t="s">
        <v>308</v>
      </c>
      <c r="P32" s="220"/>
      <c r="W32" s="177"/>
    </row>
    <row r="33" spans="1:23" ht="20.25" customHeight="1" thickBot="1" x14ac:dyDescent="0.25">
      <c r="A33" s="162"/>
      <c r="B33" s="147"/>
      <c r="C33" s="23"/>
      <c r="D33" s="148"/>
      <c r="E33" s="148"/>
      <c r="F33" s="148"/>
      <c r="G33" s="148"/>
      <c r="H33" s="55"/>
      <c r="I33" s="429" t="s">
        <v>316</v>
      </c>
      <c r="J33" s="429"/>
      <c r="K33" s="430"/>
      <c r="L33" s="344">
        <f>SUM(L23:L31)</f>
        <v>3.8</v>
      </c>
      <c r="M33" s="73" t="s">
        <v>308</v>
      </c>
      <c r="P33" s="220"/>
      <c r="W33" s="177"/>
    </row>
    <row r="34" spans="1:23" x14ac:dyDescent="0.2">
      <c r="A34" s="162"/>
      <c r="B34" s="147"/>
      <c r="C34" s="23"/>
      <c r="D34" s="55" t="s">
        <v>317</v>
      </c>
      <c r="E34" s="148"/>
      <c r="F34" s="148"/>
      <c r="G34" s="148"/>
      <c r="H34" s="244"/>
      <c r="I34" s="152"/>
      <c r="J34" s="23"/>
      <c r="K34" s="23"/>
      <c r="L34" s="77"/>
      <c r="M34" s="86"/>
      <c r="P34" s="220"/>
      <c r="W34" s="177"/>
    </row>
    <row r="35" spans="1:23" x14ac:dyDescent="0.2">
      <c r="A35" s="162"/>
      <c r="B35" s="147"/>
      <c r="C35" s="23"/>
      <c r="D35" s="71" t="s">
        <v>318</v>
      </c>
      <c r="E35" s="148"/>
      <c r="F35" s="148"/>
      <c r="G35" s="148"/>
      <c r="H35" s="244"/>
      <c r="I35" s="152"/>
      <c r="J35" s="23"/>
      <c r="K35" s="23"/>
      <c r="L35" s="77"/>
      <c r="M35" s="86"/>
      <c r="P35" s="220"/>
      <c r="W35" s="177"/>
    </row>
    <row r="36" spans="1:23" x14ac:dyDescent="0.2">
      <c r="A36" s="162"/>
      <c r="B36" s="356"/>
      <c r="C36" s="357"/>
      <c r="D36" s="357"/>
      <c r="E36" s="358"/>
      <c r="F36" s="359"/>
      <c r="G36" s="333"/>
      <c r="H36" s="360"/>
      <c r="I36" s="361"/>
      <c r="J36" s="233"/>
      <c r="K36" s="334"/>
      <c r="L36" s="334"/>
      <c r="M36" s="363"/>
      <c r="P36" s="220"/>
      <c r="W36" s="177"/>
    </row>
    <row r="37" spans="1:23" ht="13.5" thickBot="1" x14ac:dyDescent="0.25">
      <c r="B37" s="160"/>
      <c r="C37" s="159"/>
      <c r="D37" s="159"/>
      <c r="E37" s="159"/>
      <c r="F37" s="159"/>
      <c r="G37" s="159"/>
      <c r="H37" s="159"/>
      <c r="I37" s="159"/>
      <c r="J37" s="159"/>
      <c r="K37" s="159"/>
      <c r="L37" s="159"/>
      <c r="M37" s="158"/>
    </row>
    <row r="38" spans="1:23" ht="6.75" customHeight="1" x14ac:dyDescent="0.2"/>
  </sheetData>
  <mergeCells count="19">
    <mergeCell ref="I33:K33"/>
    <mergeCell ref="G21:G22"/>
    <mergeCell ref="J21:J22"/>
    <mergeCell ref="K21:K22"/>
    <mergeCell ref="M21:M22"/>
    <mergeCell ref="H32:J32"/>
    <mergeCell ref="B4:L4"/>
    <mergeCell ref="H13:I13"/>
    <mergeCell ref="J13:L13"/>
    <mergeCell ref="L21:L22"/>
    <mergeCell ref="D7:F7"/>
    <mergeCell ref="D9:L9"/>
    <mergeCell ref="D11:E11"/>
    <mergeCell ref="D13:E13"/>
    <mergeCell ref="B21:B22"/>
    <mergeCell ref="C21:C22"/>
    <mergeCell ref="D21:D22"/>
    <mergeCell ref="E21:E22"/>
    <mergeCell ref="F21:F22"/>
  </mergeCells>
  <printOptions horizontalCentered="1" verticalCentered="1"/>
  <pageMargins left="0" right="0" top="0" bottom="0" header="0" footer="0"/>
  <pageSetup scale="47" orientation="portrait" r:id="rId1"/>
  <headerFooter alignWithMargins="0"/>
  <rowBreaks count="1" manualBreakCount="1">
    <brk id="31" max="1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view="pageBreakPreview" topLeftCell="B1" zoomScale="90" zoomScaleNormal="100" zoomScaleSheetLayoutView="90" workbookViewId="0">
      <selection activeCell="E8" sqref="E8:F8"/>
    </sheetView>
  </sheetViews>
  <sheetFormatPr baseColWidth="10" defaultColWidth="11.5703125" defaultRowHeight="12.75" x14ac:dyDescent="0.2"/>
  <cols>
    <col min="1" max="1" width="0.7109375" style="155" customWidth="1"/>
    <col min="2" max="2" width="18.28515625" style="155" customWidth="1"/>
    <col min="3" max="3" width="0.42578125" style="155" hidden="1" customWidth="1"/>
    <col min="4" max="4" width="16" style="155" customWidth="1"/>
    <col min="5" max="5" width="43.85546875" style="155" customWidth="1"/>
    <col min="6" max="6" width="11.5703125" style="155"/>
    <col min="7" max="8" width="13.42578125" style="155" customWidth="1"/>
    <col min="9" max="10" width="12.5703125" style="155" customWidth="1"/>
    <col min="11" max="11" width="14" style="155" customWidth="1"/>
    <col min="12" max="12" width="14.140625" style="155" customWidth="1"/>
    <col min="13" max="13" width="22" style="155" customWidth="1"/>
    <col min="14" max="14" width="2.85546875" style="155" customWidth="1"/>
    <col min="15" max="15" width="13.42578125" style="155" customWidth="1"/>
    <col min="16" max="16" width="15.7109375" style="155" customWidth="1"/>
    <col min="17" max="17" width="2.85546875" style="155" customWidth="1"/>
    <col min="18" max="18" width="2.5703125" style="155" customWidth="1"/>
    <col min="19" max="19" width="2" style="155" customWidth="1"/>
    <col min="20" max="20" width="3" style="155" customWidth="1"/>
    <col min="21" max="21" width="4.85546875" style="155" customWidth="1"/>
    <col min="22" max="22" width="2.7109375" style="155" customWidth="1"/>
    <col min="23" max="23" width="4.5703125" style="155" customWidth="1"/>
    <col min="24" max="24" width="18.7109375" style="222" customWidth="1"/>
    <col min="25" max="25" width="21.140625" style="155" customWidth="1"/>
    <col min="26" max="16384" width="11.5703125" style="155"/>
  </cols>
  <sheetData>
    <row r="1" spans="2:24" ht="6" customHeight="1" thickBot="1" x14ac:dyDescent="0.25">
      <c r="H1" s="159"/>
      <c r="I1" s="159"/>
      <c r="J1" s="159"/>
      <c r="K1" s="159"/>
      <c r="L1" s="159"/>
      <c r="M1" s="162"/>
      <c r="N1" s="162"/>
    </row>
    <row r="2" spans="2:24" ht="2.25" customHeight="1" x14ac:dyDescent="0.2">
      <c r="B2" s="200"/>
      <c r="C2" s="201"/>
      <c r="D2" s="201"/>
      <c r="E2" s="201"/>
      <c r="F2" s="201"/>
      <c r="G2" s="201"/>
      <c r="H2" s="201"/>
      <c r="I2" s="199"/>
      <c r="J2" s="199"/>
      <c r="K2" s="199"/>
      <c r="L2" s="199"/>
      <c r="M2" s="198"/>
      <c r="N2" s="162"/>
    </row>
    <row r="3" spans="2:24" x14ac:dyDescent="0.2">
      <c r="B3" s="202"/>
      <c r="C3" s="203"/>
      <c r="D3" s="203"/>
      <c r="E3" s="203"/>
      <c r="F3" s="203"/>
      <c r="G3" s="203"/>
      <c r="H3" s="203"/>
      <c r="I3" s="203"/>
      <c r="J3" s="203"/>
      <c r="K3" s="203"/>
      <c r="L3" s="203"/>
      <c r="M3" s="204"/>
      <c r="N3" s="203"/>
    </row>
    <row r="4" spans="2:24" ht="15" customHeight="1" x14ac:dyDescent="0.2">
      <c r="B4" s="501" t="s">
        <v>373</v>
      </c>
      <c r="C4" s="450"/>
      <c r="D4" s="450"/>
      <c r="E4" s="450"/>
      <c r="F4" s="450"/>
      <c r="G4" s="450"/>
      <c r="H4" s="450"/>
      <c r="I4" s="450"/>
      <c r="J4" s="450"/>
      <c r="K4" s="450"/>
      <c r="L4" s="450"/>
      <c r="M4" s="451"/>
      <c r="N4" s="195"/>
      <c r="O4" s="346"/>
      <c r="P4" s="346"/>
    </row>
    <row r="5" spans="2:24" ht="12" customHeight="1" x14ac:dyDescent="0.2">
      <c r="B5" s="165"/>
      <c r="C5" s="196"/>
      <c r="D5" s="196"/>
      <c r="E5" s="196"/>
      <c r="F5" s="195"/>
      <c r="G5" s="195"/>
      <c r="H5" s="195"/>
      <c r="I5" s="162"/>
      <c r="J5" s="162"/>
      <c r="K5" s="162"/>
      <c r="L5" s="162"/>
      <c r="M5" s="161"/>
      <c r="N5" s="162"/>
    </row>
    <row r="6" spans="2:24" ht="12" customHeight="1" x14ac:dyDescent="0.2">
      <c r="B6" s="165"/>
      <c r="C6" s="196"/>
      <c r="D6" s="196"/>
      <c r="E6" s="196"/>
      <c r="F6" s="195"/>
      <c r="G6" s="195"/>
      <c r="H6" s="195"/>
      <c r="I6" s="162"/>
      <c r="J6" s="162"/>
      <c r="K6" s="162"/>
      <c r="L6" s="162"/>
      <c r="M6" s="161"/>
      <c r="N6" s="162"/>
    </row>
    <row r="7" spans="2:24" ht="15" customHeight="1" x14ac:dyDescent="0.2">
      <c r="B7" s="194" t="s">
        <v>88</v>
      </c>
      <c r="C7" s="186"/>
      <c r="D7" s="51" t="s">
        <v>343</v>
      </c>
      <c r="E7" s="192"/>
      <c r="F7" s="192"/>
      <c r="G7" s="192"/>
      <c r="H7" s="192"/>
      <c r="I7" s="192"/>
      <c r="J7" s="192"/>
      <c r="K7" s="192"/>
      <c r="L7" s="192"/>
      <c r="M7" s="191"/>
      <c r="N7" s="192"/>
    </row>
    <row r="8" spans="2:24" ht="26.25" customHeight="1" x14ac:dyDescent="0.2">
      <c r="B8" s="427" t="s">
        <v>377</v>
      </c>
      <c r="C8" s="186"/>
      <c r="D8" s="419">
        <v>45713</v>
      </c>
      <c r="E8" s="425" t="s">
        <v>375</v>
      </c>
      <c r="F8" s="426">
        <v>45719</v>
      </c>
      <c r="G8" s="192"/>
      <c r="H8" s="192"/>
      <c r="I8" s="192"/>
      <c r="J8" s="192"/>
      <c r="K8" s="192"/>
      <c r="L8" s="192"/>
      <c r="M8" s="191"/>
      <c r="N8" s="192"/>
    </row>
    <row r="9" spans="2:24" ht="45" customHeight="1" x14ac:dyDescent="0.2">
      <c r="B9" s="194" t="s">
        <v>1</v>
      </c>
      <c r="C9" s="186"/>
      <c r="D9" s="502" t="s">
        <v>84</v>
      </c>
      <c r="E9" s="502"/>
      <c r="F9" s="502"/>
      <c r="G9" s="502"/>
      <c r="H9" s="502"/>
      <c r="I9" s="502"/>
      <c r="J9" s="502"/>
      <c r="K9" s="502"/>
      <c r="L9" s="502"/>
      <c r="M9" s="205"/>
      <c r="N9" s="88"/>
    </row>
    <row r="10" spans="2:24" s="189" customFormat="1" ht="15" customHeight="1" x14ac:dyDescent="0.25">
      <c r="B10" s="188" t="s">
        <v>2</v>
      </c>
      <c r="C10" s="187"/>
      <c r="D10" s="192" t="str">
        <f>+[16]DATOS!B7</f>
        <v>EDELMIRA SIERRA GUTIÉRREZ</v>
      </c>
      <c r="E10" s="192"/>
      <c r="F10" s="192"/>
      <c r="G10" s="192"/>
      <c r="H10" s="192"/>
      <c r="I10" s="192"/>
      <c r="J10" s="192"/>
      <c r="K10" s="192"/>
      <c r="L10" s="192"/>
      <c r="M10" s="191"/>
      <c r="N10" s="192"/>
      <c r="X10" s="222"/>
    </row>
    <row r="11" spans="2:24" ht="7.5" customHeight="1" x14ac:dyDescent="0.2">
      <c r="B11" s="188"/>
      <c r="C11" s="187"/>
      <c r="D11" s="186"/>
      <c r="E11" s="186"/>
      <c r="F11" s="186"/>
      <c r="G11" s="186"/>
      <c r="H11" s="186"/>
      <c r="I11" s="162"/>
      <c r="J11" s="162"/>
      <c r="K11" s="162"/>
      <c r="L11" s="162"/>
      <c r="M11" s="161"/>
      <c r="N11" s="162"/>
    </row>
    <row r="12" spans="2:24" ht="24" customHeight="1" x14ac:dyDescent="0.2">
      <c r="B12" s="477" t="s">
        <v>3</v>
      </c>
      <c r="C12" s="478"/>
      <c r="D12" s="223" t="s">
        <v>176</v>
      </c>
      <c r="E12" s="224"/>
      <c r="F12" s="224"/>
      <c r="G12" s="224"/>
      <c r="H12" s="459" t="s">
        <v>306</v>
      </c>
      <c r="I12" s="459"/>
      <c r="J12" s="463" t="s">
        <v>332</v>
      </c>
      <c r="K12" s="463"/>
      <c r="L12" s="463"/>
      <c r="M12" s="151"/>
      <c r="N12" s="162"/>
    </row>
    <row r="13" spans="2:24" ht="18" customHeight="1" x14ac:dyDescent="0.2">
      <c r="B13" s="477" t="s">
        <v>5</v>
      </c>
      <c r="C13" s="507"/>
      <c r="D13" s="209" t="s">
        <v>177</v>
      </c>
      <c r="E13" s="211"/>
      <c r="F13" s="211"/>
      <c r="G13" s="211"/>
      <c r="H13" s="6"/>
      <c r="I13" s="72"/>
      <c r="J13" s="85"/>
      <c r="K13" s="77"/>
      <c r="L13" s="77"/>
      <c r="M13" s="86"/>
      <c r="N13" s="162"/>
    </row>
    <row r="14" spans="2:24" ht="18" customHeight="1" x14ac:dyDescent="0.2">
      <c r="B14" s="477" t="s">
        <v>6</v>
      </c>
      <c r="C14" s="507"/>
      <c r="D14" s="212" t="s">
        <v>178</v>
      </c>
      <c r="E14" s="213"/>
      <c r="F14" s="213"/>
      <c r="G14" s="213"/>
      <c r="H14" s="328" t="s">
        <v>308</v>
      </c>
      <c r="I14" s="328" t="s">
        <v>309</v>
      </c>
      <c r="J14" s="85"/>
      <c r="K14" s="77"/>
      <c r="L14" s="77"/>
      <c r="M14" s="86"/>
      <c r="N14" s="162"/>
    </row>
    <row r="15" spans="2:24" ht="18" customHeight="1" x14ac:dyDescent="0.2">
      <c r="B15" s="477" t="s">
        <v>9</v>
      </c>
      <c r="C15" s="507"/>
      <c r="D15" s="214">
        <v>38559</v>
      </c>
      <c r="E15" s="213"/>
      <c r="F15" s="213"/>
      <c r="G15" s="213"/>
      <c r="H15" s="221" t="s">
        <v>308</v>
      </c>
      <c r="I15" s="321"/>
      <c r="J15" s="51"/>
      <c r="K15" s="54"/>
      <c r="L15" s="54"/>
      <c r="M15" s="25"/>
      <c r="N15" s="162"/>
    </row>
    <row r="16" spans="2:24" ht="18" customHeight="1" x14ac:dyDescent="0.2">
      <c r="B16" s="477" t="s">
        <v>11</v>
      </c>
      <c r="C16" s="507"/>
      <c r="D16" s="214">
        <v>40693</v>
      </c>
      <c r="E16" s="213"/>
      <c r="F16" s="213"/>
      <c r="G16" s="215"/>
      <c r="H16" s="186"/>
      <c r="I16" s="162"/>
      <c r="J16" s="162"/>
      <c r="K16" s="162"/>
      <c r="L16" s="162"/>
      <c r="M16" s="161"/>
      <c r="N16" s="162"/>
    </row>
    <row r="17" spans="1:26" ht="18" customHeight="1" x14ac:dyDescent="0.2">
      <c r="B17" s="477" t="s">
        <v>13</v>
      </c>
      <c r="C17" s="507"/>
      <c r="D17" s="209" t="s">
        <v>179</v>
      </c>
      <c r="E17" s="211"/>
      <c r="F17" s="162"/>
      <c r="G17" s="162"/>
      <c r="H17" s="195"/>
      <c r="I17" s="192"/>
      <c r="J17" s="162"/>
      <c r="K17" s="162"/>
      <c r="L17" s="162"/>
      <c r="M17" s="161"/>
      <c r="N17" s="162"/>
    </row>
    <row r="18" spans="1:26" ht="18" customHeight="1" x14ac:dyDescent="0.2">
      <c r="B18" s="477" t="s">
        <v>16</v>
      </c>
      <c r="C18" s="507"/>
      <c r="D18" s="214">
        <v>40888</v>
      </c>
      <c r="E18" s="211"/>
      <c r="F18" s="211"/>
      <c r="G18" s="211"/>
      <c r="H18" s="186"/>
      <c r="I18" s="162"/>
      <c r="J18" s="162"/>
      <c r="K18" s="162"/>
      <c r="L18" s="162"/>
      <c r="M18" s="161"/>
      <c r="N18" s="162"/>
      <c r="Y18" s="184" t="s">
        <v>180</v>
      </c>
      <c r="Z18" s="184">
        <v>616000</v>
      </c>
    </row>
    <row r="19" spans="1:26" ht="11.25" customHeight="1" thickBot="1" x14ac:dyDescent="0.25">
      <c r="B19" s="183"/>
      <c r="C19" s="164"/>
      <c r="D19" s="182"/>
      <c r="E19" s="182"/>
      <c r="F19" s="182"/>
      <c r="G19" s="182"/>
      <c r="H19" s="182"/>
      <c r="I19" s="162"/>
      <c r="J19" s="162"/>
      <c r="K19" s="162"/>
      <c r="L19" s="162"/>
      <c r="M19" s="158"/>
      <c r="N19" s="162"/>
      <c r="Y19" s="184" t="s">
        <v>12</v>
      </c>
      <c r="Z19" s="155">
        <v>644350</v>
      </c>
    </row>
    <row r="20" spans="1:26" ht="31.9" customHeight="1" x14ac:dyDescent="0.2">
      <c r="A20" s="162"/>
      <c r="B20" s="508" t="s">
        <v>19</v>
      </c>
      <c r="C20" s="512" t="s">
        <v>95</v>
      </c>
      <c r="D20" s="512" t="s">
        <v>20</v>
      </c>
      <c r="E20" s="514" t="s">
        <v>1</v>
      </c>
      <c r="F20" s="510" t="s">
        <v>21</v>
      </c>
      <c r="G20" s="510" t="s">
        <v>22</v>
      </c>
      <c r="H20" s="365" t="s">
        <v>23</v>
      </c>
      <c r="I20" s="366"/>
      <c r="J20" s="510" t="s">
        <v>24</v>
      </c>
      <c r="K20" s="444" t="s">
        <v>322</v>
      </c>
      <c r="L20" s="457" t="s">
        <v>333</v>
      </c>
      <c r="M20" s="447" t="s">
        <v>181</v>
      </c>
      <c r="N20" s="225"/>
      <c r="Y20" s="216" t="s">
        <v>25</v>
      </c>
      <c r="Z20" s="216" t="s">
        <v>26</v>
      </c>
    </row>
    <row r="21" spans="1:26" ht="27" customHeight="1" thickBot="1" x14ac:dyDescent="0.25">
      <c r="A21" s="162"/>
      <c r="B21" s="509"/>
      <c r="C21" s="513"/>
      <c r="D21" s="513"/>
      <c r="E21" s="515"/>
      <c r="F21" s="511"/>
      <c r="G21" s="511"/>
      <c r="H21" s="367" t="s">
        <v>28</v>
      </c>
      <c r="I21" s="367" t="s">
        <v>96</v>
      </c>
      <c r="J21" s="511"/>
      <c r="K21" s="445"/>
      <c r="L21" s="458"/>
      <c r="M21" s="448"/>
      <c r="N21" s="225"/>
      <c r="X21" s="226" t="s">
        <v>181</v>
      </c>
      <c r="Y21" s="216"/>
      <c r="Z21" s="216"/>
    </row>
    <row r="22" spans="1:26" ht="147" customHeight="1" x14ac:dyDescent="0.2">
      <c r="A22" s="162"/>
      <c r="B22" s="227" t="s">
        <v>364</v>
      </c>
      <c r="C22" s="106"/>
      <c r="D22" s="406" t="s">
        <v>36</v>
      </c>
      <c r="E22" s="407" t="s">
        <v>344</v>
      </c>
      <c r="F22" s="408" t="s">
        <v>345</v>
      </c>
      <c r="G22" s="409">
        <v>1</v>
      </c>
      <c r="H22" s="410">
        <v>45338</v>
      </c>
      <c r="I22" s="411">
        <v>45632</v>
      </c>
      <c r="J22" s="32">
        <f>290/360</f>
        <v>0.80555555555555558</v>
      </c>
      <c r="K22" s="32">
        <f>J22</f>
        <v>0.80555555555555558</v>
      </c>
      <c r="L22" s="32">
        <f>K22</f>
        <v>0.80555555555555558</v>
      </c>
      <c r="M22" s="47" t="s">
        <v>314</v>
      </c>
      <c r="N22" s="225"/>
      <c r="X22" s="226"/>
      <c r="Y22" s="217"/>
      <c r="Z22" s="217"/>
    </row>
    <row r="23" spans="1:26" ht="99.6" customHeight="1" x14ac:dyDescent="0.2">
      <c r="A23" s="162"/>
      <c r="B23" s="227" t="s">
        <v>154</v>
      </c>
      <c r="C23" s="106" t="s">
        <v>4</v>
      </c>
      <c r="D23" s="99" t="s">
        <v>36</v>
      </c>
      <c r="E23" s="100" t="s">
        <v>86</v>
      </c>
      <c r="F23" s="98" t="s">
        <v>85</v>
      </c>
      <c r="G23" s="228">
        <v>1</v>
      </c>
      <c r="H23" s="102">
        <v>45068</v>
      </c>
      <c r="I23" s="103">
        <v>45275</v>
      </c>
      <c r="J23" s="32">
        <f>203/360</f>
        <v>0.56388888888888888</v>
      </c>
      <c r="K23" s="32">
        <f t="shared" ref="K23:L31" si="0">J23</f>
        <v>0.56388888888888888</v>
      </c>
      <c r="L23" s="32">
        <f t="shared" si="0"/>
        <v>0.56388888888888888</v>
      </c>
      <c r="M23" s="47" t="s">
        <v>314</v>
      </c>
      <c r="N23" s="105"/>
      <c r="X23" s="226"/>
      <c r="Y23" s="177">
        <f>DAYS360(H23,I23)</f>
        <v>203</v>
      </c>
      <c r="Z23" s="229">
        <f>+Y23/30</f>
        <v>6.7666666666666666</v>
      </c>
    </row>
    <row r="24" spans="1:26" ht="110.25" customHeight="1" x14ac:dyDescent="0.2">
      <c r="A24" s="162"/>
      <c r="B24" s="176" t="s">
        <v>154</v>
      </c>
      <c r="C24" s="115" t="s">
        <v>4</v>
      </c>
      <c r="D24" s="230" t="s">
        <v>36</v>
      </c>
      <c r="E24" s="231" t="s">
        <v>72</v>
      </c>
      <c r="F24" s="232" t="s">
        <v>81</v>
      </c>
      <c r="G24" s="20" t="s">
        <v>34</v>
      </c>
      <c r="H24" s="171">
        <v>44809</v>
      </c>
      <c r="I24" s="40">
        <v>45067</v>
      </c>
      <c r="J24" s="169">
        <f>(165+57)/360</f>
        <v>0.6166666666666667</v>
      </c>
      <c r="K24" s="32">
        <f t="shared" si="0"/>
        <v>0.6166666666666667</v>
      </c>
      <c r="L24" s="32">
        <f t="shared" si="0"/>
        <v>0.6166666666666667</v>
      </c>
      <c r="M24" s="348" t="s">
        <v>335</v>
      </c>
      <c r="N24" s="111"/>
      <c r="X24" s="226"/>
      <c r="Y24" s="177">
        <f>DAYS360(H24,I24)</f>
        <v>256</v>
      </c>
      <c r="Z24" s="229">
        <f>+Y24/30</f>
        <v>8.5333333333333332</v>
      </c>
    </row>
    <row r="25" spans="1:26" ht="121.5" customHeight="1" x14ac:dyDescent="0.2">
      <c r="A25" s="162"/>
      <c r="B25" s="176" t="s">
        <v>154</v>
      </c>
      <c r="C25" s="106" t="s">
        <v>4</v>
      </c>
      <c r="D25" s="99" t="s">
        <v>36</v>
      </c>
      <c r="E25" s="107" t="s">
        <v>72</v>
      </c>
      <c r="F25" s="108" t="s">
        <v>73</v>
      </c>
      <c r="G25" s="109">
        <v>1</v>
      </c>
      <c r="H25" s="112">
        <v>44609</v>
      </c>
      <c r="I25" s="113">
        <v>44806</v>
      </c>
      <c r="J25" s="169">
        <f>185/360</f>
        <v>0.51388888888888884</v>
      </c>
      <c r="K25" s="32">
        <f t="shared" si="0"/>
        <v>0.51388888888888884</v>
      </c>
      <c r="L25" s="32">
        <f t="shared" si="0"/>
        <v>0.51388888888888884</v>
      </c>
      <c r="M25" s="41" t="s">
        <v>314</v>
      </c>
      <c r="N25" s="111"/>
      <c r="X25" s="226"/>
      <c r="Y25" s="217"/>
      <c r="Z25" s="217"/>
    </row>
    <row r="26" spans="1:26" ht="96.6" customHeight="1" x14ac:dyDescent="0.2">
      <c r="A26" s="162"/>
      <c r="B26" s="176" t="s">
        <v>154</v>
      </c>
      <c r="C26" s="175" t="s">
        <v>4</v>
      </c>
      <c r="D26" s="174" t="s">
        <v>0</v>
      </c>
      <c r="E26" s="218" t="s">
        <v>182</v>
      </c>
      <c r="F26" s="180" t="s">
        <v>75</v>
      </c>
      <c r="G26" s="14">
        <v>1</v>
      </c>
      <c r="H26" s="171">
        <v>43865</v>
      </c>
      <c r="I26" s="170">
        <v>44348</v>
      </c>
      <c r="J26" s="169">
        <f>367/360</f>
        <v>1.0194444444444444</v>
      </c>
      <c r="K26" s="32">
        <f t="shared" si="0"/>
        <v>1.0194444444444444</v>
      </c>
      <c r="L26" s="32">
        <f t="shared" si="0"/>
        <v>1.0194444444444444</v>
      </c>
      <c r="M26" s="348" t="s">
        <v>314</v>
      </c>
      <c r="N26" s="233"/>
      <c r="O26" s="177">
        <f>YEARFRAC(H26,I26,30/360)</f>
        <v>1.325</v>
      </c>
      <c r="P26" s="156">
        <f>+J26</f>
        <v>1.0194444444444444</v>
      </c>
      <c r="Q26" s="156" t="e">
        <f>_xlfn.DAYS(I26,H26)</f>
        <v>#VALUE!</v>
      </c>
      <c r="R26" s="157" t="e">
        <f>+Q26/30</f>
        <v>#VALUE!</v>
      </c>
      <c r="S26" s="156"/>
      <c r="T26" s="155">
        <f>10*30+7</f>
        <v>307</v>
      </c>
      <c r="U26" s="155">
        <f>+T26/30</f>
        <v>10.233333333333333</v>
      </c>
      <c r="W26" s="155">
        <f>367/30</f>
        <v>12.233333333333333</v>
      </c>
      <c r="X26" s="234"/>
      <c r="Y26" s="155">
        <v>367</v>
      </c>
      <c r="Z26" s="155">
        <f t="shared" ref="Z26:Z31" si="1">+Y26/30</f>
        <v>12.233333333333333</v>
      </c>
    </row>
    <row r="27" spans="1:26" ht="123.6" customHeight="1" x14ac:dyDescent="0.2">
      <c r="A27" s="162"/>
      <c r="B27" s="176" t="s">
        <v>154</v>
      </c>
      <c r="C27" s="175" t="s">
        <v>105</v>
      </c>
      <c r="D27" s="175" t="s">
        <v>0</v>
      </c>
      <c r="E27" s="218" t="s">
        <v>183</v>
      </c>
      <c r="F27" s="172" t="s">
        <v>107</v>
      </c>
      <c r="G27" s="14">
        <v>1</v>
      </c>
      <c r="H27" s="171">
        <v>43686</v>
      </c>
      <c r="I27" s="170">
        <v>43798</v>
      </c>
      <c r="J27" s="120">
        <f>101/360</f>
        <v>0.28055555555555556</v>
      </c>
      <c r="K27" s="32">
        <f t="shared" si="0"/>
        <v>0.28055555555555556</v>
      </c>
      <c r="L27" s="32">
        <f t="shared" si="0"/>
        <v>0.28055555555555556</v>
      </c>
      <c r="M27" s="42" t="s">
        <v>314</v>
      </c>
      <c r="N27" s="235"/>
      <c r="O27" s="236" t="e">
        <f>+_xlfn.DAYS(I27,H27)</f>
        <v>#VALUE!</v>
      </c>
      <c r="P27" s="236" t="e">
        <f>+O27/30</f>
        <v>#VALUE!</v>
      </c>
      <c r="X27" s="234"/>
      <c r="Y27" s="155">
        <f>3*30+11</f>
        <v>101</v>
      </c>
      <c r="Z27" s="155">
        <f t="shared" si="1"/>
        <v>3.3666666666666667</v>
      </c>
    </row>
    <row r="28" spans="1:26" ht="108" customHeight="1" x14ac:dyDescent="0.2">
      <c r="A28" s="162"/>
      <c r="B28" s="176" t="s">
        <v>154</v>
      </c>
      <c r="C28" s="175" t="s">
        <v>4</v>
      </c>
      <c r="D28" s="174" t="s">
        <v>0</v>
      </c>
      <c r="E28" s="218" t="s">
        <v>184</v>
      </c>
      <c r="F28" s="172" t="s">
        <v>41</v>
      </c>
      <c r="G28" s="14">
        <v>1</v>
      </c>
      <c r="H28" s="171">
        <v>43222</v>
      </c>
      <c r="I28" s="170">
        <v>43619</v>
      </c>
      <c r="J28" s="169">
        <f>307/360</f>
        <v>0.85277777777777775</v>
      </c>
      <c r="K28" s="32">
        <f t="shared" si="0"/>
        <v>0.85277777777777775</v>
      </c>
      <c r="L28" s="32">
        <f t="shared" si="0"/>
        <v>0.85277777777777775</v>
      </c>
      <c r="M28" s="41" t="s">
        <v>314</v>
      </c>
      <c r="N28" s="233"/>
      <c r="O28" s="236" t="e">
        <f>+_xlfn.DAYS(I28,H28)</f>
        <v>#VALUE!</v>
      </c>
      <c r="P28" s="236" t="e">
        <f>+O28/30</f>
        <v>#VALUE!</v>
      </c>
      <c r="X28" s="234"/>
      <c r="Y28" s="155">
        <f>10*30+7</f>
        <v>307</v>
      </c>
      <c r="Z28" s="155">
        <f t="shared" si="1"/>
        <v>10.233333333333333</v>
      </c>
    </row>
    <row r="29" spans="1:26" ht="115.5" customHeight="1" x14ac:dyDescent="0.2">
      <c r="A29" s="162"/>
      <c r="B29" s="176" t="s">
        <v>143</v>
      </c>
      <c r="C29" s="174" t="s">
        <v>4</v>
      </c>
      <c r="D29" s="174" t="s">
        <v>0</v>
      </c>
      <c r="E29" s="237" t="s">
        <v>185</v>
      </c>
      <c r="F29" s="172" t="s">
        <v>186</v>
      </c>
      <c r="G29" s="14">
        <v>1</v>
      </c>
      <c r="H29" s="238">
        <v>42263</v>
      </c>
      <c r="I29" s="170">
        <v>42368</v>
      </c>
      <c r="J29" s="169">
        <f>105/360</f>
        <v>0.29166666666666669</v>
      </c>
      <c r="K29" s="32">
        <f t="shared" si="0"/>
        <v>0.29166666666666669</v>
      </c>
      <c r="L29" s="32">
        <f t="shared" si="0"/>
        <v>0.29166666666666669</v>
      </c>
      <c r="M29" s="355" t="s">
        <v>314</v>
      </c>
      <c r="N29" s="233"/>
      <c r="O29" s="236" t="e">
        <f>+_xlfn.DAYS(I29,H29)</f>
        <v>#VALUE!</v>
      </c>
      <c r="P29" s="236" t="e">
        <f>+O29/30</f>
        <v>#VALUE!</v>
      </c>
      <c r="X29" s="234"/>
      <c r="Y29" s="155">
        <f>3*30+15</f>
        <v>105</v>
      </c>
      <c r="Z29" s="155">
        <f t="shared" si="1"/>
        <v>3.5</v>
      </c>
    </row>
    <row r="30" spans="1:26" ht="59.45" customHeight="1" x14ac:dyDescent="0.2">
      <c r="A30" s="162"/>
      <c r="B30" s="176" t="s">
        <v>143</v>
      </c>
      <c r="C30" s="174" t="s">
        <v>187</v>
      </c>
      <c r="D30" s="174" t="s">
        <v>0</v>
      </c>
      <c r="E30" s="237" t="s">
        <v>188</v>
      </c>
      <c r="F30" s="172" t="s">
        <v>189</v>
      </c>
      <c r="G30" s="14">
        <v>1</v>
      </c>
      <c r="H30" s="238">
        <v>41664</v>
      </c>
      <c r="I30" s="170">
        <v>41980</v>
      </c>
      <c r="J30" s="169">
        <f>227/360</f>
        <v>0.63055555555555554</v>
      </c>
      <c r="K30" s="32">
        <f t="shared" si="0"/>
        <v>0.63055555555555554</v>
      </c>
      <c r="L30" s="32">
        <f t="shared" si="0"/>
        <v>0.63055555555555554</v>
      </c>
      <c r="M30" s="355" t="s">
        <v>314</v>
      </c>
      <c r="N30" s="233"/>
      <c r="O30" s="236"/>
      <c r="P30" s="236"/>
      <c r="Y30" s="155">
        <f>9*30-7-7-21-8</f>
        <v>227</v>
      </c>
      <c r="Z30" s="155">
        <f>+Y30/30</f>
        <v>7.5666666666666664</v>
      </c>
    </row>
    <row r="31" spans="1:26" s="229" customFormat="1" ht="91.9" customHeight="1" thickBot="1" x14ac:dyDescent="0.25">
      <c r="A31" s="239"/>
      <c r="B31" s="176" t="s">
        <v>190</v>
      </c>
      <c r="C31" s="174" t="s">
        <v>191</v>
      </c>
      <c r="D31" s="174" t="s">
        <v>0</v>
      </c>
      <c r="E31" s="237" t="s">
        <v>192</v>
      </c>
      <c r="F31" s="172" t="s">
        <v>193</v>
      </c>
      <c r="G31" s="14" t="s">
        <v>34</v>
      </c>
      <c r="H31" s="240">
        <v>40695</v>
      </c>
      <c r="I31" s="240">
        <v>40887</v>
      </c>
      <c r="J31" s="169">
        <f>190/360</f>
        <v>0.52777777777777779</v>
      </c>
      <c r="K31" s="32">
        <f t="shared" si="0"/>
        <v>0.52777777777777779</v>
      </c>
      <c r="L31" s="32">
        <f t="shared" si="0"/>
        <v>0.52777777777777779</v>
      </c>
      <c r="M31" s="47" t="s">
        <v>314</v>
      </c>
      <c r="N31" s="233"/>
      <c r="O31" s="241" t="e">
        <f>+_xlfn.DAYS(I31,H31)</f>
        <v>#VALUE!</v>
      </c>
      <c r="P31" s="241" t="e">
        <f>+O31/30</f>
        <v>#VALUE!</v>
      </c>
      <c r="X31" s="242"/>
      <c r="Y31" s="177">
        <f>DAYS360(H31,I31)</f>
        <v>189</v>
      </c>
      <c r="Z31" s="229">
        <f t="shared" si="1"/>
        <v>6.3</v>
      </c>
    </row>
    <row r="32" spans="1:26" ht="33.75" customHeight="1" thickBot="1" x14ac:dyDescent="0.25">
      <c r="A32" s="162"/>
      <c r="B32" s="147"/>
      <c r="C32" s="23"/>
      <c r="D32" s="148"/>
      <c r="E32" s="148"/>
      <c r="F32" s="148"/>
      <c r="G32" s="148"/>
      <c r="H32" s="431" t="s">
        <v>315</v>
      </c>
      <c r="I32" s="432"/>
      <c r="J32" s="433"/>
      <c r="K32" s="343">
        <f>SUM(K22:K31)</f>
        <v>6.1027777777777779</v>
      </c>
      <c r="L32" s="334"/>
      <c r="M32" s="362" t="s">
        <v>308</v>
      </c>
      <c r="N32" s="162"/>
      <c r="O32" s="243" t="e">
        <f>24-#REF!</f>
        <v>#REF!</v>
      </c>
    </row>
    <row r="33" spans="1:14" ht="23.25" customHeight="1" thickBot="1" x14ac:dyDescent="0.25">
      <c r="A33" s="162"/>
      <c r="B33" s="147"/>
      <c r="C33" s="23"/>
      <c r="D33" s="148"/>
      <c r="E33" s="148"/>
      <c r="F33" s="148"/>
      <c r="G33" s="148"/>
      <c r="H33" s="55"/>
      <c r="I33" s="505" t="s">
        <v>316</v>
      </c>
      <c r="J33" s="505"/>
      <c r="K33" s="506"/>
      <c r="L33" s="344">
        <f>SUM(L22:L31)</f>
        <v>6.1027777777777779</v>
      </c>
      <c r="M33" s="73" t="s">
        <v>308</v>
      </c>
      <c r="N33" s="162"/>
    </row>
    <row r="34" spans="1:14" x14ac:dyDescent="0.2">
      <c r="A34" s="162"/>
      <c r="B34" s="147"/>
      <c r="C34" s="23"/>
      <c r="D34" s="55" t="s">
        <v>317</v>
      </c>
      <c r="E34" s="148"/>
      <c r="F34" s="148"/>
      <c r="G34" s="148"/>
      <c r="H34" s="244"/>
      <c r="I34" s="152"/>
      <c r="J34" s="23"/>
      <c r="K34" s="23"/>
      <c r="L34" s="80"/>
      <c r="M34" s="86"/>
      <c r="N34" s="162"/>
    </row>
    <row r="35" spans="1:14" x14ac:dyDescent="0.2">
      <c r="A35" s="162"/>
      <c r="B35" s="168"/>
      <c r="C35" s="162"/>
      <c r="D35" s="162" t="s">
        <v>318</v>
      </c>
      <c r="E35" s="164"/>
      <c r="F35" s="164"/>
      <c r="G35" s="164"/>
      <c r="H35" s="164"/>
      <c r="I35" s="162"/>
      <c r="J35" s="162"/>
      <c r="K35" s="162"/>
      <c r="L35" s="162"/>
      <c r="M35" s="161"/>
      <c r="N35" s="162"/>
    </row>
    <row r="36" spans="1:14" x14ac:dyDescent="0.2">
      <c r="A36" s="162"/>
      <c r="B36" s="168"/>
      <c r="C36" s="162"/>
      <c r="D36" s="164"/>
      <c r="E36" s="164"/>
      <c r="F36" s="164"/>
      <c r="G36" s="164"/>
      <c r="H36" s="164"/>
      <c r="I36" s="162"/>
      <c r="J36" s="162"/>
      <c r="K36" s="162"/>
      <c r="L36" s="162"/>
      <c r="M36" s="161"/>
      <c r="N36" s="162"/>
    </row>
    <row r="37" spans="1:14" x14ac:dyDescent="0.2">
      <c r="B37" s="168"/>
      <c r="C37" s="162"/>
      <c r="D37" s="162"/>
      <c r="E37" s="162"/>
      <c r="F37" s="162"/>
      <c r="G37" s="162"/>
      <c r="H37" s="162"/>
      <c r="I37" s="162"/>
      <c r="J37" s="162"/>
      <c r="K37" s="162"/>
      <c r="L37" s="162"/>
      <c r="M37" s="161"/>
      <c r="N37" s="162"/>
    </row>
    <row r="38" spans="1:14" x14ac:dyDescent="0.2">
      <c r="A38" s="162"/>
      <c r="B38" s="163"/>
      <c r="C38" s="162"/>
      <c r="D38" s="162"/>
      <c r="E38" s="162"/>
      <c r="F38" s="162"/>
      <c r="G38" s="162"/>
      <c r="H38" s="162"/>
      <c r="I38" s="162"/>
      <c r="J38" s="162"/>
      <c r="K38" s="162"/>
      <c r="L38" s="162"/>
      <c r="M38" s="161"/>
      <c r="N38" s="162"/>
    </row>
    <row r="39" spans="1:14" ht="13.5" thickBot="1" x14ac:dyDescent="0.25">
      <c r="B39" s="160"/>
      <c r="C39" s="159"/>
      <c r="D39" s="159"/>
      <c r="E39" s="159"/>
      <c r="F39" s="159"/>
      <c r="G39" s="159"/>
      <c r="H39" s="159"/>
      <c r="I39" s="159"/>
      <c r="J39" s="159"/>
      <c r="K39" s="159"/>
      <c r="L39" s="159"/>
      <c r="M39" s="158"/>
      <c r="N39" s="162"/>
    </row>
    <row r="40" spans="1:14" ht="6.75" customHeight="1" x14ac:dyDescent="0.2"/>
  </sheetData>
  <mergeCells count="23">
    <mergeCell ref="J20:J21"/>
    <mergeCell ref="K20:K21"/>
    <mergeCell ref="C20:C21"/>
    <mergeCell ref="D20:D21"/>
    <mergeCell ref="E20:E21"/>
    <mergeCell ref="F20:F21"/>
    <mergeCell ref="G20:G21"/>
    <mergeCell ref="M20:M21"/>
    <mergeCell ref="B4:M4"/>
    <mergeCell ref="H32:J32"/>
    <mergeCell ref="I33:K33"/>
    <mergeCell ref="B15:C15"/>
    <mergeCell ref="H12:I12"/>
    <mergeCell ref="J12:L12"/>
    <mergeCell ref="D9:L9"/>
    <mergeCell ref="B12:C12"/>
    <mergeCell ref="B13:C13"/>
    <mergeCell ref="B14:C14"/>
    <mergeCell ref="L20:L21"/>
    <mergeCell ref="B16:C16"/>
    <mergeCell ref="B17:C17"/>
    <mergeCell ref="B18:C18"/>
    <mergeCell ref="B20:B21"/>
  </mergeCells>
  <printOptions horizontalCentered="1" verticalCentered="1"/>
  <pageMargins left="0" right="0" top="0" bottom="0" header="0" footer="0"/>
  <pageSetup scale="49" orientation="portrait" r:id="rId1"/>
  <headerFooter alignWithMargins="0"/>
  <ignoredErrors>
    <ignoredError sqref="J2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3"/>
  <sheetViews>
    <sheetView view="pageBreakPreview" zoomScale="80" zoomScaleNormal="100" zoomScaleSheetLayoutView="80" workbookViewId="0">
      <selection activeCell="E8" sqref="E8:F8"/>
    </sheetView>
  </sheetViews>
  <sheetFormatPr baseColWidth="10" defaultColWidth="11.5703125" defaultRowHeight="12.75" x14ac:dyDescent="0.2"/>
  <cols>
    <col min="1" max="1" width="0.7109375" style="23" customWidth="1"/>
    <col min="2" max="2" width="23.28515625" style="23" customWidth="1"/>
    <col min="3" max="3" width="16.140625" style="23" hidden="1" customWidth="1"/>
    <col min="4" max="4" width="16.85546875" style="23" customWidth="1"/>
    <col min="5" max="5" width="47" style="23" customWidth="1"/>
    <col min="6" max="6" width="13.28515625" style="23" customWidth="1"/>
    <col min="7" max="7" width="12.140625" style="23" customWidth="1"/>
    <col min="8" max="8" width="12.7109375" style="23" customWidth="1"/>
    <col min="9" max="9" width="13.7109375" style="23" customWidth="1"/>
    <col min="10" max="10" width="12.7109375" style="23" customWidth="1"/>
    <col min="11" max="11" width="13.42578125" style="23" customWidth="1"/>
    <col min="12" max="12" width="13.5703125" style="23" customWidth="1"/>
    <col min="13" max="13" width="21.5703125" style="23" customWidth="1"/>
    <col min="14" max="14" width="1.140625" style="23" customWidth="1"/>
    <col min="15" max="15" width="0" style="78" hidden="1" customWidth="1"/>
    <col min="16" max="16" width="9.5703125" style="78" hidden="1" customWidth="1"/>
    <col min="17" max="17" width="8.5703125" style="78" hidden="1" customWidth="1"/>
    <col min="18" max="18" width="0" style="23" hidden="1" customWidth="1"/>
    <col min="19" max="19" width="12.28515625" style="23" bestFit="1" customWidth="1"/>
    <col min="20" max="20" width="11.5703125" style="23"/>
    <col min="21" max="21" width="22.5703125" style="23" hidden="1" customWidth="1"/>
    <col min="22" max="22" width="0" style="23" hidden="1" customWidth="1"/>
    <col min="23" max="16384" width="11.5703125" style="23"/>
  </cols>
  <sheetData>
    <row r="1" spans="2:22" ht="6" customHeight="1" thickBot="1" x14ac:dyDescent="0.25">
      <c r="H1" s="76"/>
      <c r="I1" s="76"/>
      <c r="J1" s="76"/>
      <c r="K1" s="76"/>
      <c r="L1" s="76"/>
      <c r="M1" s="77"/>
    </row>
    <row r="2" spans="2:22" ht="7.5" customHeight="1" x14ac:dyDescent="0.2">
      <c r="B2" s="464"/>
      <c r="C2" s="465"/>
      <c r="D2" s="465"/>
      <c r="E2" s="465"/>
      <c r="F2" s="465"/>
      <c r="G2" s="465"/>
      <c r="H2" s="465"/>
      <c r="I2" s="80"/>
      <c r="J2" s="80"/>
      <c r="K2" s="80"/>
      <c r="L2" s="80"/>
      <c r="M2" s="81"/>
    </row>
    <row r="3" spans="2:22" x14ac:dyDescent="0.2">
      <c r="B3" s="466"/>
      <c r="C3" s="534"/>
      <c r="D3" s="534"/>
      <c r="E3" s="534"/>
      <c r="F3" s="534"/>
      <c r="G3" s="534"/>
      <c r="H3" s="534"/>
      <c r="I3" s="534"/>
      <c r="J3" s="534"/>
      <c r="K3" s="534"/>
      <c r="L3" s="467"/>
      <c r="M3" s="82"/>
    </row>
    <row r="4" spans="2:22" x14ac:dyDescent="0.2">
      <c r="B4" s="501" t="s">
        <v>373</v>
      </c>
      <c r="C4" s="450"/>
      <c r="D4" s="450"/>
      <c r="E4" s="450"/>
      <c r="F4" s="450"/>
      <c r="G4" s="450"/>
      <c r="H4" s="450"/>
      <c r="I4" s="450"/>
      <c r="J4" s="450"/>
      <c r="K4" s="450"/>
      <c r="L4" s="450"/>
      <c r="M4" s="451"/>
    </row>
    <row r="5" spans="2:22" ht="6.75" customHeight="1" x14ac:dyDescent="0.2">
      <c r="B5" s="83"/>
      <c r="C5" s="245"/>
      <c r="D5" s="245"/>
      <c r="E5" s="245"/>
      <c r="F5" s="246"/>
      <c r="G5" s="246"/>
      <c r="H5" s="246"/>
      <c r="L5" s="77"/>
      <c r="M5" s="86"/>
    </row>
    <row r="6" spans="2:22" ht="6.75" customHeight="1" x14ac:dyDescent="0.2">
      <c r="B6" s="83"/>
      <c r="C6" s="245"/>
      <c r="D6" s="245"/>
      <c r="E6" s="245"/>
      <c r="F6" s="246"/>
      <c r="G6" s="246"/>
      <c r="H6" s="246"/>
      <c r="L6" s="77"/>
      <c r="M6" s="86"/>
    </row>
    <row r="7" spans="2:22" ht="15" customHeight="1" x14ac:dyDescent="0.2">
      <c r="B7" s="470" t="s">
        <v>88</v>
      </c>
      <c r="C7" s="535"/>
      <c r="D7" s="536" t="s">
        <v>365</v>
      </c>
      <c r="E7" s="536"/>
      <c r="F7" s="1"/>
      <c r="G7" s="1"/>
      <c r="H7" s="1"/>
      <c r="I7" s="1"/>
      <c r="J7" s="1"/>
      <c r="K7" s="1"/>
      <c r="L7" s="51"/>
      <c r="M7" s="87"/>
    </row>
    <row r="8" spans="2:22" ht="30.75" customHeight="1" x14ac:dyDescent="0.2">
      <c r="B8" s="427" t="s">
        <v>377</v>
      </c>
      <c r="C8" s="247"/>
      <c r="D8" s="421">
        <v>45713</v>
      </c>
      <c r="E8" s="425" t="s">
        <v>375</v>
      </c>
      <c r="F8" s="426">
        <v>45719</v>
      </c>
      <c r="G8" s="1"/>
      <c r="H8" s="1"/>
      <c r="I8" s="1"/>
      <c r="J8" s="1"/>
      <c r="K8" s="1"/>
      <c r="L8" s="51"/>
      <c r="M8" s="87"/>
    </row>
    <row r="9" spans="2:22" ht="43.15" customHeight="1" x14ac:dyDescent="0.2">
      <c r="B9" s="470" t="s">
        <v>1</v>
      </c>
      <c r="C9" s="535"/>
      <c r="D9" s="537" t="s">
        <v>194</v>
      </c>
      <c r="E9" s="537"/>
      <c r="F9" s="537"/>
      <c r="G9" s="537"/>
      <c r="H9" s="537"/>
      <c r="I9" s="537"/>
      <c r="J9" s="537"/>
      <c r="K9" s="537"/>
      <c r="L9" s="538"/>
      <c r="M9" s="248"/>
    </row>
    <row r="10" spans="2:22" s="91" customFormat="1" ht="15" customHeight="1" x14ac:dyDescent="0.25">
      <c r="B10" s="468" t="s">
        <v>2</v>
      </c>
      <c r="C10" s="516"/>
      <c r="D10" s="1" t="str">
        <f>+[17]DATOS!B7</f>
        <v>EDELMIRA SIERRA GUTIÉRREZ</v>
      </c>
      <c r="E10" s="1"/>
      <c r="F10" s="1"/>
      <c r="G10" s="1"/>
      <c r="H10" s="1"/>
      <c r="I10" s="1"/>
      <c r="J10" s="1"/>
      <c r="K10" s="1"/>
      <c r="L10" s="51"/>
      <c r="M10" s="87"/>
      <c r="O10" s="90"/>
      <c r="P10" s="90"/>
      <c r="Q10" s="90"/>
    </row>
    <row r="11" spans="2:22" ht="6" customHeight="1" x14ac:dyDescent="0.2">
      <c r="B11" s="92"/>
      <c r="C11" s="249"/>
      <c r="D11" s="247"/>
      <c r="E11" s="247"/>
      <c r="F11" s="247"/>
      <c r="G11" s="247"/>
      <c r="H11" s="247"/>
      <c r="L11" s="77"/>
      <c r="M11" s="86"/>
    </row>
    <row r="12" spans="2:22" ht="25.5" customHeight="1" x14ac:dyDescent="0.2">
      <c r="B12" s="468" t="s">
        <v>3</v>
      </c>
      <c r="C12" s="516"/>
      <c r="D12" s="5" t="s">
        <v>195</v>
      </c>
      <c r="E12" s="6"/>
      <c r="F12" s="6"/>
      <c r="G12" s="6"/>
      <c r="H12" s="459" t="s">
        <v>306</v>
      </c>
      <c r="I12" s="459"/>
      <c r="J12" s="463" t="s">
        <v>334</v>
      </c>
      <c r="K12" s="463"/>
      <c r="L12" s="463"/>
      <c r="M12" s="86"/>
    </row>
    <row r="13" spans="2:22" ht="14.25" customHeight="1" x14ac:dyDescent="0.2">
      <c r="B13" s="468" t="s">
        <v>5</v>
      </c>
      <c r="C13" s="516"/>
      <c r="D13" s="7" t="s">
        <v>196</v>
      </c>
      <c r="E13" s="8"/>
      <c r="F13" s="8"/>
      <c r="G13" s="8"/>
      <c r="H13" s="6"/>
      <c r="I13" s="72"/>
      <c r="J13" s="85"/>
      <c r="K13" s="77"/>
      <c r="L13" s="77"/>
      <c r="M13" s="86"/>
    </row>
    <row r="14" spans="2:22" ht="14.25" customHeight="1" x14ac:dyDescent="0.2">
      <c r="B14" s="468" t="s">
        <v>6</v>
      </c>
      <c r="C14" s="516"/>
      <c r="D14" s="9" t="s">
        <v>197</v>
      </c>
      <c r="E14" s="10"/>
      <c r="F14" s="10"/>
      <c r="G14" s="10"/>
      <c r="H14" s="328" t="s">
        <v>308</v>
      </c>
      <c r="I14" s="328" t="s">
        <v>309</v>
      </c>
      <c r="J14" s="85"/>
      <c r="K14" s="77"/>
      <c r="L14" s="77"/>
      <c r="M14" s="86"/>
      <c r="U14" s="1" t="s">
        <v>93</v>
      </c>
      <c r="V14" s="1">
        <v>566700</v>
      </c>
    </row>
    <row r="15" spans="2:22" ht="28.5" customHeight="1" x14ac:dyDescent="0.2">
      <c r="B15" s="468" t="s">
        <v>9</v>
      </c>
      <c r="C15" s="516"/>
      <c r="D15" s="11">
        <v>40096</v>
      </c>
      <c r="E15" s="10"/>
      <c r="F15" s="10"/>
      <c r="G15" s="10"/>
      <c r="H15" s="221" t="s">
        <v>308</v>
      </c>
      <c r="I15" s="321"/>
      <c r="J15" s="51"/>
      <c r="K15" s="54"/>
      <c r="L15" s="54"/>
      <c r="M15" s="86"/>
      <c r="U15" s="1" t="s">
        <v>10</v>
      </c>
      <c r="V15" s="1">
        <v>589500</v>
      </c>
    </row>
    <row r="16" spans="2:22" ht="34.5" customHeight="1" x14ac:dyDescent="0.2">
      <c r="B16" s="468" t="s">
        <v>11</v>
      </c>
      <c r="C16" s="516"/>
      <c r="D16" s="11">
        <v>40206</v>
      </c>
      <c r="E16" s="474"/>
      <c r="F16" s="474"/>
      <c r="G16" s="93"/>
      <c r="H16" s="247"/>
      <c r="L16" s="77"/>
      <c r="M16" s="86"/>
      <c r="U16" s="1"/>
      <c r="V16" s="1"/>
    </row>
    <row r="17" spans="1:22" ht="30.75" customHeight="1" x14ac:dyDescent="0.2">
      <c r="B17" s="468" t="s">
        <v>13</v>
      </c>
      <c r="C17" s="516"/>
      <c r="D17" s="7" t="s">
        <v>314</v>
      </c>
      <c r="E17" s="8"/>
      <c r="H17" s="246"/>
      <c r="I17" s="1"/>
      <c r="L17" s="77"/>
      <c r="M17" s="86"/>
      <c r="U17" s="1"/>
      <c r="V17" s="1"/>
    </row>
    <row r="18" spans="1:22" ht="24.75" customHeight="1" x14ac:dyDescent="0.2">
      <c r="B18" s="468" t="s">
        <v>16</v>
      </c>
      <c r="C18" s="516"/>
      <c r="D18" s="11" t="s">
        <v>314</v>
      </c>
      <c r="E18" s="8"/>
      <c r="F18" s="8"/>
      <c r="G18" s="8"/>
      <c r="H18" s="247"/>
      <c r="L18" s="77"/>
      <c r="M18" s="86"/>
      <c r="U18" s="1"/>
      <c r="V18" s="1"/>
    </row>
    <row r="19" spans="1:22" ht="15" customHeight="1" thickBot="1" x14ac:dyDescent="0.25">
      <c r="B19" s="94"/>
      <c r="C19" s="148"/>
      <c r="D19" s="250"/>
      <c r="E19" s="250"/>
      <c r="F19" s="250"/>
      <c r="G19" s="250"/>
      <c r="H19" s="250"/>
      <c r="L19" s="77"/>
      <c r="M19" s="154"/>
    </row>
    <row r="20" spans="1:22" ht="15" customHeight="1" x14ac:dyDescent="0.2">
      <c r="A20" s="86"/>
      <c r="B20" s="517" t="s">
        <v>19</v>
      </c>
      <c r="C20" s="519" t="s">
        <v>95</v>
      </c>
      <c r="D20" s="519" t="s">
        <v>20</v>
      </c>
      <c r="E20" s="461" t="s">
        <v>1</v>
      </c>
      <c r="F20" s="461" t="s">
        <v>21</v>
      </c>
      <c r="G20" s="461" t="s">
        <v>22</v>
      </c>
      <c r="H20" s="457" t="s">
        <v>23</v>
      </c>
      <c r="I20" s="539"/>
      <c r="J20" s="461" t="s">
        <v>24</v>
      </c>
      <c r="K20" s="444" t="s">
        <v>322</v>
      </c>
      <c r="L20" s="457" t="s">
        <v>333</v>
      </c>
      <c r="M20" s="447" t="s">
        <v>181</v>
      </c>
      <c r="S20" s="439" t="s">
        <v>25</v>
      </c>
      <c r="T20" s="439" t="s">
        <v>26</v>
      </c>
    </row>
    <row r="21" spans="1:22" ht="37.5" customHeight="1" thickBot="1" x14ac:dyDescent="0.25">
      <c r="A21" s="86"/>
      <c r="B21" s="518"/>
      <c r="C21" s="520"/>
      <c r="D21" s="520"/>
      <c r="E21" s="525"/>
      <c r="F21" s="525"/>
      <c r="G21" s="525"/>
      <c r="H21" s="368" t="s">
        <v>28</v>
      </c>
      <c r="I21" s="368" t="s">
        <v>96</v>
      </c>
      <c r="J21" s="525"/>
      <c r="K21" s="445"/>
      <c r="L21" s="458"/>
      <c r="M21" s="448"/>
      <c r="O21" s="96" t="s">
        <v>97</v>
      </c>
      <c r="P21" s="96" t="s">
        <v>98</v>
      </c>
      <c r="Q21" s="96" t="s">
        <v>99</v>
      </c>
      <c r="S21" s="439"/>
      <c r="T21" s="439"/>
    </row>
    <row r="22" spans="1:22" ht="148.5" customHeight="1" x14ac:dyDescent="0.2">
      <c r="A22" s="77"/>
      <c r="B22" s="251" t="s">
        <v>364</v>
      </c>
      <c r="C22" s="252"/>
      <c r="D22" s="253" t="s">
        <v>36</v>
      </c>
      <c r="E22" s="407" t="s">
        <v>344</v>
      </c>
      <c r="F22" s="408" t="s">
        <v>345</v>
      </c>
      <c r="G22" s="409">
        <v>1</v>
      </c>
      <c r="H22" s="410">
        <v>45338</v>
      </c>
      <c r="I22" s="411">
        <v>45632</v>
      </c>
      <c r="J22" s="110">
        <f>290/360</f>
        <v>0.80555555555555558</v>
      </c>
      <c r="K22" s="32">
        <f>J22</f>
        <v>0.80555555555555558</v>
      </c>
      <c r="L22" s="32">
        <f>K22</f>
        <v>0.80555555555555558</v>
      </c>
      <c r="M22" s="348" t="s">
        <v>314</v>
      </c>
      <c r="O22" s="416"/>
      <c r="P22" s="416"/>
      <c r="Q22" s="416"/>
      <c r="S22" s="45"/>
      <c r="T22" s="45"/>
    </row>
    <row r="23" spans="1:22" ht="105.6" customHeight="1" x14ac:dyDescent="0.2">
      <c r="B23" s="251" t="s">
        <v>100</v>
      </c>
      <c r="C23" s="252" t="s">
        <v>4</v>
      </c>
      <c r="D23" s="253" t="s">
        <v>36</v>
      </c>
      <c r="E23" s="254" t="s">
        <v>159</v>
      </c>
      <c r="F23" s="255" t="s">
        <v>81</v>
      </c>
      <c r="G23" s="256">
        <v>1</v>
      </c>
      <c r="H23" s="257">
        <v>44796</v>
      </c>
      <c r="I23" s="258">
        <v>45067</v>
      </c>
      <c r="J23" s="110">
        <f>222/360</f>
        <v>0.6166666666666667</v>
      </c>
      <c r="K23" s="32">
        <f>J23</f>
        <v>0.6166666666666667</v>
      </c>
      <c r="L23" s="32">
        <f>K23</f>
        <v>0.6166666666666667</v>
      </c>
      <c r="M23" s="348" t="s">
        <v>335</v>
      </c>
      <c r="O23" s="96"/>
      <c r="P23" s="96"/>
      <c r="Q23" s="96"/>
      <c r="S23" s="121">
        <f>DAYS360(H23,I23,FALSE)</f>
        <v>268</v>
      </c>
      <c r="T23" s="23">
        <f>+S23/30</f>
        <v>8.9333333333333336</v>
      </c>
    </row>
    <row r="24" spans="1:22" ht="91.5" customHeight="1" x14ac:dyDescent="0.2">
      <c r="B24" s="526" t="s">
        <v>198</v>
      </c>
      <c r="C24" s="528" t="s">
        <v>195</v>
      </c>
      <c r="D24" s="528" t="s">
        <v>199</v>
      </c>
      <c r="E24" s="532" t="s">
        <v>34</v>
      </c>
      <c r="F24" s="521" t="s">
        <v>200</v>
      </c>
      <c r="G24" s="137" t="s">
        <v>34</v>
      </c>
      <c r="H24" s="259">
        <v>43284</v>
      </c>
      <c r="I24" s="31">
        <v>43434</v>
      </c>
      <c r="J24" s="120">
        <f>147/360</f>
        <v>0.40833333333333333</v>
      </c>
      <c r="K24" s="32">
        <v>0</v>
      </c>
      <c r="L24" s="32">
        <v>0</v>
      </c>
      <c r="M24" s="540" t="s">
        <v>371</v>
      </c>
      <c r="O24" s="78">
        <f>+_xlfn.DAYS(I24,H24)</f>
        <v>150</v>
      </c>
      <c r="P24" s="121">
        <f>+O24/30</f>
        <v>5</v>
      </c>
      <c r="Q24" s="121">
        <f>+J24</f>
        <v>0.40833333333333333</v>
      </c>
      <c r="S24" s="23">
        <f t="shared" ref="S24:S63" si="0">DAYS360(H24,I24)</f>
        <v>147</v>
      </c>
      <c r="T24" s="23">
        <f t="shared" ref="T24:T63" si="1">+S24/30</f>
        <v>4.9000000000000004</v>
      </c>
    </row>
    <row r="25" spans="1:22" ht="66" customHeight="1" x14ac:dyDescent="0.2">
      <c r="B25" s="527"/>
      <c r="C25" s="529"/>
      <c r="D25" s="529"/>
      <c r="E25" s="533"/>
      <c r="F25" s="522"/>
      <c r="G25" s="137" t="s">
        <v>34</v>
      </c>
      <c r="H25" s="259">
        <v>43482</v>
      </c>
      <c r="I25" s="31">
        <v>43555</v>
      </c>
      <c r="J25" s="120">
        <f>74/360</f>
        <v>0.20555555555555555</v>
      </c>
      <c r="K25" s="32">
        <v>0</v>
      </c>
      <c r="L25" s="32">
        <v>0</v>
      </c>
      <c r="M25" s="542"/>
      <c r="P25" s="121"/>
      <c r="Q25" s="121"/>
      <c r="S25" s="23">
        <f t="shared" si="0"/>
        <v>74</v>
      </c>
      <c r="T25" s="23">
        <f t="shared" si="1"/>
        <v>2.4666666666666668</v>
      </c>
    </row>
    <row r="26" spans="1:22" ht="72" customHeight="1" x14ac:dyDescent="0.2">
      <c r="B26" s="260" t="s">
        <v>201</v>
      </c>
      <c r="C26" s="261" t="s">
        <v>195</v>
      </c>
      <c r="D26" s="261" t="s">
        <v>199</v>
      </c>
      <c r="E26" s="262" t="s">
        <v>34</v>
      </c>
      <c r="F26" s="263" t="s">
        <v>202</v>
      </c>
      <c r="G26" s="137" t="s">
        <v>34</v>
      </c>
      <c r="H26" s="259">
        <v>43556</v>
      </c>
      <c r="I26" s="31">
        <v>43567</v>
      </c>
      <c r="J26" s="120">
        <f>11/360</f>
        <v>3.0555555555555555E-2</v>
      </c>
      <c r="K26" s="32">
        <v>0</v>
      </c>
      <c r="L26" s="32">
        <v>0</v>
      </c>
      <c r="M26" s="543"/>
      <c r="O26" s="78">
        <f>+_xlfn.DAYS(I26,H26)</f>
        <v>11</v>
      </c>
      <c r="P26" s="121">
        <f>+O26/30</f>
        <v>0.36666666666666664</v>
      </c>
      <c r="Q26" s="121">
        <f>+J26</f>
        <v>3.0555555555555555E-2</v>
      </c>
      <c r="S26" s="23">
        <f t="shared" si="0"/>
        <v>11</v>
      </c>
      <c r="T26" s="23">
        <f t="shared" si="1"/>
        <v>0.36666666666666664</v>
      </c>
    </row>
    <row r="27" spans="1:22" ht="114.75" x14ac:dyDescent="0.2">
      <c r="B27" s="260" t="s">
        <v>203</v>
      </c>
      <c r="C27" s="261" t="s">
        <v>195</v>
      </c>
      <c r="D27" s="261" t="s">
        <v>92</v>
      </c>
      <c r="E27" s="262" t="s">
        <v>204</v>
      </c>
      <c r="F27" s="263" t="s">
        <v>205</v>
      </c>
      <c r="G27" s="137" t="s">
        <v>34</v>
      </c>
      <c r="H27" s="264">
        <v>40575</v>
      </c>
      <c r="I27" s="265">
        <v>40598</v>
      </c>
      <c r="J27" s="120">
        <f>23/360</f>
        <v>6.3888888888888884E-2</v>
      </c>
      <c r="K27" s="32">
        <f t="shared" ref="K27:K59" si="2">J27</f>
        <v>6.3888888888888884E-2</v>
      </c>
      <c r="L27" s="32">
        <v>0</v>
      </c>
      <c r="M27" s="42" t="s">
        <v>314</v>
      </c>
      <c r="O27" s="78">
        <f>+_xlfn.DAYS(I27,H27)</f>
        <v>23</v>
      </c>
      <c r="P27" s="121">
        <f>+O27/30</f>
        <v>0.76666666666666672</v>
      </c>
      <c r="Q27" s="121">
        <f>+J27</f>
        <v>6.3888888888888884E-2</v>
      </c>
      <c r="S27" s="23">
        <f t="shared" si="0"/>
        <v>23</v>
      </c>
      <c r="T27" s="23">
        <f t="shared" si="1"/>
        <v>0.76666666666666672</v>
      </c>
    </row>
    <row r="28" spans="1:22" ht="125.25" customHeight="1" x14ac:dyDescent="0.2">
      <c r="B28" s="260" t="s">
        <v>203</v>
      </c>
      <c r="C28" s="261" t="s">
        <v>195</v>
      </c>
      <c r="D28" s="261" t="s">
        <v>92</v>
      </c>
      <c r="E28" s="262" t="s">
        <v>204</v>
      </c>
      <c r="F28" s="263" t="s">
        <v>206</v>
      </c>
      <c r="G28" s="137" t="s">
        <v>34</v>
      </c>
      <c r="H28" s="264">
        <v>40592</v>
      </c>
      <c r="I28" s="265">
        <v>40608</v>
      </c>
      <c r="J28" s="120">
        <f>18/360</f>
        <v>0.05</v>
      </c>
      <c r="K28" s="32">
        <f t="shared" si="2"/>
        <v>0.05</v>
      </c>
      <c r="L28" s="32">
        <v>0</v>
      </c>
      <c r="M28" s="41" t="s">
        <v>314</v>
      </c>
      <c r="P28" s="121"/>
      <c r="Q28" s="121"/>
      <c r="S28" s="23">
        <f t="shared" si="0"/>
        <v>18</v>
      </c>
      <c r="T28" s="23">
        <f t="shared" si="1"/>
        <v>0.6</v>
      </c>
    </row>
    <row r="29" spans="1:22" ht="114.75" x14ac:dyDescent="0.2">
      <c r="B29" s="260" t="s">
        <v>203</v>
      </c>
      <c r="C29" s="261" t="s">
        <v>195</v>
      </c>
      <c r="D29" s="261" t="s">
        <v>92</v>
      </c>
      <c r="E29" s="262" t="s">
        <v>204</v>
      </c>
      <c r="F29" s="263" t="s">
        <v>207</v>
      </c>
      <c r="G29" s="137" t="s">
        <v>34</v>
      </c>
      <c r="H29" s="264">
        <v>40609</v>
      </c>
      <c r="I29" s="265">
        <v>40719</v>
      </c>
      <c r="J29" s="120">
        <f>108/360</f>
        <v>0.3</v>
      </c>
      <c r="K29" s="32">
        <f t="shared" si="2"/>
        <v>0.3</v>
      </c>
      <c r="L29" s="32">
        <v>0</v>
      </c>
      <c r="M29" s="355" t="s">
        <v>314</v>
      </c>
      <c r="P29" s="121"/>
      <c r="Q29" s="121"/>
      <c r="S29" s="23">
        <f t="shared" si="0"/>
        <v>108</v>
      </c>
      <c r="T29" s="23">
        <f t="shared" si="1"/>
        <v>3.6</v>
      </c>
    </row>
    <row r="30" spans="1:22" ht="248.25" customHeight="1" x14ac:dyDescent="0.2">
      <c r="B30" s="260" t="s">
        <v>203</v>
      </c>
      <c r="C30" s="261" t="s">
        <v>195</v>
      </c>
      <c r="D30" s="261" t="s">
        <v>92</v>
      </c>
      <c r="E30" s="262" t="s">
        <v>208</v>
      </c>
      <c r="F30" s="263" t="s">
        <v>209</v>
      </c>
      <c r="G30" s="137" t="s">
        <v>34</v>
      </c>
      <c r="H30" s="264">
        <v>40725</v>
      </c>
      <c r="I30" s="265">
        <v>40844</v>
      </c>
      <c r="J30" s="120">
        <f>117/360</f>
        <v>0.32500000000000001</v>
      </c>
      <c r="K30" s="32">
        <f t="shared" si="2"/>
        <v>0.32500000000000001</v>
      </c>
      <c r="L30" s="32">
        <v>0</v>
      </c>
      <c r="M30" s="355" t="s">
        <v>314</v>
      </c>
      <c r="O30" s="78">
        <f t="shared" ref="O30:O63" si="3">+_xlfn.DAYS(I30,H30)</f>
        <v>119</v>
      </c>
      <c r="P30" s="121">
        <f t="shared" ref="P30:P63" si="4">+O30/30</f>
        <v>3.9666666666666668</v>
      </c>
      <c r="Q30" s="121">
        <f>+J30</f>
        <v>0.32500000000000001</v>
      </c>
      <c r="S30" s="12">
        <f t="shared" si="0"/>
        <v>117</v>
      </c>
      <c r="T30" s="23">
        <f t="shared" si="1"/>
        <v>3.9</v>
      </c>
    </row>
    <row r="31" spans="1:22" ht="140.25" customHeight="1" x14ac:dyDescent="0.2">
      <c r="B31" s="260" t="s">
        <v>117</v>
      </c>
      <c r="C31" s="261" t="s">
        <v>195</v>
      </c>
      <c r="D31" s="261" t="s">
        <v>92</v>
      </c>
      <c r="E31" s="262" t="s">
        <v>210</v>
      </c>
      <c r="F31" s="263" t="s">
        <v>211</v>
      </c>
      <c r="G31" s="137" t="s">
        <v>34</v>
      </c>
      <c r="H31" s="264">
        <v>40845</v>
      </c>
      <c r="I31" s="265">
        <v>40874</v>
      </c>
      <c r="J31" s="120">
        <f>28/360</f>
        <v>7.7777777777777779E-2</v>
      </c>
      <c r="K31" s="32">
        <f t="shared" si="2"/>
        <v>7.7777777777777779E-2</v>
      </c>
      <c r="L31" s="32">
        <v>0</v>
      </c>
      <c r="M31" s="47" t="s">
        <v>314</v>
      </c>
      <c r="O31" s="78">
        <f t="shared" si="3"/>
        <v>29</v>
      </c>
      <c r="P31" s="121">
        <f t="shared" si="4"/>
        <v>0.96666666666666667</v>
      </c>
      <c r="Q31" s="121"/>
      <c r="S31" s="12">
        <f t="shared" si="0"/>
        <v>28</v>
      </c>
      <c r="T31" s="23">
        <f t="shared" si="1"/>
        <v>0.93333333333333335</v>
      </c>
    </row>
    <row r="32" spans="1:22" ht="90" customHeight="1" x14ac:dyDescent="0.2">
      <c r="B32" s="260" t="s">
        <v>117</v>
      </c>
      <c r="C32" s="261" t="s">
        <v>195</v>
      </c>
      <c r="D32" s="261" t="s">
        <v>92</v>
      </c>
      <c r="E32" s="29" t="s">
        <v>212</v>
      </c>
      <c r="F32" s="263" t="s">
        <v>213</v>
      </c>
      <c r="G32" s="137" t="s">
        <v>34</v>
      </c>
      <c r="H32" s="264">
        <v>40881</v>
      </c>
      <c r="I32" s="265">
        <v>40892</v>
      </c>
      <c r="J32" s="120">
        <f>11/360</f>
        <v>3.0555555555555555E-2</v>
      </c>
      <c r="K32" s="32">
        <f t="shared" si="2"/>
        <v>3.0555555555555555E-2</v>
      </c>
      <c r="L32" s="32">
        <f>K32</f>
        <v>3.0555555555555555E-2</v>
      </c>
      <c r="M32" s="47" t="s">
        <v>314</v>
      </c>
      <c r="O32" s="78">
        <f t="shared" si="3"/>
        <v>11</v>
      </c>
      <c r="P32" s="121">
        <f t="shared" si="4"/>
        <v>0.36666666666666664</v>
      </c>
      <c r="Q32" s="121"/>
      <c r="S32" s="12">
        <f t="shared" si="0"/>
        <v>11</v>
      </c>
      <c r="T32" s="23">
        <f t="shared" si="1"/>
        <v>0.36666666666666664</v>
      </c>
    </row>
    <row r="33" spans="1:20" ht="67.5" customHeight="1" x14ac:dyDescent="0.2">
      <c r="A33" s="86"/>
      <c r="B33" s="260" t="s">
        <v>117</v>
      </c>
      <c r="C33" s="261" t="s">
        <v>195</v>
      </c>
      <c r="D33" s="261" t="s">
        <v>92</v>
      </c>
      <c r="E33" s="29" t="s">
        <v>214</v>
      </c>
      <c r="F33" s="263" t="s">
        <v>215</v>
      </c>
      <c r="G33" s="137" t="s">
        <v>34</v>
      </c>
      <c r="H33" s="264">
        <v>40878</v>
      </c>
      <c r="I33" s="265">
        <v>40922</v>
      </c>
      <c r="J33" s="120">
        <f>43/360</f>
        <v>0.11944444444444445</v>
      </c>
      <c r="K33" s="32">
        <f t="shared" si="2"/>
        <v>0.11944444444444445</v>
      </c>
      <c r="L33" s="32">
        <f>K33</f>
        <v>0.11944444444444445</v>
      </c>
      <c r="M33" s="41" t="s">
        <v>314</v>
      </c>
      <c r="O33" s="78">
        <f t="shared" si="3"/>
        <v>44</v>
      </c>
      <c r="P33" s="121">
        <f t="shared" si="4"/>
        <v>1.4666666666666666</v>
      </c>
      <c r="Q33" s="121"/>
      <c r="S33" s="12">
        <f t="shared" si="0"/>
        <v>43</v>
      </c>
      <c r="T33" s="23">
        <f t="shared" si="1"/>
        <v>1.4333333333333333</v>
      </c>
    </row>
    <row r="34" spans="1:20" ht="88.15" customHeight="1" x14ac:dyDescent="0.2">
      <c r="A34" s="86"/>
      <c r="B34" s="260" t="s">
        <v>117</v>
      </c>
      <c r="C34" s="261" t="s">
        <v>195</v>
      </c>
      <c r="D34" s="261" t="s">
        <v>92</v>
      </c>
      <c r="E34" s="262" t="s">
        <v>216</v>
      </c>
      <c r="F34" s="263" t="s">
        <v>217</v>
      </c>
      <c r="G34" s="137" t="s">
        <v>34</v>
      </c>
      <c r="H34" s="264">
        <v>40935</v>
      </c>
      <c r="I34" s="265">
        <v>40955</v>
      </c>
      <c r="J34" s="120">
        <f>19/360</f>
        <v>5.2777777777777778E-2</v>
      </c>
      <c r="K34" s="32">
        <f t="shared" si="2"/>
        <v>5.2777777777777778E-2</v>
      </c>
      <c r="L34" s="32">
        <f>K34</f>
        <v>5.2777777777777778E-2</v>
      </c>
      <c r="M34" s="41" t="s">
        <v>314</v>
      </c>
      <c r="O34" s="78">
        <f t="shared" si="3"/>
        <v>20</v>
      </c>
      <c r="P34" s="121">
        <f t="shared" si="4"/>
        <v>0.66666666666666663</v>
      </c>
      <c r="Q34" s="121"/>
      <c r="S34" s="12">
        <f t="shared" si="0"/>
        <v>19</v>
      </c>
      <c r="T34" s="23">
        <f t="shared" si="1"/>
        <v>0.6333333333333333</v>
      </c>
    </row>
    <row r="35" spans="1:20" ht="81" customHeight="1" x14ac:dyDescent="0.2">
      <c r="A35" s="86"/>
      <c r="B35" s="260" t="s">
        <v>117</v>
      </c>
      <c r="C35" s="261" t="s">
        <v>195</v>
      </c>
      <c r="D35" s="261" t="s">
        <v>92</v>
      </c>
      <c r="E35" s="262" t="s">
        <v>218</v>
      </c>
      <c r="F35" s="263" t="s">
        <v>219</v>
      </c>
      <c r="G35" s="137" t="s">
        <v>34</v>
      </c>
      <c r="H35" s="264">
        <v>40956</v>
      </c>
      <c r="I35" s="265">
        <v>41036</v>
      </c>
      <c r="J35" s="120">
        <f>80/360</f>
        <v>0.22222222222222221</v>
      </c>
      <c r="K35" s="32">
        <f t="shared" si="2"/>
        <v>0.22222222222222221</v>
      </c>
      <c r="L35" s="32">
        <v>0</v>
      </c>
      <c r="M35" s="348" t="s">
        <v>314</v>
      </c>
      <c r="O35" s="78">
        <f t="shared" si="3"/>
        <v>80</v>
      </c>
      <c r="P35" s="121">
        <f t="shared" si="4"/>
        <v>2.6666666666666665</v>
      </c>
      <c r="Q35" s="121">
        <f>+J35</f>
        <v>0.22222222222222221</v>
      </c>
      <c r="S35" s="12">
        <f t="shared" si="0"/>
        <v>80</v>
      </c>
      <c r="T35" s="23">
        <f t="shared" si="1"/>
        <v>2.6666666666666665</v>
      </c>
    </row>
    <row r="36" spans="1:20" ht="89.25" customHeight="1" x14ac:dyDescent="0.2">
      <c r="A36" s="86"/>
      <c r="B36" s="260" t="s">
        <v>117</v>
      </c>
      <c r="C36" s="261" t="s">
        <v>195</v>
      </c>
      <c r="D36" s="261" t="s">
        <v>92</v>
      </c>
      <c r="E36" s="262" t="s">
        <v>220</v>
      </c>
      <c r="F36" s="263" t="s">
        <v>221</v>
      </c>
      <c r="G36" s="137" t="s">
        <v>34</v>
      </c>
      <c r="H36" s="264">
        <v>41038</v>
      </c>
      <c r="I36" s="265">
        <v>41080</v>
      </c>
      <c r="J36" s="120">
        <f>41/360</f>
        <v>0.11388888888888889</v>
      </c>
      <c r="K36" s="32">
        <f t="shared" si="2"/>
        <v>0.11388888888888889</v>
      </c>
      <c r="L36" s="32">
        <v>0</v>
      </c>
      <c r="M36" s="42" t="s">
        <v>314</v>
      </c>
      <c r="O36" s="78">
        <f t="shared" si="3"/>
        <v>42</v>
      </c>
      <c r="P36" s="121">
        <f t="shared" si="4"/>
        <v>1.4</v>
      </c>
      <c r="Q36" s="121"/>
      <c r="S36" s="12">
        <f t="shared" si="0"/>
        <v>41</v>
      </c>
      <c r="T36" s="23">
        <f t="shared" si="1"/>
        <v>1.3666666666666667</v>
      </c>
    </row>
    <row r="37" spans="1:20" ht="76.5" x14ac:dyDescent="0.2">
      <c r="A37" s="86"/>
      <c r="B37" s="260" t="s">
        <v>117</v>
      </c>
      <c r="C37" s="261" t="s">
        <v>195</v>
      </c>
      <c r="D37" s="261" t="s">
        <v>92</v>
      </c>
      <c r="E37" s="262" t="s">
        <v>220</v>
      </c>
      <c r="F37" s="263" t="s">
        <v>222</v>
      </c>
      <c r="G37" s="137" t="s">
        <v>34</v>
      </c>
      <c r="H37" s="264">
        <v>41096</v>
      </c>
      <c r="I37" s="265">
        <v>41305</v>
      </c>
      <c r="J37" s="120">
        <f>205/360</f>
        <v>0.56944444444444442</v>
      </c>
      <c r="K37" s="32">
        <f t="shared" si="2"/>
        <v>0.56944444444444442</v>
      </c>
      <c r="L37" s="32">
        <v>0</v>
      </c>
      <c r="M37" s="41" t="s">
        <v>314</v>
      </c>
      <c r="O37" s="78">
        <f t="shared" si="3"/>
        <v>209</v>
      </c>
      <c r="P37" s="121">
        <f t="shared" si="4"/>
        <v>6.9666666666666668</v>
      </c>
      <c r="Q37" s="121">
        <f t="shared" ref="Q37:Q63" si="5">+J37</f>
        <v>0.56944444444444442</v>
      </c>
      <c r="S37" s="12">
        <f t="shared" si="0"/>
        <v>205</v>
      </c>
      <c r="T37" s="23">
        <f t="shared" si="1"/>
        <v>6.833333333333333</v>
      </c>
    </row>
    <row r="38" spans="1:20" ht="76.5" x14ac:dyDescent="0.2">
      <c r="A38" s="86"/>
      <c r="B38" s="260" t="s">
        <v>117</v>
      </c>
      <c r="C38" s="261" t="s">
        <v>195</v>
      </c>
      <c r="D38" s="261" t="s">
        <v>92</v>
      </c>
      <c r="E38" s="262" t="s">
        <v>223</v>
      </c>
      <c r="F38" s="263" t="s">
        <v>224</v>
      </c>
      <c r="G38" s="137" t="s">
        <v>34</v>
      </c>
      <c r="H38" s="264">
        <v>41309</v>
      </c>
      <c r="I38" s="265">
        <v>41333</v>
      </c>
      <c r="J38" s="120">
        <f>24/360</f>
        <v>6.6666666666666666E-2</v>
      </c>
      <c r="K38" s="32">
        <f t="shared" si="2"/>
        <v>6.6666666666666666E-2</v>
      </c>
      <c r="L38" s="32">
        <v>0</v>
      </c>
      <c r="M38" s="355" t="s">
        <v>314</v>
      </c>
      <c r="O38" s="78">
        <f t="shared" si="3"/>
        <v>24</v>
      </c>
      <c r="P38" s="121">
        <f t="shared" si="4"/>
        <v>0.8</v>
      </c>
      <c r="Q38" s="121">
        <f t="shared" si="5"/>
        <v>6.6666666666666666E-2</v>
      </c>
      <c r="S38" s="12">
        <f t="shared" si="0"/>
        <v>24</v>
      </c>
      <c r="T38" s="23">
        <f t="shared" si="1"/>
        <v>0.8</v>
      </c>
    </row>
    <row r="39" spans="1:20" ht="76.5" x14ac:dyDescent="0.2">
      <c r="A39" s="86"/>
      <c r="B39" s="260" t="s">
        <v>117</v>
      </c>
      <c r="C39" s="261" t="s">
        <v>195</v>
      </c>
      <c r="D39" s="261" t="s">
        <v>92</v>
      </c>
      <c r="E39" s="262" t="s">
        <v>223</v>
      </c>
      <c r="F39" s="263" t="s">
        <v>225</v>
      </c>
      <c r="G39" s="137" t="s">
        <v>34</v>
      </c>
      <c r="H39" s="264">
        <v>41339</v>
      </c>
      <c r="I39" s="265">
        <v>41410</v>
      </c>
      <c r="J39" s="120">
        <f>70/360</f>
        <v>0.19444444444444445</v>
      </c>
      <c r="K39" s="32">
        <f t="shared" si="2"/>
        <v>0.19444444444444445</v>
      </c>
      <c r="L39" s="32">
        <v>0</v>
      </c>
      <c r="M39" s="355" t="s">
        <v>314</v>
      </c>
      <c r="O39" s="78">
        <f t="shared" si="3"/>
        <v>71</v>
      </c>
      <c r="P39" s="121">
        <f t="shared" si="4"/>
        <v>2.3666666666666667</v>
      </c>
      <c r="Q39" s="121">
        <f t="shared" si="5"/>
        <v>0.19444444444444445</v>
      </c>
      <c r="S39" s="12">
        <f t="shared" si="0"/>
        <v>70</v>
      </c>
      <c r="T39" s="23">
        <f t="shared" si="1"/>
        <v>2.3333333333333335</v>
      </c>
    </row>
    <row r="40" spans="1:20" ht="99" customHeight="1" x14ac:dyDescent="0.2">
      <c r="A40" s="86"/>
      <c r="B40" s="260" t="s">
        <v>117</v>
      </c>
      <c r="C40" s="261" t="s">
        <v>195</v>
      </c>
      <c r="D40" s="261" t="s">
        <v>92</v>
      </c>
      <c r="E40" s="262" t="s">
        <v>226</v>
      </c>
      <c r="F40" s="263" t="s">
        <v>227</v>
      </c>
      <c r="G40" s="137" t="s">
        <v>34</v>
      </c>
      <c r="H40" s="264">
        <v>41411</v>
      </c>
      <c r="I40" s="265">
        <v>41425</v>
      </c>
      <c r="J40" s="120">
        <f>14/360</f>
        <v>3.888888888888889E-2</v>
      </c>
      <c r="K40" s="32">
        <f t="shared" si="2"/>
        <v>3.888888888888889E-2</v>
      </c>
      <c r="L40" s="32">
        <v>0</v>
      </c>
      <c r="M40" s="47" t="s">
        <v>314</v>
      </c>
      <c r="O40" s="78">
        <f t="shared" si="3"/>
        <v>14</v>
      </c>
      <c r="P40" s="121">
        <f t="shared" si="4"/>
        <v>0.46666666666666667</v>
      </c>
      <c r="Q40" s="121">
        <f t="shared" si="5"/>
        <v>3.888888888888889E-2</v>
      </c>
      <c r="S40" s="12">
        <f t="shared" si="0"/>
        <v>14</v>
      </c>
      <c r="T40" s="23">
        <f t="shared" si="1"/>
        <v>0.46666666666666667</v>
      </c>
    </row>
    <row r="41" spans="1:20" ht="93" customHeight="1" x14ac:dyDescent="0.2">
      <c r="A41" s="86"/>
      <c r="B41" s="260" t="s">
        <v>117</v>
      </c>
      <c r="C41" s="261" t="s">
        <v>195</v>
      </c>
      <c r="D41" s="261" t="s">
        <v>92</v>
      </c>
      <c r="E41" s="262" t="s">
        <v>226</v>
      </c>
      <c r="F41" s="263" t="s">
        <v>228</v>
      </c>
      <c r="G41" s="137" t="s">
        <v>34</v>
      </c>
      <c r="H41" s="264">
        <v>41429</v>
      </c>
      <c r="I41" s="265">
        <v>41440</v>
      </c>
      <c r="J41" s="120">
        <f>11/360</f>
        <v>3.0555555555555555E-2</v>
      </c>
      <c r="K41" s="32">
        <f t="shared" si="2"/>
        <v>3.0555555555555555E-2</v>
      </c>
      <c r="L41" s="32">
        <v>0</v>
      </c>
      <c r="M41" s="47" t="s">
        <v>314</v>
      </c>
      <c r="O41" s="78">
        <f t="shared" si="3"/>
        <v>11</v>
      </c>
      <c r="P41" s="121">
        <f t="shared" si="4"/>
        <v>0.36666666666666664</v>
      </c>
      <c r="Q41" s="138">
        <f t="shared" si="5"/>
        <v>3.0555555555555555E-2</v>
      </c>
      <c r="S41" s="12">
        <f t="shared" si="0"/>
        <v>11</v>
      </c>
      <c r="T41" s="23">
        <f t="shared" si="1"/>
        <v>0.36666666666666664</v>
      </c>
    </row>
    <row r="42" spans="1:20" ht="97.15" customHeight="1" x14ac:dyDescent="0.2">
      <c r="A42" s="86"/>
      <c r="B42" s="260" t="s">
        <v>117</v>
      </c>
      <c r="C42" s="261" t="s">
        <v>195</v>
      </c>
      <c r="D42" s="261" t="s">
        <v>92</v>
      </c>
      <c r="E42" s="262" t="s">
        <v>226</v>
      </c>
      <c r="F42" s="263" t="s">
        <v>229</v>
      </c>
      <c r="G42" s="137" t="s">
        <v>34</v>
      </c>
      <c r="H42" s="264">
        <v>41446</v>
      </c>
      <c r="I42" s="265">
        <v>41517</v>
      </c>
      <c r="J42" s="120">
        <f>70/360</f>
        <v>0.19444444444444445</v>
      </c>
      <c r="K42" s="32">
        <f t="shared" si="2"/>
        <v>0.19444444444444445</v>
      </c>
      <c r="L42" s="32">
        <v>0</v>
      </c>
      <c r="M42" s="41" t="s">
        <v>314</v>
      </c>
      <c r="O42" s="78">
        <f t="shared" si="3"/>
        <v>71</v>
      </c>
      <c r="P42" s="121">
        <f t="shared" si="4"/>
        <v>2.3666666666666667</v>
      </c>
      <c r="Q42" s="138">
        <f t="shared" si="5"/>
        <v>0.19444444444444445</v>
      </c>
      <c r="S42" s="12">
        <f t="shared" si="0"/>
        <v>70</v>
      </c>
      <c r="T42" s="23">
        <f t="shared" si="1"/>
        <v>2.3333333333333335</v>
      </c>
    </row>
    <row r="43" spans="1:20" ht="108.6" customHeight="1" x14ac:dyDescent="0.2">
      <c r="A43" s="86"/>
      <c r="B43" s="260" t="s">
        <v>117</v>
      </c>
      <c r="C43" s="261" t="s">
        <v>195</v>
      </c>
      <c r="D43" s="261" t="s">
        <v>92</v>
      </c>
      <c r="E43" s="262" t="s">
        <v>230</v>
      </c>
      <c r="F43" s="263" t="s">
        <v>231</v>
      </c>
      <c r="G43" s="137" t="s">
        <v>34</v>
      </c>
      <c r="H43" s="264">
        <v>41519</v>
      </c>
      <c r="I43" s="265">
        <v>41608</v>
      </c>
      <c r="J43" s="120">
        <f>88/360</f>
        <v>0.24444444444444444</v>
      </c>
      <c r="K43" s="32">
        <f t="shared" si="2"/>
        <v>0.24444444444444444</v>
      </c>
      <c r="L43" s="32">
        <v>0</v>
      </c>
      <c r="M43" s="41" t="s">
        <v>314</v>
      </c>
      <c r="O43" s="78">
        <f t="shared" si="3"/>
        <v>89</v>
      </c>
      <c r="P43" s="121">
        <f t="shared" si="4"/>
        <v>2.9666666666666668</v>
      </c>
      <c r="Q43" s="138">
        <f t="shared" si="5"/>
        <v>0.24444444444444444</v>
      </c>
      <c r="S43" s="12">
        <f t="shared" si="0"/>
        <v>88</v>
      </c>
      <c r="T43" s="23">
        <f t="shared" si="1"/>
        <v>2.9333333333333331</v>
      </c>
    </row>
    <row r="44" spans="1:20" ht="105.6" customHeight="1" x14ac:dyDescent="0.2">
      <c r="A44" s="86"/>
      <c r="B44" s="260" t="s">
        <v>117</v>
      </c>
      <c r="C44" s="261" t="s">
        <v>195</v>
      </c>
      <c r="D44" s="261" t="s">
        <v>92</v>
      </c>
      <c r="E44" s="262" t="s">
        <v>230</v>
      </c>
      <c r="F44" s="263" t="s">
        <v>232</v>
      </c>
      <c r="G44" s="137" t="s">
        <v>34</v>
      </c>
      <c r="H44" s="264">
        <v>41609</v>
      </c>
      <c r="I44" s="265">
        <v>41698</v>
      </c>
      <c r="J44" s="120">
        <f>87/360</f>
        <v>0.24166666666666667</v>
      </c>
      <c r="K44" s="32">
        <f t="shared" si="2"/>
        <v>0.24166666666666667</v>
      </c>
      <c r="L44" s="32">
        <v>0</v>
      </c>
      <c r="M44" s="348" t="s">
        <v>314</v>
      </c>
      <c r="O44" s="78">
        <f t="shared" si="3"/>
        <v>89</v>
      </c>
      <c r="P44" s="121">
        <f t="shared" si="4"/>
        <v>2.9666666666666668</v>
      </c>
      <c r="Q44" s="138">
        <f t="shared" si="5"/>
        <v>0.24166666666666667</v>
      </c>
      <c r="S44" s="12">
        <f t="shared" si="0"/>
        <v>87</v>
      </c>
      <c r="T44" s="23">
        <f t="shared" si="1"/>
        <v>2.9</v>
      </c>
    </row>
    <row r="45" spans="1:20" ht="127.5" customHeight="1" x14ac:dyDescent="0.2">
      <c r="A45" s="86"/>
      <c r="B45" s="260" t="s">
        <v>117</v>
      </c>
      <c r="C45" s="261" t="s">
        <v>195</v>
      </c>
      <c r="D45" s="261" t="s">
        <v>92</v>
      </c>
      <c r="E45" s="262" t="s">
        <v>233</v>
      </c>
      <c r="F45" s="263" t="s">
        <v>234</v>
      </c>
      <c r="G45" s="137" t="s">
        <v>34</v>
      </c>
      <c r="H45" s="264">
        <v>41699</v>
      </c>
      <c r="I45" s="265">
        <v>41720</v>
      </c>
      <c r="J45" s="120">
        <f>21/360</f>
        <v>5.8333333333333334E-2</v>
      </c>
      <c r="K45" s="32">
        <f t="shared" si="2"/>
        <v>5.8333333333333334E-2</v>
      </c>
      <c r="L45" s="32">
        <v>0</v>
      </c>
      <c r="M45" s="42" t="s">
        <v>314</v>
      </c>
      <c r="O45" s="78">
        <f t="shared" si="3"/>
        <v>21</v>
      </c>
      <c r="P45" s="121">
        <f t="shared" si="4"/>
        <v>0.7</v>
      </c>
      <c r="Q45" s="138">
        <f t="shared" si="5"/>
        <v>5.8333333333333334E-2</v>
      </c>
      <c r="S45" s="12">
        <f t="shared" si="0"/>
        <v>21</v>
      </c>
      <c r="T45" s="23">
        <f t="shared" si="1"/>
        <v>0.7</v>
      </c>
    </row>
    <row r="46" spans="1:20" ht="123" customHeight="1" x14ac:dyDescent="0.2">
      <c r="A46" s="86"/>
      <c r="B46" s="260" t="s">
        <v>117</v>
      </c>
      <c r="C46" s="261" t="s">
        <v>195</v>
      </c>
      <c r="D46" s="261" t="s">
        <v>92</v>
      </c>
      <c r="E46" s="262" t="s">
        <v>233</v>
      </c>
      <c r="F46" s="263" t="s">
        <v>235</v>
      </c>
      <c r="G46" s="137" t="s">
        <v>34</v>
      </c>
      <c r="H46" s="264">
        <v>41723</v>
      </c>
      <c r="I46" s="265">
        <v>41851</v>
      </c>
      <c r="J46" s="120">
        <f>126/360</f>
        <v>0.35</v>
      </c>
      <c r="K46" s="32">
        <f t="shared" si="2"/>
        <v>0.35</v>
      </c>
      <c r="L46" s="32">
        <v>0</v>
      </c>
      <c r="M46" s="41" t="s">
        <v>314</v>
      </c>
      <c r="O46" s="78">
        <f t="shared" si="3"/>
        <v>128</v>
      </c>
      <c r="P46" s="121">
        <f t="shared" si="4"/>
        <v>4.2666666666666666</v>
      </c>
      <c r="Q46" s="138">
        <f t="shared" si="5"/>
        <v>0.35</v>
      </c>
      <c r="S46" s="12">
        <f t="shared" si="0"/>
        <v>126</v>
      </c>
      <c r="T46" s="23">
        <f t="shared" si="1"/>
        <v>4.2</v>
      </c>
    </row>
    <row r="47" spans="1:20" ht="123" customHeight="1" x14ac:dyDescent="0.2">
      <c r="A47" s="86"/>
      <c r="B47" s="260" t="s">
        <v>117</v>
      </c>
      <c r="C47" s="261" t="s">
        <v>195</v>
      </c>
      <c r="D47" s="261" t="s">
        <v>92</v>
      </c>
      <c r="E47" s="262" t="s">
        <v>233</v>
      </c>
      <c r="F47" s="263" t="s">
        <v>236</v>
      </c>
      <c r="G47" s="137" t="s">
        <v>34</v>
      </c>
      <c r="H47" s="264">
        <v>41856</v>
      </c>
      <c r="I47" s="265">
        <v>41870</v>
      </c>
      <c r="J47" s="120">
        <f>+T47</f>
        <v>0.46666666666666667</v>
      </c>
      <c r="K47" s="32">
        <f t="shared" si="2"/>
        <v>0.46666666666666667</v>
      </c>
      <c r="L47" s="32">
        <v>0</v>
      </c>
      <c r="M47" s="355" t="s">
        <v>314</v>
      </c>
      <c r="O47" s="78">
        <f t="shared" si="3"/>
        <v>14</v>
      </c>
      <c r="P47" s="121">
        <f t="shared" si="4"/>
        <v>0.46666666666666667</v>
      </c>
      <c r="Q47" s="138">
        <f t="shared" si="5"/>
        <v>0.46666666666666667</v>
      </c>
      <c r="S47" s="12">
        <f t="shared" si="0"/>
        <v>14</v>
      </c>
      <c r="T47" s="23">
        <f t="shared" si="1"/>
        <v>0.46666666666666667</v>
      </c>
    </row>
    <row r="48" spans="1:20" ht="111.6" customHeight="1" x14ac:dyDescent="0.2">
      <c r="A48" s="86"/>
      <c r="B48" s="260" t="s">
        <v>117</v>
      </c>
      <c r="C48" s="261" t="s">
        <v>195</v>
      </c>
      <c r="D48" s="261" t="s">
        <v>92</v>
      </c>
      <c r="E48" s="262" t="s">
        <v>237</v>
      </c>
      <c r="F48" s="263" t="s">
        <v>238</v>
      </c>
      <c r="G48" s="137" t="s">
        <v>34</v>
      </c>
      <c r="H48" s="264">
        <v>41870</v>
      </c>
      <c r="I48" s="265">
        <v>42078</v>
      </c>
      <c r="J48" s="120">
        <f>206/360</f>
        <v>0.57222222222222219</v>
      </c>
      <c r="K48" s="32">
        <f t="shared" si="2"/>
        <v>0.57222222222222219</v>
      </c>
      <c r="L48" s="32">
        <v>0</v>
      </c>
      <c r="M48" s="355" t="s">
        <v>314</v>
      </c>
      <c r="O48" s="78">
        <f t="shared" si="3"/>
        <v>208</v>
      </c>
      <c r="P48" s="121">
        <f t="shared" si="4"/>
        <v>6.9333333333333336</v>
      </c>
      <c r="Q48" s="138">
        <f t="shared" si="5"/>
        <v>0.57222222222222219</v>
      </c>
      <c r="S48" s="12">
        <f t="shared" si="0"/>
        <v>206</v>
      </c>
      <c r="T48" s="23">
        <f t="shared" si="1"/>
        <v>6.8666666666666663</v>
      </c>
    </row>
    <row r="49" spans="1:20" ht="123" customHeight="1" x14ac:dyDescent="0.2">
      <c r="A49" s="86"/>
      <c r="B49" s="260" t="s">
        <v>117</v>
      </c>
      <c r="C49" s="261" t="s">
        <v>195</v>
      </c>
      <c r="D49" s="261" t="s">
        <v>92</v>
      </c>
      <c r="E49" s="262" t="s">
        <v>239</v>
      </c>
      <c r="F49" s="263" t="s">
        <v>240</v>
      </c>
      <c r="G49" s="137" t="s">
        <v>34</v>
      </c>
      <c r="H49" s="264">
        <v>42079</v>
      </c>
      <c r="I49" s="265">
        <v>42178</v>
      </c>
      <c r="J49" s="120">
        <f>97/360</f>
        <v>0.26944444444444443</v>
      </c>
      <c r="K49" s="32">
        <f t="shared" si="2"/>
        <v>0.26944444444444443</v>
      </c>
      <c r="L49" s="32">
        <v>0</v>
      </c>
      <c r="M49" s="47" t="s">
        <v>314</v>
      </c>
      <c r="O49" s="78">
        <f t="shared" si="3"/>
        <v>99</v>
      </c>
      <c r="P49" s="121">
        <f t="shared" si="4"/>
        <v>3.3</v>
      </c>
      <c r="Q49" s="138">
        <f t="shared" si="5"/>
        <v>0.26944444444444443</v>
      </c>
      <c r="S49" s="12">
        <f t="shared" si="0"/>
        <v>97</v>
      </c>
      <c r="T49" s="23">
        <f t="shared" si="1"/>
        <v>3.2333333333333334</v>
      </c>
    </row>
    <row r="50" spans="1:20" ht="165.75" customHeight="1" x14ac:dyDescent="0.2">
      <c r="A50" s="86"/>
      <c r="B50" s="260" t="s">
        <v>117</v>
      </c>
      <c r="C50" s="261" t="s">
        <v>195</v>
      </c>
      <c r="D50" s="261" t="s">
        <v>92</v>
      </c>
      <c r="E50" s="29" t="s">
        <v>241</v>
      </c>
      <c r="F50" s="263" t="s">
        <v>242</v>
      </c>
      <c r="G50" s="137" t="s">
        <v>34</v>
      </c>
      <c r="H50" s="264">
        <v>42188</v>
      </c>
      <c r="I50" s="265">
        <v>42277</v>
      </c>
      <c r="J50" s="120">
        <f>87/360</f>
        <v>0.24166666666666667</v>
      </c>
      <c r="K50" s="32">
        <f t="shared" si="2"/>
        <v>0.24166666666666667</v>
      </c>
      <c r="L50" s="32">
        <f t="shared" ref="L50:L59" si="6">K50</f>
        <v>0.24166666666666667</v>
      </c>
      <c r="M50" s="47" t="s">
        <v>314</v>
      </c>
      <c r="O50" s="78">
        <f t="shared" si="3"/>
        <v>89</v>
      </c>
      <c r="P50" s="121">
        <f t="shared" si="4"/>
        <v>2.9666666666666668</v>
      </c>
      <c r="Q50" s="138">
        <f t="shared" si="5"/>
        <v>0.24166666666666667</v>
      </c>
      <c r="S50" s="12">
        <f t="shared" si="0"/>
        <v>87</v>
      </c>
      <c r="T50" s="23">
        <f t="shared" si="1"/>
        <v>2.9</v>
      </c>
    </row>
    <row r="51" spans="1:20" ht="165.75" customHeight="1" x14ac:dyDescent="0.2">
      <c r="A51" s="86"/>
      <c r="B51" s="260" t="s">
        <v>117</v>
      </c>
      <c r="C51" s="261" t="s">
        <v>195</v>
      </c>
      <c r="D51" s="261" t="s">
        <v>92</v>
      </c>
      <c r="E51" s="29" t="s">
        <v>241</v>
      </c>
      <c r="F51" s="263" t="s">
        <v>243</v>
      </c>
      <c r="G51" s="137" t="s">
        <v>34</v>
      </c>
      <c r="H51" s="264">
        <v>42278</v>
      </c>
      <c r="I51" s="265">
        <v>42332</v>
      </c>
      <c r="J51" s="120">
        <f>53/360</f>
        <v>0.14722222222222223</v>
      </c>
      <c r="K51" s="32">
        <f t="shared" si="2"/>
        <v>0.14722222222222223</v>
      </c>
      <c r="L51" s="32">
        <f t="shared" si="6"/>
        <v>0.14722222222222223</v>
      </c>
      <c r="M51" s="348" t="s">
        <v>372</v>
      </c>
      <c r="O51" s="78">
        <f t="shared" si="3"/>
        <v>54</v>
      </c>
      <c r="P51" s="121">
        <f t="shared" si="4"/>
        <v>1.8</v>
      </c>
      <c r="Q51" s="138">
        <f t="shared" si="5"/>
        <v>0.14722222222222223</v>
      </c>
      <c r="S51" s="12">
        <f t="shared" si="0"/>
        <v>53</v>
      </c>
      <c r="T51" s="23">
        <f t="shared" si="1"/>
        <v>1.7666666666666666</v>
      </c>
    </row>
    <row r="52" spans="1:20" ht="165.75" customHeight="1" x14ac:dyDescent="0.2">
      <c r="A52" s="86"/>
      <c r="B52" s="260" t="s">
        <v>117</v>
      </c>
      <c r="C52" s="261" t="s">
        <v>195</v>
      </c>
      <c r="D52" s="261" t="s">
        <v>92</v>
      </c>
      <c r="E52" s="29" t="s">
        <v>241</v>
      </c>
      <c r="F52" s="263" t="s">
        <v>244</v>
      </c>
      <c r="G52" s="137" t="s">
        <v>34</v>
      </c>
      <c r="H52" s="264">
        <v>42342</v>
      </c>
      <c r="I52" s="265">
        <v>42399</v>
      </c>
      <c r="J52" s="120">
        <f>56/360</f>
        <v>0.15555555555555556</v>
      </c>
      <c r="K52" s="32">
        <f t="shared" si="2"/>
        <v>0.15555555555555556</v>
      </c>
      <c r="L52" s="32">
        <f t="shared" si="6"/>
        <v>0.15555555555555556</v>
      </c>
      <c r="M52" s="348" t="s">
        <v>372</v>
      </c>
      <c r="O52" s="78">
        <f t="shared" si="3"/>
        <v>57</v>
      </c>
      <c r="P52" s="121">
        <f t="shared" si="4"/>
        <v>1.9</v>
      </c>
      <c r="Q52" s="138">
        <f t="shared" si="5"/>
        <v>0.15555555555555556</v>
      </c>
      <c r="S52" s="12">
        <f t="shared" si="0"/>
        <v>56</v>
      </c>
      <c r="T52" s="23">
        <f t="shared" si="1"/>
        <v>1.8666666666666667</v>
      </c>
    </row>
    <row r="53" spans="1:20" ht="165.75" customHeight="1" x14ac:dyDescent="0.2">
      <c r="A53" s="86"/>
      <c r="B53" s="260" t="s">
        <v>117</v>
      </c>
      <c r="C53" s="261" t="s">
        <v>195</v>
      </c>
      <c r="D53" s="261" t="s">
        <v>92</v>
      </c>
      <c r="E53" s="29" t="s">
        <v>241</v>
      </c>
      <c r="F53" s="263" t="s">
        <v>245</v>
      </c>
      <c r="G53" s="137" t="s">
        <v>34</v>
      </c>
      <c r="H53" s="264">
        <v>42408</v>
      </c>
      <c r="I53" s="265">
        <v>42460</v>
      </c>
      <c r="J53" s="120">
        <f>53/360</f>
        <v>0.14722222222222223</v>
      </c>
      <c r="K53" s="32">
        <f t="shared" si="2"/>
        <v>0.14722222222222223</v>
      </c>
      <c r="L53" s="32">
        <f t="shared" si="6"/>
        <v>0.14722222222222223</v>
      </c>
      <c r="M53" s="348" t="s">
        <v>372</v>
      </c>
      <c r="O53" s="78">
        <f t="shared" si="3"/>
        <v>52</v>
      </c>
      <c r="P53" s="121">
        <f t="shared" si="4"/>
        <v>1.7333333333333334</v>
      </c>
      <c r="Q53" s="138">
        <f t="shared" si="5"/>
        <v>0.14722222222222223</v>
      </c>
      <c r="S53" s="12">
        <f t="shared" si="0"/>
        <v>53</v>
      </c>
      <c r="T53" s="23">
        <f t="shared" si="1"/>
        <v>1.7666666666666666</v>
      </c>
    </row>
    <row r="54" spans="1:20" ht="165.75" customHeight="1" x14ac:dyDescent="0.2">
      <c r="A54" s="86"/>
      <c r="B54" s="260" t="s">
        <v>117</v>
      </c>
      <c r="C54" s="261" t="s">
        <v>195</v>
      </c>
      <c r="D54" s="261" t="s">
        <v>92</v>
      </c>
      <c r="E54" s="29" t="s">
        <v>241</v>
      </c>
      <c r="F54" s="263" t="s">
        <v>246</v>
      </c>
      <c r="G54" s="137" t="s">
        <v>34</v>
      </c>
      <c r="H54" s="264">
        <v>42466</v>
      </c>
      <c r="I54" s="265">
        <v>42473</v>
      </c>
      <c r="J54" s="120">
        <f>7/360</f>
        <v>1.9444444444444445E-2</v>
      </c>
      <c r="K54" s="32">
        <f t="shared" si="2"/>
        <v>1.9444444444444445E-2</v>
      </c>
      <c r="L54" s="32">
        <f t="shared" si="6"/>
        <v>1.9444444444444445E-2</v>
      </c>
      <c r="M54" s="348" t="s">
        <v>372</v>
      </c>
      <c r="O54" s="78">
        <f t="shared" si="3"/>
        <v>7</v>
      </c>
      <c r="P54" s="121">
        <f t="shared" si="4"/>
        <v>0.23333333333333334</v>
      </c>
      <c r="Q54" s="138">
        <f t="shared" si="5"/>
        <v>1.9444444444444445E-2</v>
      </c>
      <c r="S54" s="12">
        <f t="shared" si="0"/>
        <v>7</v>
      </c>
      <c r="T54" s="23">
        <f t="shared" si="1"/>
        <v>0.23333333333333334</v>
      </c>
    </row>
    <row r="55" spans="1:20" ht="169.15" customHeight="1" x14ac:dyDescent="0.2">
      <c r="A55" s="86"/>
      <c r="B55" s="260" t="s">
        <v>117</v>
      </c>
      <c r="C55" s="261" t="s">
        <v>195</v>
      </c>
      <c r="D55" s="261" t="s">
        <v>92</v>
      </c>
      <c r="E55" s="29" t="s">
        <v>247</v>
      </c>
      <c r="F55" s="263" t="s">
        <v>248</v>
      </c>
      <c r="G55" s="137" t="s">
        <v>34</v>
      </c>
      <c r="H55" s="264">
        <v>42479</v>
      </c>
      <c r="I55" s="265">
        <v>42551</v>
      </c>
      <c r="J55" s="120">
        <f>71/360</f>
        <v>0.19722222222222222</v>
      </c>
      <c r="K55" s="32">
        <f t="shared" si="2"/>
        <v>0.19722222222222222</v>
      </c>
      <c r="L55" s="32">
        <f t="shared" si="6"/>
        <v>0.19722222222222222</v>
      </c>
      <c r="M55" s="348" t="s">
        <v>372</v>
      </c>
      <c r="O55" s="78">
        <f t="shared" si="3"/>
        <v>72</v>
      </c>
      <c r="P55" s="121">
        <f t="shared" si="4"/>
        <v>2.4</v>
      </c>
      <c r="Q55" s="138">
        <f t="shared" si="5"/>
        <v>0.19722222222222222</v>
      </c>
      <c r="S55" s="12">
        <f t="shared" si="0"/>
        <v>71</v>
      </c>
      <c r="T55" s="23">
        <f t="shared" si="1"/>
        <v>2.3666666666666667</v>
      </c>
    </row>
    <row r="56" spans="1:20" ht="175.15" customHeight="1" x14ac:dyDescent="0.2">
      <c r="A56" s="86"/>
      <c r="B56" s="260" t="s">
        <v>117</v>
      </c>
      <c r="C56" s="261" t="s">
        <v>195</v>
      </c>
      <c r="D56" s="261" t="s">
        <v>92</v>
      </c>
      <c r="E56" s="29" t="s">
        <v>249</v>
      </c>
      <c r="F56" s="263" t="s">
        <v>250</v>
      </c>
      <c r="G56" s="137" t="s">
        <v>34</v>
      </c>
      <c r="H56" s="264">
        <v>42552</v>
      </c>
      <c r="I56" s="265">
        <v>42643</v>
      </c>
      <c r="J56" s="120">
        <f>89/360</f>
        <v>0.24722222222222223</v>
      </c>
      <c r="K56" s="32">
        <f t="shared" si="2"/>
        <v>0.24722222222222223</v>
      </c>
      <c r="L56" s="32">
        <f t="shared" si="6"/>
        <v>0.24722222222222223</v>
      </c>
      <c r="M56" s="348" t="s">
        <v>372</v>
      </c>
      <c r="O56" s="78">
        <f t="shared" si="3"/>
        <v>91</v>
      </c>
      <c r="P56" s="121">
        <f t="shared" si="4"/>
        <v>3.0333333333333332</v>
      </c>
      <c r="Q56" s="138">
        <f t="shared" si="5"/>
        <v>0.24722222222222223</v>
      </c>
      <c r="S56" s="12">
        <f t="shared" si="0"/>
        <v>89</v>
      </c>
      <c r="T56" s="23">
        <f t="shared" si="1"/>
        <v>2.9666666666666668</v>
      </c>
    </row>
    <row r="57" spans="1:20" ht="177.6" customHeight="1" x14ac:dyDescent="0.2">
      <c r="A57" s="86"/>
      <c r="B57" s="260" t="s">
        <v>117</v>
      </c>
      <c r="C57" s="261" t="s">
        <v>195</v>
      </c>
      <c r="D57" s="261" t="s">
        <v>92</v>
      </c>
      <c r="E57" s="29" t="s">
        <v>251</v>
      </c>
      <c r="F57" s="263">
        <v>1591</v>
      </c>
      <c r="G57" s="137" t="s">
        <v>34</v>
      </c>
      <c r="H57" s="264">
        <v>42644</v>
      </c>
      <c r="I57" s="265">
        <v>42711</v>
      </c>
      <c r="J57" s="120">
        <f>66/360</f>
        <v>0.18333333333333332</v>
      </c>
      <c r="K57" s="32">
        <f t="shared" si="2"/>
        <v>0.18333333333333332</v>
      </c>
      <c r="L57" s="32">
        <f t="shared" si="6"/>
        <v>0.18333333333333332</v>
      </c>
      <c r="M57" s="348" t="s">
        <v>372</v>
      </c>
      <c r="O57" s="78">
        <f t="shared" si="3"/>
        <v>67</v>
      </c>
      <c r="P57" s="121">
        <f t="shared" si="4"/>
        <v>2.2333333333333334</v>
      </c>
      <c r="Q57" s="138">
        <f t="shared" si="5"/>
        <v>0.18333333333333332</v>
      </c>
      <c r="S57" s="12">
        <f t="shared" si="0"/>
        <v>66</v>
      </c>
      <c r="T57" s="23">
        <f t="shared" si="1"/>
        <v>2.2000000000000002</v>
      </c>
    </row>
    <row r="58" spans="1:20" ht="176.45" customHeight="1" x14ac:dyDescent="0.2">
      <c r="A58" s="86"/>
      <c r="B58" s="260" t="s">
        <v>117</v>
      </c>
      <c r="C58" s="261" t="s">
        <v>195</v>
      </c>
      <c r="D58" s="261" t="s">
        <v>92</v>
      </c>
      <c r="E58" s="29" t="s">
        <v>252</v>
      </c>
      <c r="F58" s="263">
        <v>2033</v>
      </c>
      <c r="G58" s="137" t="s">
        <v>34</v>
      </c>
      <c r="H58" s="264">
        <v>42717</v>
      </c>
      <c r="I58" s="265">
        <v>42781</v>
      </c>
      <c r="J58" s="120">
        <f>62/360</f>
        <v>0.17222222222222222</v>
      </c>
      <c r="K58" s="32">
        <f t="shared" si="2"/>
        <v>0.17222222222222222</v>
      </c>
      <c r="L58" s="32">
        <f t="shared" si="6"/>
        <v>0.17222222222222222</v>
      </c>
      <c r="M58" s="348" t="s">
        <v>372</v>
      </c>
      <c r="O58" s="78">
        <f t="shared" si="3"/>
        <v>64</v>
      </c>
      <c r="P58" s="121">
        <f t="shared" si="4"/>
        <v>2.1333333333333333</v>
      </c>
      <c r="Q58" s="138">
        <f t="shared" si="5"/>
        <v>0.17222222222222222</v>
      </c>
      <c r="S58" s="12">
        <f t="shared" si="0"/>
        <v>62</v>
      </c>
      <c r="T58" s="23">
        <f t="shared" si="1"/>
        <v>2.0666666666666669</v>
      </c>
    </row>
    <row r="59" spans="1:20" ht="171.6" customHeight="1" x14ac:dyDescent="0.2">
      <c r="A59" s="86"/>
      <c r="B59" s="260" t="s">
        <v>117</v>
      </c>
      <c r="C59" s="261" t="s">
        <v>195</v>
      </c>
      <c r="D59" s="261" t="s">
        <v>92</v>
      </c>
      <c r="E59" s="29" t="s">
        <v>252</v>
      </c>
      <c r="F59" s="263" t="s">
        <v>253</v>
      </c>
      <c r="G59" s="137" t="s">
        <v>34</v>
      </c>
      <c r="H59" s="264">
        <v>43581</v>
      </c>
      <c r="I59" s="265">
        <v>43861</v>
      </c>
      <c r="J59" s="120">
        <f>275/360</f>
        <v>0.76388888888888884</v>
      </c>
      <c r="K59" s="32">
        <f t="shared" si="2"/>
        <v>0.76388888888888884</v>
      </c>
      <c r="L59" s="32">
        <f t="shared" si="6"/>
        <v>0.76388888888888884</v>
      </c>
      <c r="M59" s="348" t="s">
        <v>372</v>
      </c>
      <c r="O59" s="78">
        <f t="shared" si="3"/>
        <v>280</v>
      </c>
      <c r="P59" s="121">
        <f t="shared" si="4"/>
        <v>9.3333333333333339</v>
      </c>
      <c r="Q59" s="138">
        <f t="shared" si="5"/>
        <v>0.76388888888888884</v>
      </c>
      <c r="S59" s="12">
        <f t="shared" si="0"/>
        <v>275</v>
      </c>
      <c r="T59" s="23">
        <f t="shared" si="1"/>
        <v>9.1666666666666661</v>
      </c>
    </row>
    <row r="60" spans="1:20" ht="128.25" customHeight="1" x14ac:dyDescent="0.2">
      <c r="A60" s="86"/>
      <c r="B60" s="526" t="s">
        <v>198</v>
      </c>
      <c r="C60" s="528" t="s">
        <v>254</v>
      </c>
      <c r="D60" s="528" t="s">
        <v>366</v>
      </c>
      <c r="E60" s="530" t="s">
        <v>255</v>
      </c>
      <c r="F60" s="521" t="s">
        <v>256</v>
      </c>
      <c r="G60" s="523" t="s">
        <v>34</v>
      </c>
      <c r="H60" s="264">
        <v>42823</v>
      </c>
      <c r="I60" s="265">
        <v>43084</v>
      </c>
      <c r="J60" s="120">
        <f>256/360</f>
        <v>0.71111111111111114</v>
      </c>
      <c r="K60" s="32">
        <f>J60</f>
        <v>0.71111111111111114</v>
      </c>
      <c r="L60" s="32">
        <v>0</v>
      </c>
      <c r="M60" s="540" t="s">
        <v>370</v>
      </c>
      <c r="O60" s="78">
        <f t="shared" si="3"/>
        <v>261</v>
      </c>
      <c r="P60" s="121">
        <f t="shared" si="4"/>
        <v>8.6999999999999993</v>
      </c>
      <c r="Q60" s="138">
        <f t="shared" si="5"/>
        <v>0.71111111111111114</v>
      </c>
      <c r="S60" s="12">
        <f t="shared" si="0"/>
        <v>256</v>
      </c>
      <c r="T60" s="23">
        <f t="shared" si="1"/>
        <v>8.5333333333333332</v>
      </c>
    </row>
    <row r="61" spans="1:20" ht="120" customHeight="1" x14ac:dyDescent="0.2">
      <c r="A61" s="86"/>
      <c r="B61" s="527"/>
      <c r="C61" s="529"/>
      <c r="D61" s="529"/>
      <c r="E61" s="531"/>
      <c r="F61" s="522"/>
      <c r="G61" s="524"/>
      <c r="H61" s="264">
        <v>43132</v>
      </c>
      <c r="I61" s="265">
        <v>43266</v>
      </c>
      <c r="J61" s="120">
        <f>134/360</f>
        <v>0.37222222222222223</v>
      </c>
      <c r="K61" s="32">
        <f>J61</f>
        <v>0.37222222222222223</v>
      </c>
      <c r="L61" s="32">
        <v>0</v>
      </c>
      <c r="M61" s="541"/>
      <c r="O61" s="78">
        <f t="shared" si="3"/>
        <v>134</v>
      </c>
      <c r="P61" s="121">
        <f t="shared" si="4"/>
        <v>4.4666666666666668</v>
      </c>
      <c r="Q61" s="138">
        <f t="shared" si="5"/>
        <v>0.37222222222222223</v>
      </c>
      <c r="S61" s="12">
        <f t="shared" si="0"/>
        <v>134</v>
      </c>
      <c r="T61" s="23">
        <f t="shared" si="1"/>
        <v>4.4666666666666668</v>
      </c>
    </row>
    <row r="62" spans="1:20" ht="147.75" customHeight="1" x14ac:dyDescent="0.2">
      <c r="A62" s="86"/>
      <c r="B62" s="266" t="s">
        <v>369</v>
      </c>
      <c r="C62" s="267" t="s">
        <v>257</v>
      </c>
      <c r="D62" s="267" t="s">
        <v>368</v>
      </c>
      <c r="E62" s="268" t="s">
        <v>34</v>
      </c>
      <c r="F62" s="269" t="s">
        <v>34</v>
      </c>
      <c r="G62" s="270" t="s">
        <v>34</v>
      </c>
      <c r="H62" s="264">
        <v>42340</v>
      </c>
      <c r="I62" s="265">
        <v>42429</v>
      </c>
      <c r="J62" s="120">
        <f>87/360</f>
        <v>0.24166666666666667</v>
      </c>
      <c r="K62" s="32">
        <f>J62</f>
        <v>0.24166666666666667</v>
      </c>
      <c r="L62" s="32">
        <v>0</v>
      </c>
      <c r="M62" s="348" t="s">
        <v>314</v>
      </c>
      <c r="O62" s="78">
        <f t="shared" si="3"/>
        <v>89</v>
      </c>
      <c r="P62" s="121">
        <f t="shared" si="4"/>
        <v>2.9666666666666668</v>
      </c>
      <c r="Q62" s="138">
        <f t="shared" si="5"/>
        <v>0.24166666666666667</v>
      </c>
      <c r="S62" s="12">
        <f t="shared" si="0"/>
        <v>87</v>
      </c>
      <c r="T62" s="23">
        <f t="shared" si="1"/>
        <v>2.9</v>
      </c>
    </row>
    <row r="63" spans="1:20" ht="111.75" customHeight="1" thickBot="1" x14ac:dyDescent="0.25">
      <c r="A63" s="86"/>
      <c r="B63" s="260" t="s">
        <v>258</v>
      </c>
      <c r="C63" s="261" t="s">
        <v>259</v>
      </c>
      <c r="D63" s="267" t="s">
        <v>367</v>
      </c>
      <c r="E63" s="262" t="s">
        <v>34</v>
      </c>
      <c r="F63" s="263" t="s">
        <v>34</v>
      </c>
      <c r="G63" s="137" t="s">
        <v>34</v>
      </c>
      <c r="H63" s="264">
        <v>40184</v>
      </c>
      <c r="I63" s="265">
        <v>40326</v>
      </c>
      <c r="J63" s="120">
        <f>142/360</f>
        <v>0.39444444444444443</v>
      </c>
      <c r="K63" s="32">
        <f>J63</f>
        <v>0.39444444444444443</v>
      </c>
      <c r="L63" s="32">
        <v>0</v>
      </c>
      <c r="M63" s="348" t="s">
        <v>314</v>
      </c>
      <c r="O63" s="78">
        <f t="shared" si="3"/>
        <v>142</v>
      </c>
      <c r="P63" s="121">
        <f t="shared" si="4"/>
        <v>4.7333333333333334</v>
      </c>
      <c r="Q63" s="138">
        <f t="shared" si="5"/>
        <v>0.39444444444444443</v>
      </c>
      <c r="S63" s="12">
        <f t="shared" si="0"/>
        <v>142</v>
      </c>
      <c r="T63" s="23">
        <f t="shared" si="1"/>
        <v>4.7333333333333334</v>
      </c>
    </row>
    <row r="64" spans="1:20" ht="30" customHeight="1" thickBot="1" x14ac:dyDescent="0.25">
      <c r="A64" s="86"/>
      <c r="B64" s="147"/>
      <c r="D64" s="148"/>
      <c r="E64" s="148"/>
      <c r="F64" s="148"/>
      <c r="G64" s="148"/>
      <c r="H64" s="431" t="s">
        <v>315</v>
      </c>
      <c r="I64" s="432"/>
      <c r="J64" s="433"/>
      <c r="K64" s="343">
        <f>SUM(K22:K63)</f>
        <v>10.069444444444445</v>
      </c>
      <c r="L64" s="334"/>
      <c r="M64" s="362" t="s">
        <v>308</v>
      </c>
      <c r="P64" s="121"/>
      <c r="Q64" s="121"/>
    </row>
    <row r="65" spans="1:22" ht="25.5" customHeight="1" thickBot="1" x14ac:dyDescent="0.25">
      <c r="A65" s="77"/>
      <c r="B65" s="147"/>
      <c r="D65" s="148"/>
      <c r="E65" s="148"/>
      <c r="F65" s="148"/>
      <c r="G65" s="148"/>
      <c r="H65" s="55"/>
      <c r="I65" s="505" t="s">
        <v>316</v>
      </c>
      <c r="J65" s="505"/>
      <c r="K65" s="506"/>
      <c r="L65" s="344">
        <f>SUM(L22:L63)</f>
        <v>3.8999999999999995</v>
      </c>
      <c r="M65" s="73" t="s">
        <v>308</v>
      </c>
      <c r="O65" s="152"/>
      <c r="P65" s="121"/>
      <c r="Q65" s="121"/>
    </row>
    <row r="66" spans="1:22" x14ac:dyDescent="0.2">
      <c r="A66" s="77"/>
      <c r="B66" s="147"/>
      <c r="D66" s="55" t="s">
        <v>317</v>
      </c>
      <c r="E66" s="148"/>
      <c r="F66" s="148"/>
      <c r="G66" s="148"/>
      <c r="H66" s="244"/>
      <c r="I66" s="152"/>
      <c r="L66" s="80"/>
      <c r="M66" s="86"/>
      <c r="O66" s="152"/>
      <c r="P66" s="121"/>
      <c r="Q66" s="121"/>
    </row>
    <row r="67" spans="1:22" x14ac:dyDescent="0.2">
      <c r="A67" s="77"/>
      <c r="B67" s="168"/>
      <c r="C67" s="162"/>
      <c r="D67" s="162" t="s">
        <v>318</v>
      </c>
      <c r="E67" s="164"/>
      <c r="F67" s="164"/>
      <c r="G67" s="164"/>
      <c r="H67" s="164"/>
      <c r="I67" s="162"/>
      <c r="J67" s="162"/>
      <c r="K67" s="162"/>
      <c r="L67" s="162"/>
      <c r="M67" s="161"/>
      <c r="O67" s="152"/>
      <c r="P67" s="121"/>
      <c r="Q67" s="121"/>
    </row>
    <row r="68" spans="1:22" x14ac:dyDescent="0.2">
      <c r="A68" s="77"/>
      <c r="B68" s="150"/>
      <c r="L68" s="77"/>
      <c r="M68" s="77"/>
      <c r="O68" s="152"/>
      <c r="P68" s="121"/>
      <c r="Q68" s="121"/>
    </row>
    <row r="69" spans="1:22" x14ac:dyDescent="0.2">
      <c r="A69" s="77"/>
      <c r="B69" s="150"/>
      <c r="L69" s="77"/>
      <c r="M69" s="77"/>
      <c r="O69" s="152"/>
      <c r="P69" s="121"/>
      <c r="Q69" s="121"/>
    </row>
    <row r="70" spans="1:22" x14ac:dyDescent="0.2">
      <c r="A70" s="77"/>
      <c r="B70" s="150"/>
      <c r="L70" s="77"/>
      <c r="M70" s="77"/>
      <c r="O70" s="152"/>
      <c r="P70" s="121"/>
      <c r="Q70" s="121"/>
    </row>
    <row r="71" spans="1:22" x14ac:dyDescent="0.2">
      <c r="A71" s="77"/>
      <c r="B71" s="150"/>
      <c r="L71" s="77"/>
      <c r="M71" s="77"/>
      <c r="O71" s="152"/>
      <c r="P71" s="121"/>
      <c r="Q71" s="121"/>
    </row>
    <row r="72" spans="1:22" s="78" customFormat="1" ht="6" customHeight="1" thickBot="1" x14ac:dyDescent="0.25">
      <c r="A72" s="23"/>
      <c r="B72" s="153"/>
      <c r="C72" s="76"/>
      <c r="D72" s="76"/>
      <c r="E72" s="76"/>
      <c r="F72" s="76"/>
      <c r="G72" s="76"/>
      <c r="H72" s="76"/>
      <c r="I72" s="76"/>
      <c r="J72" s="76"/>
      <c r="K72" s="76"/>
      <c r="L72" s="76"/>
      <c r="M72" s="77"/>
      <c r="N72" s="23"/>
      <c r="P72" s="121"/>
      <c r="R72" s="23"/>
      <c r="S72" s="23"/>
      <c r="T72" s="23"/>
      <c r="U72" s="23"/>
      <c r="V72" s="23"/>
    </row>
    <row r="73" spans="1:22" s="78" customFormat="1" ht="6.75" customHeight="1" x14ac:dyDescent="0.2">
      <c r="A73" s="23"/>
      <c r="B73" s="23"/>
      <c r="C73" s="23"/>
      <c r="D73" s="23"/>
      <c r="E73" s="23"/>
      <c r="F73" s="23"/>
      <c r="G73" s="23"/>
      <c r="H73" s="23"/>
      <c r="I73" s="23"/>
      <c r="J73" s="23"/>
      <c r="K73" s="23"/>
      <c r="L73" s="23"/>
      <c r="M73" s="23"/>
      <c r="N73" s="23"/>
      <c r="P73" s="121"/>
      <c r="R73" s="23"/>
      <c r="S73" s="23"/>
      <c r="T73" s="23"/>
      <c r="U73" s="23"/>
      <c r="V73" s="23"/>
    </row>
  </sheetData>
  <mergeCells count="46">
    <mergeCell ref="D20:D21"/>
    <mergeCell ref="H12:I12"/>
    <mergeCell ref="H64:J64"/>
    <mergeCell ref="I65:K65"/>
    <mergeCell ref="T20:T21"/>
    <mergeCell ref="G20:G21"/>
    <mergeCell ref="H20:I20"/>
    <mergeCell ref="J20:J21"/>
    <mergeCell ref="K20:K21"/>
    <mergeCell ref="L20:L21"/>
    <mergeCell ref="S20:S21"/>
    <mergeCell ref="M60:M61"/>
    <mergeCell ref="M20:M21"/>
    <mergeCell ref="M24:M26"/>
    <mergeCell ref="B2:H2"/>
    <mergeCell ref="B3:L3"/>
    <mergeCell ref="B17:C17"/>
    <mergeCell ref="B7:C7"/>
    <mergeCell ref="D7:E7"/>
    <mergeCell ref="B9:C9"/>
    <mergeCell ref="D9:L9"/>
    <mergeCell ref="B10:C10"/>
    <mergeCell ref="B12:C12"/>
    <mergeCell ref="B13:C13"/>
    <mergeCell ref="B14:C14"/>
    <mergeCell ref="B15:C15"/>
    <mergeCell ref="B16:C16"/>
    <mergeCell ref="E16:F16"/>
    <mergeCell ref="J12:L12"/>
    <mergeCell ref="B4:M4"/>
    <mergeCell ref="B18:C18"/>
    <mergeCell ref="B20:B21"/>
    <mergeCell ref="C20:C21"/>
    <mergeCell ref="F60:F61"/>
    <mergeCell ref="G60:G61"/>
    <mergeCell ref="F20:F21"/>
    <mergeCell ref="B60:B61"/>
    <mergeCell ref="C60:C61"/>
    <mergeCell ref="D60:D61"/>
    <mergeCell ref="E60:E61"/>
    <mergeCell ref="B24:B25"/>
    <mergeCell ref="C24:C25"/>
    <mergeCell ref="D24:D25"/>
    <mergeCell ref="E24:E25"/>
    <mergeCell ref="F24:F25"/>
    <mergeCell ref="E20:E21"/>
  </mergeCells>
  <pageMargins left="0.7" right="0.7" top="0.75" bottom="0.75" header="0.3" footer="0.3"/>
  <pageSetup scale="46" orientation="portrait" r:id="rId1"/>
  <ignoredErrors>
    <ignoredError sqref="J48 J5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
  <sheetViews>
    <sheetView view="pageBreakPreview" zoomScale="90" zoomScaleNormal="100" zoomScaleSheetLayoutView="90" workbookViewId="0">
      <selection activeCell="E6" sqref="E6:F6"/>
    </sheetView>
  </sheetViews>
  <sheetFormatPr baseColWidth="10" defaultColWidth="11.5703125" defaultRowHeight="12.75" x14ac:dyDescent="0.2"/>
  <cols>
    <col min="1" max="1" width="0.7109375" style="155" customWidth="1"/>
    <col min="2" max="2" width="19.42578125" style="155" customWidth="1"/>
    <col min="3" max="3" width="0.140625" style="155" customWidth="1"/>
    <col min="4" max="4" width="18.28515625" style="155" customWidth="1"/>
    <col min="5" max="5" width="36.85546875" style="155" customWidth="1"/>
    <col min="6" max="6" width="11.28515625" style="155" customWidth="1"/>
    <col min="7" max="7" width="13.7109375" style="155" customWidth="1"/>
    <col min="8" max="8" width="14.28515625" style="155" customWidth="1"/>
    <col min="9" max="9" width="12.5703125" style="155" customWidth="1"/>
    <col min="10" max="10" width="11.42578125" style="155" customWidth="1"/>
    <col min="11" max="11" width="12.140625" style="155" customWidth="1"/>
    <col min="12" max="12" width="13" style="155" customWidth="1"/>
    <col min="13" max="13" width="1.140625" style="155" hidden="1" customWidth="1"/>
    <col min="14" max="21" width="0" style="155" hidden="1" customWidth="1"/>
    <col min="22" max="22" width="20.28515625" style="155" customWidth="1"/>
    <col min="23" max="23" width="2.28515625" style="155" customWidth="1"/>
    <col min="24" max="24" width="16.140625" style="155" customWidth="1"/>
    <col min="25" max="25" width="11.5703125" style="155"/>
    <col min="26" max="26" width="21.140625" style="155" customWidth="1"/>
    <col min="27" max="16384" width="11.5703125" style="155"/>
  </cols>
  <sheetData>
    <row r="1" spans="2:27" ht="7.5" customHeight="1" x14ac:dyDescent="0.2">
      <c r="B1" s="492"/>
      <c r="C1" s="493"/>
      <c r="D1" s="493"/>
      <c r="E1" s="493"/>
      <c r="F1" s="493"/>
      <c r="G1" s="493"/>
      <c r="H1" s="493"/>
      <c r="I1" s="199"/>
      <c r="J1" s="199"/>
      <c r="K1" s="199"/>
      <c r="L1" s="199"/>
      <c r="V1" s="198"/>
    </row>
    <row r="2" spans="2:27" x14ac:dyDescent="0.2">
      <c r="B2" s="494"/>
      <c r="C2" s="495"/>
      <c r="D2" s="495"/>
      <c r="E2" s="495"/>
      <c r="F2" s="495"/>
      <c r="G2" s="495"/>
      <c r="H2" s="495"/>
      <c r="I2" s="495"/>
      <c r="J2" s="495"/>
      <c r="K2" s="495"/>
      <c r="L2" s="495"/>
      <c r="V2" s="161"/>
    </row>
    <row r="3" spans="2:27" ht="20.25" customHeight="1" x14ac:dyDescent="0.2">
      <c r="B3" s="501" t="s">
        <v>373</v>
      </c>
      <c r="C3" s="450"/>
      <c r="D3" s="450"/>
      <c r="E3" s="450"/>
      <c r="F3" s="450"/>
      <c r="G3" s="450"/>
      <c r="H3" s="450"/>
      <c r="I3" s="450"/>
      <c r="J3" s="450"/>
      <c r="K3" s="450"/>
      <c r="L3" s="450"/>
      <c r="M3" s="450"/>
      <c r="N3" s="450"/>
      <c r="O3" s="450"/>
      <c r="P3" s="450"/>
      <c r="Q3" s="450"/>
      <c r="R3" s="450"/>
      <c r="S3" s="450"/>
      <c r="T3" s="450"/>
      <c r="U3" s="450"/>
      <c r="V3" s="451"/>
    </row>
    <row r="4" spans="2:27" ht="7.5" customHeight="1" x14ac:dyDescent="0.2">
      <c r="B4" s="165"/>
      <c r="C4" s="196"/>
      <c r="D4" s="196"/>
      <c r="E4" s="196"/>
      <c r="F4" s="195"/>
      <c r="G4" s="195"/>
      <c r="H4" s="195"/>
      <c r="I4" s="162"/>
      <c r="J4" s="162"/>
      <c r="K4" s="162"/>
      <c r="L4" s="162"/>
      <c r="V4" s="161"/>
    </row>
    <row r="5" spans="2:27" ht="15" customHeight="1" x14ac:dyDescent="0.2">
      <c r="B5" s="194" t="s">
        <v>88</v>
      </c>
      <c r="C5" s="186"/>
      <c r="D5" s="460" t="s">
        <v>343</v>
      </c>
      <c r="E5" s="460"/>
      <c r="F5" s="192"/>
      <c r="G5" s="192"/>
      <c r="H5" s="192"/>
      <c r="I5" s="192"/>
      <c r="J5" s="192"/>
      <c r="K5" s="192"/>
      <c r="L5" s="192"/>
      <c r="M5" s="162"/>
      <c r="V5" s="161"/>
    </row>
    <row r="6" spans="2:27" ht="34.5" customHeight="1" x14ac:dyDescent="0.2">
      <c r="B6" s="427" t="s">
        <v>377</v>
      </c>
      <c r="C6" s="186"/>
      <c r="D6" s="419">
        <v>45713</v>
      </c>
      <c r="E6" s="425" t="s">
        <v>375</v>
      </c>
      <c r="F6" s="426">
        <v>45719</v>
      </c>
      <c r="G6" s="192"/>
      <c r="H6" s="192"/>
      <c r="I6" s="192"/>
      <c r="J6" s="192"/>
      <c r="K6" s="192"/>
      <c r="L6" s="192"/>
      <c r="M6" s="162"/>
      <c r="V6" s="161"/>
    </row>
    <row r="7" spans="2:27" ht="47.25" customHeight="1" x14ac:dyDescent="0.2">
      <c r="B7" s="499" t="s">
        <v>1</v>
      </c>
      <c r="C7" s="500"/>
      <c r="D7" s="490" t="s">
        <v>84</v>
      </c>
      <c r="E7" s="490"/>
      <c r="F7" s="490"/>
      <c r="G7" s="490"/>
      <c r="H7" s="490"/>
      <c r="I7" s="490"/>
      <c r="J7" s="490"/>
      <c r="K7" s="490"/>
      <c r="L7" s="490"/>
      <c r="M7" s="490"/>
      <c r="N7" s="490"/>
      <c r="O7" s="490"/>
      <c r="P7" s="490"/>
      <c r="Q7" s="490"/>
      <c r="R7" s="490"/>
      <c r="S7" s="490"/>
      <c r="T7" s="490"/>
      <c r="U7" s="490"/>
      <c r="V7" s="491"/>
    </row>
    <row r="8" spans="2:27" s="189" customFormat="1" ht="24.75" customHeight="1" x14ac:dyDescent="0.25">
      <c r="B8" s="477" t="s">
        <v>31</v>
      </c>
      <c r="C8" s="478"/>
      <c r="D8" s="192" t="str">
        <f>+[18]DATOS!B7</f>
        <v>EDELMIRA SIERRA GUTIÉRREZ</v>
      </c>
      <c r="E8" s="192"/>
      <c r="F8" s="192"/>
      <c r="G8" s="192"/>
      <c r="H8" s="192"/>
      <c r="I8" s="192"/>
      <c r="J8" s="192"/>
      <c r="K8" s="192"/>
      <c r="L8" s="192"/>
      <c r="V8" s="207"/>
    </row>
    <row r="9" spans="2:27" ht="4.5" customHeight="1" x14ac:dyDescent="0.2">
      <c r="B9" s="188"/>
      <c r="C9" s="187"/>
      <c r="D9" s="193"/>
      <c r="E9" s="193"/>
      <c r="F9" s="193"/>
      <c r="G9" s="193"/>
      <c r="H9" s="193"/>
      <c r="I9" s="162"/>
      <c r="J9" s="162"/>
      <c r="K9" s="162"/>
      <c r="L9" s="162"/>
      <c r="V9" s="161"/>
    </row>
    <row r="10" spans="2:27" ht="27" customHeight="1" x14ac:dyDescent="0.2">
      <c r="B10" s="477" t="s">
        <v>3</v>
      </c>
      <c r="C10" s="478"/>
      <c r="D10" s="223" t="s">
        <v>260</v>
      </c>
      <c r="E10" s="224"/>
      <c r="F10" s="224"/>
      <c r="G10" s="224"/>
      <c r="H10" s="459" t="s">
        <v>306</v>
      </c>
      <c r="I10" s="459"/>
      <c r="J10" s="463" t="s">
        <v>336</v>
      </c>
      <c r="K10" s="463"/>
      <c r="L10" s="463"/>
      <c r="M10" s="162"/>
      <c r="V10" s="161"/>
    </row>
    <row r="11" spans="2:27" ht="19.5" customHeight="1" x14ac:dyDescent="0.2">
      <c r="B11" s="477" t="s">
        <v>5</v>
      </c>
      <c r="C11" s="478"/>
      <c r="D11" s="209" t="s">
        <v>56</v>
      </c>
      <c r="E11" s="211"/>
      <c r="F11" s="211"/>
      <c r="G11" s="211"/>
      <c r="H11" s="6"/>
      <c r="I11" s="72"/>
      <c r="J11" s="85"/>
      <c r="K11" s="77"/>
      <c r="L11" s="77"/>
      <c r="M11" s="162"/>
      <c r="V11" s="161"/>
    </row>
    <row r="12" spans="2:27" ht="24.75" customHeight="1" x14ac:dyDescent="0.2">
      <c r="B12" s="477" t="s">
        <v>6</v>
      </c>
      <c r="C12" s="478"/>
      <c r="D12" s="212" t="s">
        <v>261</v>
      </c>
      <c r="E12" s="272"/>
      <c r="F12" s="272"/>
      <c r="G12" s="272"/>
      <c r="H12" s="328" t="s">
        <v>308</v>
      </c>
      <c r="I12" s="328" t="s">
        <v>309</v>
      </c>
      <c r="J12" s="85"/>
      <c r="K12" s="77"/>
      <c r="L12" s="77"/>
      <c r="M12" s="162"/>
      <c r="V12" s="161"/>
    </row>
    <row r="13" spans="2:27" ht="28.5" customHeight="1" x14ac:dyDescent="0.2">
      <c r="B13" s="477" t="s">
        <v>9</v>
      </c>
      <c r="C13" s="478"/>
      <c r="D13" s="214">
        <v>42083</v>
      </c>
      <c r="E13" s="272"/>
      <c r="F13" s="272"/>
      <c r="G13" s="272"/>
      <c r="H13" s="221" t="s">
        <v>308</v>
      </c>
      <c r="I13" s="364"/>
      <c r="J13" s="51"/>
      <c r="K13" s="54"/>
      <c r="L13" s="54"/>
      <c r="M13" s="162"/>
      <c r="V13" s="161"/>
    </row>
    <row r="14" spans="2:27" ht="29.25" customHeight="1" x14ac:dyDescent="0.2">
      <c r="B14" s="477" t="s">
        <v>11</v>
      </c>
      <c r="C14" s="478"/>
      <c r="D14" s="214">
        <v>42103</v>
      </c>
      <c r="E14" s="554"/>
      <c r="F14" s="554"/>
      <c r="G14" s="215"/>
      <c r="H14" s="193"/>
      <c r="I14" s="162"/>
      <c r="J14" s="162"/>
      <c r="K14" s="162"/>
      <c r="L14" s="162"/>
      <c r="M14" s="162"/>
      <c r="V14" s="161"/>
    </row>
    <row r="15" spans="2:27" ht="24.75" customHeight="1" x14ac:dyDescent="0.2">
      <c r="B15" s="477" t="s">
        <v>13</v>
      </c>
      <c r="C15" s="478"/>
      <c r="D15" s="209" t="s">
        <v>262</v>
      </c>
      <c r="E15" s="211"/>
      <c r="F15" s="162"/>
      <c r="G15" s="162"/>
      <c r="H15" s="195"/>
      <c r="I15" s="192"/>
      <c r="J15" s="162"/>
      <c r="K15" s="162"/>
      <c r="L15" s="162"/>
      <c r="M15" s="162"/>
      <c r="V15" s="161"/>
    </row>
    <row r="16" spans="2:27" ht="42" customHeight="1" x14ac:dyDescent="0.2">
      <c r="B16" s="477" t="s">
        <v>16</v>
      </c>
      <c r="C16" s="478"/>
      <c r="D16" s="214">
        <v>42356</v>
      </c>
      <c r="E16" s="211"/>
      <c r="F16" s="211"/>
      <c r="G16" s="211"/>
      <c r="H16" s="193"/>
      <c r="I16" s="162"/>
      <c r="J16" s="162"/>
      <c r="K16" s="162"/>
      <c r="L16" s="162"/>
      <c r="M16" s="162"/>
      <c r="V16" s="161"/>
      <c r="Z16" s="184" t="s">
        <v>12</v>
      </c>
      <c r="AA16" s="184">
        <v>644350</v>
      </c>
    </row>
    <row r="17" spans="1:27" ht="12.75" customHeight="1" thickBot="1" x14ac:dyDescent="0.25">
      <c r="B17" s="183"/>
      <c r="C17" s="164"/>
      <c r="D17" s="369"/>
      <c r="E17" s="369"/>
      <c r="F17" s="369"/>
      <c r="G17" s="369"/>
      <c r="H17" s="369"/>
      <c r="I17" s="159"/>
      <c r="J17" s="159"/>
      <c r="K17" s="159"/>
      <c r="L17" s="159"/>
      <c r="M17" s="162"/>
      <c r="V17" s="158"/>
      <c r="Z17" s="184" t="s">
        <v>15</v>
      </c>
      <c r="AA17" s="184">
        <v>689454</v>
      </c>
    </row>
    <row r="18" spans="1:27" ht="27.6" customHeight="1" x14ac:dyDescent="0.2">
      <c r="A18" s="162"/>
      <c r="B18" s="508" t="s">
        <v>19</v>
      </c>
      <c r="C18" s="555" t="s">
        <v>95</v>
      </c>
      <c r="D18" s="555" t="s">
        <v>20</v>
      </c>
      <c r="E18" s="510" t="s">
        <v>1</v>
      </c>
      <c r="F18" s="510" t="s">
        <v>21</v>
      </c>
      <c r="G18" s="510" t="s">
        <v>22</v>
      </c>
      <c r="H18" s="548" t="s">
        <v>23</v>
      </c>
      <c r="I18" s="549"/>
      <c r="J18" s="510" t="s">
        <v>166</v>
      </c>
      <c r="K18" s="550" t="s">
        <v>322</v>
      </c>
      <c r="L18" s="552" t="s">
        <v>333</v>
      </c>
      <c r="M18" s="447" t="s">
        <v>181</v>
      </c>
      <c r="N18" s="444" t="s">
        <v>322</v>
      </c>
      <c r="O18" s="457" t="s">
        <v>333</v>
      </c>
      <c r="P18" s="447" t="s">
        <v>181</v>
      </c>
      <c r="Q18" s="444" t="s">
        <v>322</v>
      </c>
      <c r="R18" s="457" t="s">
        <v>333</v>
      </c>
      <c r="S18" s="447" t="s">
        <v>181</v>
      </c>
      <c r="T18" s="444" t="s">
        <v>322</v>
      </c>
      <c r="U18" s="457" t="s">
        <v>333</v>
      </c>
      <c r="V18" s="544" t="s">
        <v>181</v>
      </c>
      <c r="X18" s="489" t="s">
        <v>25</v>
      </c>
      <c r="Y18" s="489" t="s">
        <v>26</v>
      </c>
      <c r="Z18" s="184" t="s">
        <v>17</v>
      </c>
      <c r="AA18" s="184">
        <v>737717</v>
      </c>
    </row>
    <row r="19" spans="1:27" ht="25.9" customHeight="1" thickBot="1" x14ac:dyDescent="0.25">
      <c r="A19" s="162"/>
      <c r="B19" s="509"/>
      <c r="C19" s="556"/>
      <c r="D19" s="556"/>
      <c r="E19" s="511"/>
      <c r="F19" s="511"/>
      <c r="G19" s="511"/>
      <c r="H19" s="367" t="s">
        <v>28</v>
      </c>
      <c r="I19" s="367" t="s">
        <v>96</v>
      </c>
      <c r="J19" s="511"/>
      <c r="K19" s="551"/>
      <c r="L19" s="553"/>
      <c r="M19" s="448"/>
      <c r="N19" s="445"/>
      <c r="O19" s="458"/>
      <c r="P19" s="448"/>
      <c r="Q19" s="445"/>
      <c r="R19" s="458"/>
      <c r="S19" s="448"/>
      <c r="T19" s="445"/>
      <c r="U19" s="458"/>
      <c r="V19" s="545"/>
      <c r="X19" s="489"/>
      <c r="Y19" s="489"/>
      <c r="Z19" s="184" t="s">
        <v>18</v>
      </c>
      <c r="AA19" s="155">
        <v>781242</v>
      </c>
    </row>
    <row r="20" spans="1:27" ht="171.75" customHeight="1" x14ac:dyDescent="0.2">
      <c r="A20" s="162"/>
      <c r="B20" s="251" t="s">
        <v>364</v>
      </c>
      <c r="C20" s="273"/>
      <c r="D20" s="253" t="s">
        <v>36</v>
      </c>
      <c r="E20" s="407" t="s">
        <v>344</v>
      </c>
      <c r="F20" s="408" t="s">
        <v>345</v>
      </c>
      <c r="G20" s="409">
        <v>1</v>
      </c>
      <c r="H20" s="410">
        <v>45338</v>
      </c>
      <c r="I20" s="411">
        <v>45632</v>
      </c>
      <c r="J20" s="104">
        <f>290/360</f>
        <v>0.80555555555555558</v>
      </c>
      <c r="K20" s="32">
        <f>J20</f>
        <v>0.80555555555555558</v>
      </c>
      <c r="L20" s="32">
        <f>K20</f>
        <v>0.80555555555555558</v>
      </c>
      <c r="M20" s="47"/>
      <c r="N20" s="32"/>
      <c r="O20" s="32"/>
      <c r="P20" s="47"/>
      <c r="Q20" s="32"/>
      <c r="R20" s="32"/>
      <c r="S20" s="47"/>
      <c r="T20" s="32"/>
      <c r="U20" s="32"/>
      <c r="V20" s="348" t="s">
        <v>314</v>
      </c>
      <c r="X20" s="420"/>
      <c r="Y20" s="420"/>
      <c r="Z20" s="184"/>
    </row>
    <row r="21" spans="1:27" ht="141.75" customHeight="1" x14ac:dyDescent="0.2">
      <c r="A21" s="162"/>
      <c r="B21" s="273" t="s">
        <v>143</v>
      </c>
      <c r="C21" s="273" t="s">
        <v>4</v>
      </c>
      <c r="D21" s="99" t="s">
        <v>36</v>
      </c>
      <c r="E21" s="107" t="s">
        <v>72</v>
      </c>
      <c r="F21" s="108" t="s">
        <v>81</v>
      </c>
      <c r="G21" s="20">
        <v>1</v>
      </c>
      <c r="H21" s="102">
        <v>44809</v>
      </c>
      <c r="I21" s="103">
        <v>45067</v>
      </c>
      <c r="J21" s="104">
        <f>222/360</f>
        <v>0.6166666666666667</v>
      </c>
      <c r="K21" s="32">
        <f t="shared" ref="K21:L24" si="0">J21</f>
        <v>0.6166666666666667</v>
      </c>
      <c r="L21" s="32">
        <f t="shared" si="0"/>
        <v>0.6166666666666667</v>
      </c>
      <c r="M21" s="47"/>
      <c r="N21" s="32"/>
      <c r="O21" s="32"/>
      <c r="P21" s="47"/>
      <c r="Q21" s="32"/>
      <c r="R21" s="32"/>
      <c r="S21" s="47"/>
      <c r="T21" s="32"/>
      <c r="U21" s="32"/>
      <c r="V21" s="348" t="s">
        <v>335</v>
      </c>
      <c r="X21" s="274">
        <v>256</v>
      </c>
      <c r="Y21" s="274">
        <v>8.5333333333333332</v>
      </c>
      <c r="Z21" s="184"/>
    </row>
    <row r="22" spans="1:27" ht="140.25" customHeight="1" x14ac:dyDescent="0.2">
      <c r="A22" s="162"/>
      <c r="B22" s="275" t="s">
        <v>143</v>
      </c>
      <c r="C22" s="275"/>
      <c r="D22" s="99" t="s">
        <v>0</v>
      </c>
      <c r="E22" s="107" t="s">
        <v>103</v>
      </c>
      <c r="F22" s="108" t="s">
        <v>83</v>
      </c>
      <c r="G22" s="20">
        <v>1</v>
      </c>
      <c r="H22" s="112">
        <v>44364</v>
      </c>
      <c r="I22" s="113">
        <v>44536</v>
      </c>
      <c r="J22" s="104">
        <f>170/360</f>
        <v>0.47222222222222221</v>
      </c>
      <c r="K22" s="32">
        <f t="shared" si="0"/>
        <v>0.47222222222222221</v>
      </c>
      <c r="L22" s="32">
        <f t="shared" si="0"/>
        <v>0.47222222222222221</v>
      </c>
      <c r="M22" s="348"/>
      <c r="N22" s="32"/>
      <c r="O22" s="32"/>
      <c r="P22" s="348"/>
      <c r="Q22" s="32"/>
      <c r="R22" s="32"/>
      <c r="S22" s="348"/>
      <c r="T22" s="32"/>
      <c r="U22" s="32"/>
      <c r="V22" s="348" t="s">
        <v>314</v>
      </c>
      <c r="X22" s="274">
        <v>169</v>
      </c>
      <c r="Y22" s="274">
        <v>5.6333333333333337</v>
      </c>
      <c r="Z22" s="184"/>
    </row>
    <row r="23" spans="1:27" ht="141" customHeight="1" x14ac:dyDescent="0.2">
      <c r="A23" s="162"/>
      <c r="B23" s="275" t="s">
        <v>143</v>
      </c>
      <c r="C23" s="275"/>
      <c r="D23" s="46" t="s">
        <v>0</v>
      </c>
      <c r="E23" s="116" t="s">
        <v>104</v>
      </c>
      <c r="F23" s="117" t="s">
        <v>75</v>
      </c>
      <c r="G23" s="20">
        <v>1</v>
      </c>
      <c r="H23" s="118">
        <v>43865</v>
      </c>
      <c r="I23" s="119">
        <v>44348</v>
      </c>
      <c r="J23" s="169">
        <f>307/360</f>
        <v>0.85277777777777775</v>
      </c>
      <c r="K23" s="32">
        <f t="shared" si="0"/>
        <v>0.85277777777777775</v>
      </c>
      <c r="L23" s="32">
        <f t="shared" si="0"/>
        <v>0.85277777777777775</v>
      </c>
      <c r="M23" s="41"/>
      <c r="N23" s="32"/>
      <c r="O23" s="32"/>
      <c r="P23" s="41"/>
      <c r="Q23" s="32"/>
      <c r="R23" s="32"/>
      <c r="S23" s="41"/>
      <c r="T23" s="32"/>
      <c r="U23" s="32"/>
      <c r="V23" s="41" t="s">
        <v>314</v>
      </c>
      <c r="X23" s="274">
        <v>367</v>
      </c>
      <c r="Y23" s="274">
        <v>12.233333333333333</v>
      </c>
      <c r="Z23" s="184"/>
    </row>
    <row r="24" spans="1:27" ht="132.6" customHeight="1" x14ac:dyDescent="0.2">
      <c r="A24" s="162"/>
      <c r="B24" s="275" t="s">
        <v>143</v>
      </c>
      <c r="C24" s="276"/>
      <c r="D24" s="115" t="s">
        <v>0</v>
      </c>
      <c r="E24" s="116" t="s">
        <v>106</v>
      </c>
      <c r="F24" s="122" t="s">
        <v>107</v>
      </c>
      <c r="G24" s="20">
        <v>1</v>
      </c>
      <c r="H24" s="118">
        <v>43686</v>
      </c>
      <c r="I24" s="119">
        <v>43798</v>
      </c>
      <c r="J24" s="120">
        <f>101/360</f>
        <v>0.28055555555555556</v>
      </c>
      <c r="K24" s="32">
        <f t="shared" si="0"/>
        <v>0.28055555555555556</v>
      </c>
      <c r="L24" s="32">
        <f t="shared" si="0"/>
        <v>0.28055555555555556</v>
      </c>
      <c r="M24" s="348"/>
      <c r="N24" s="32"/>
      <c r="O24" s="32"/>
      <c r="P24" s="348"/>
      <c r="Q24" s="32"/>
      <c r="R24" s="32"/>
      <c r="S24" s="348"/>
      <c r="T24" s="32"/>
      <c r="U24" s="32"/>
      <c r="V24" s="348" t="s">
        <v>314</v>
      </c>
      <c r="X24" s="274">
        <v>101</v>
      </c>
      <c r="Y24" s="274">
        <v>3.3666666666666667</v>
      </c>
      <c r="Z24" s="184"/>
    </row>
    <row r="25" spans="1:27" ht="94.5" customHeight="1" x14ac:dyDescent="0.2">
      <c r="A25" s="162"/>
      <c r="B25" s="227" t="s">
        <v>56</v>
      </c>
      <c r="C25" s="277" t="s">
        <v>260</v>
      </c>
      <c r="D25" s="277" t="s">
        <v>263</v>
      </c>
      <c r="E25" s="278" t="s">
        <v>264</v>
      </c>
      <c r="F25" s="279" t="s">
        <v>265</v>
      </c>
      <c r="G25" s="256">
        <v>1</v>
      </c>
      <c r="H25" s="280">
        <v>43070</v>
      </c>
      <c r="I25" s="281">
        <v>43159</v>
      </c>
      <c r="J25" s="282">
        <f>90/360</f>
        <v>0.25</v>
      </c>
      <c r="K25" s="32">
        <f t="shared" ref="K25:K31" si="1">J25</f>
        <v>0.25</v>
      </c>
      <c r="L25" s="32">
        <v>0</v>
      </c>
      <c r="M25" s="42"/>
      <c r="N25" s="32"/>
      <c r="O25" s="32"/>
      <c r="P25" s="42"/>
      <c r="Q25" s="32"/>
      <c r="R25" s="32"/>
      <c r="S25" s="42"/>
      <c r="T25" s="32"/>
      <c r="U25" s="32"/>
      <c r="V25" s="42" t="s">
        <v>314</v>
      </c>
      <c r="X25" s="219">
        <f t="shared" ref="X25:X31" si="2">DAYS360(H25,I25,FALSE)</f>
        <v>87</v>
      </c>
      <c r="Y25" s="155">
        <f t="shared" ref="Y25:Y31" si="3">+X25/30</f>
        <v>2.9</v>
      </c>
      <c r="Z25" s="155">
        <f>367/30</f>
        <v>12.233333333333333</v>
      </c>
    </row>
    <row r="26" spans="1:27" ht="186" customHeight="1" x14ac:dyDescent="0.2">
      <c r="A26" s="162"/>
      <c r="B26" s="176" t="s">
        <v>56</v>
      </c>
      <c r="C26" s="175" t="s">
        <v>260</v>
      </c>
      <c r="D26" s="175" t="s">
        <v>266</v>
      </c>
      <c r="E26" s="173" t="s">
        <v>267</v>
      </c>
      <c r="F26" s="172" t="s">
        <v>268</v>
      </c>
      <c r="G26" s="14">
        <v>1</v>
      </c>
      <c r="H26" s="171">
        <v>42797</v>
      </c>
      <c r="I26" s="170">
        <v>42949</v>
      </c>
      <c r="J26" s="169">
        <f>150/360</f>
        <v>0.41666666666666669</v>
      </c>
      <c r="K26" s="32">
        <f t="shared" si="1"/>
        <v>0.41666666666666669</v>
      </c>
      <c r="L26" s="32">
        <v>0</v>
      </c>
      <c r="M26" s="41"/>
      <c r="N26" s="32"/>
      <c r="O26" s="32"/>
      <c r="P26" s="41"/>
      <c r="Q26" s="32"/>
      <c r="R26" s="32"/>
      <c r="S26" s="41"/>
      <c r="T26" s="32"/>
      <c r="U26" s="32"/>
      <c r="V26" s="41" t="s">
        <v>314</v>
      </c>
      <c r="X26" s="219">
        <f t="shared" si="2"/>
        <v>149</v>
      </c>
      <c r="Y26" s="155">
        <f t="shared" si="3"/>
        <v>4.9666666666666668</v>
      </c>
    </row>
    <row r="27" spans="1:27" ht="129.6" customHeight="1" x14ac:dyDescent="0.2">
      <c r="A27" s="162"/>
      <c r="B27" s="176" t="s">
        <v>56</v>
      </c>
      <c r="C27" s="175" t="s">
        <v>260</v>
      </c>
      <c r="D27" s="175" t="s">
        <v>266</v>
      </c>
      <c r="E27" s="173" t="s">
        <v>269</v>
      </c>
      <c r="F27" s="172" t="s">
        <v>270</v>
      </c>
      <c r="G27" s="14">
        <v>1</v>
      </c>
      <c r="H27" s="171">
        <v>42685</v>
      </c>
      <c r="I27" s="170">
        <v>42729</v>
      </c>
      <c r="J27" s="169">
        <f>45/360</f>
        <v>0.125</v>
      </c>
      <c r="K27" s="32">
        <f t="shared" si="1"/>
        <v>0.125</v>
      </c>
      <c r="L27" s="32">
        <v>0</v>
      </c>
      <c r="M27" s="355"/>
      <c r="N27" s="32"/>
      <c r="O27" s="32"/>
      <c r="P27" s="355"/>
      <c r="Q27" s="32"/>
      <c r="R27" s="32"/>
      <c r="S27" s="355"/>
      <c r="T27" s="32"/>
      <c r="U27" s="32"/>
      <c r="V27" s="355" t="s">
        <v>314</v>
      </c>
      <c r="X27" s="219">
        <f t="shared" si="2"/>
        <v>44</v>
      </c>
      <c r="Y27" s="155">
        <f t="shared" si="3"/>
        <v>1.4666666666666666</v>
      </c>
    </row>
    <row r="28" spans="1:27" ht="48" customHeight="1" x14ac:dyDescent="0.2">
      <c r="A28" s="162"/>
      <c r="B28" s="176" t="s">
        <v>271</v>
      </c>
      <c r="C28" s="175" t="s">
        <v>260</v>
      </c>
      <c r="D28" s="175" t="s">
        <v>272</v>
      </c>
      <c r="E28" s="173" t="s">
        <v>34</v>
      </c>
      <c r="F28" s="172" t="s">
        <v>34</v>
      </c>
      <c r="G28" s="14">
        <v>1</v>
      </c>
      <c r="H28" s="171">
        <v>42358</v>
      </c>
      <c r="I28" s="170">
        <v>42673</v>
      </c>
      <c r="J28" s="169">
        <f>315/360</f>
        <v>0.875</v>
      </c>
      <c r="K28" s="32">
        <f t="shared" si="1"/>
        <v>0.875</v>
      </c>
      <c r="L28" s="32">
        <v>0</v>
      </c>
      <c r="M28" s="355"/>
      <c r="N28" s="32"/>
      <c r="O28" s="32"/>
      <c r="P28" s="355"/>
      <c r="Q28" s="32"/>
      <c r="R28" s="32"/>
      <c r="S28" s="355"/>
      <c r="T28" s="32"/>
      <c r="U28" s="32"/>
      <c r="V28" s="355" t="s">
        <v>314</v>
      </c>
      <c r="X28" s="219">
        <f t="shared" si="2"/>
        <v>310</v>
      </c>
      <c r="Y28" s="155">
        <f t="shared" si="3"/>
        <v>10.333333333333334</v>
      </c>
    </row>
    <row r="29" spans="1:27" ht="194.45" customHeight="1" x14ac:dyDescent="0.2">
      <c r="A29" s="162"/>
      <c r="B29" s="176" t="s">
        <v>56</v>
      </c>
      <c r="C29" s="175" t="s">
        <v>260</v>
      </c>
      <c r="D29" s="175" t="s">
        <v>273</v>
      </c>
      <c r="E29" s="173" t="s">
        <v>274</v>
      </c>
      <c r="F29" s="172" t="s">
        <v>275</v>
      </c>
      <c r="G29" s="14">
        <v>1</v>
      </c>
      <c r="H29" s="171">
        <v>42277</v>
      </c>
      <c r="I29" s="170">
        <v>42355</v>
      </c>
      <c r="J29" s="169">
        <f>75/360</f>
        <v>0.20833333333333334</v>
      </c>
      <c r="K29" s="32">
        <f t="shared" si="1"/>
        <v>0.20833333333333334</v>
      </c>
      <c r="L29" s="32">
        <v>0</v>
      </c>
      <c r="M29" s="47"/>
      <c r="N29" s="32"/>
      <c r="O29" s="32"/>
      <c r="P29" s="47"/>
      <c r="Q29" s="32"/>
      <c r="R29" s="32"/>
      <c r="S29" s="47"/>
      <c r="T29" s="32"/>
      <c r="U29" s="32"/>
      <c r="V29" s="47" t="s">
        <v>314</v>
      </c>
      <c r="X29" s="219">
        <f t="shared" si="2"/>
        <v>77</v>
      </c>
      <c r="Y29" s="155">
        <f t="shared" si="3"/>
        <v>2.5666666666666669</v>
      </c>
    </row>
    <row r="30" spans="1:27" ht="186.6" customHeight="1" x14ac:dyDescent="0.2">
      <c r="A30" s="162"/>
      <c r="B30" s="176" t="s">
        <v>56</v>
      </c>
      <c r="C30" s="175" t="s">
        <v>260</v>
      </c>
      <c r="D30" s="175" t="s">
        <v>273</v>
      </c>
      <c r="E30" s="173" t="s">
        <v>276</v>
      </c>
      <c r="F30" s="172" t="s">
        <v>277</v>
      </c>
      <c r="G30" s="14">
        <v>1</v>
      </c>
      <c r="H30" s="171">
        <v>42041</v>
      </c>
      <c r="I30" s="170">
        <v>42208</v>
      </c>
      <c r="J30" s="169">
        <f>150/360</f>
        <v>0.41666666666666669</v>
      </c>
      <c r="K30" s="32">
        <f t="shared" si="1"/>
        <v>0.41666666666666669</v>
      </c>
      <c r="L30" s="32">
        <v>0</v>
      </c>
      <c r="M30" s="47"/>
      <c r="N30" s="32"/>
      <c r="O30" s="32"/>
      <c r="P30" s="47"/>
      <c r="Q30" s="32"/>
      <c r="R30" s="32"/>
      <c r="S30" s="47"/>
      <c r="T30" s="32"/>
      <c r="U30" s="32"/>
      <c r="V30" s="47" t="s">
        <v>314</v>
      </c>
      <c r="X30" s="219">
        <f t="shared" si="2"/>
        <v>167</v>
      </c>
      <c r="Y30" s="155">
        <f t="shared" si="3"/>
        <v>5.5666666666666664</v>
      </c>
    </row>
    <row r="31" spans="1:27" ht="177.6" customHeight="1" thickBot="1" x14ac:dyDescent="0.25">
      <c r="A31" s="162"/>
      <c r="B31" s="176" t="s">
        <v>56</v>
      </c>
      <c r="C31" s="175" t="s">
        <v>260</v>
      </c>
      <c r="D31" s="175" t="s">
        <v>273</v>
      </c>
      <c r="E31" s="173" t="s">
        <v>278</v>
      </c>
      <c r="F31" s="172" t="s">
        <v>279</v>
      </c>
      <c r="G31" s="14">
        <v>1</v>
      </c>
      <c r="H31" s="171">
        <v>41964</v>
      </c>
      <c r="I31" s="170">
        <v>41993</v>
      </c>
      <c r="J31" s="169">
        <f>30/360</f>
        <v>8.3333333333333329E-2</v>
      </c>
      <c r="K31" s="32">
        <f t="shared" si="1"/>
        <v>8.3333333333333329E-2</v>
      </c>
      <c r="L31" s="32">
        <v>0</v>
      </c>
      <c r="M31" s="348"/>
      <c r="N31" s="32"/>
      <c r="O31" s="32"/>
      <c r="P31" s="348"/>
      <c r="Q31" s="32"/>
      <c r="R31" s="32"/>
      <c r="S31" s="348"/>
      <c r="T31" s="32"/>
      <c r="U31" s="32"/>
      <c r="V31" s="370" t="s">
        <v>314</v>
      </c>
      <c r="X31" s="219">
        <f t="shared" si="2"/>
        <v>29</v>
      </c>
      <c r="Y31" s="155">
        <f t="shared" si="3"/>
        <v>0.96666666666666667</v>
      </c>
    </row>
    <row r="32" spans="1:27" ht="32.25" customHeight="1" thickBot="1" x14ac:dyDescent="0.25">
      <c r="A32" s="162"/>
      <c r="B32" s="147"/>
      <c r="C32" s="23"/>
      <c r="D32" s="148"/>
      <c r="E32" s="148"/>
      <c r="F32" s="148"/>
      <c r="G32" s="148"/>
      <c r="H32" s="431" t="s">
        <v>315</v>
      </c>
      <c r="I32" s="432"/>
      <c r="J32" s="433"/>
      <c r="K32" s="343">
        <f>SUM(K20:K31)</f>
        <v>5.4027777777777777</v>
      </c>
      <c r="L32" s="334"/>
      <c r="M32" s="362" t="s">
        <v>308</v>
      </c>
      <c r="V32" s="401" t="s">
        <v>308</v>
      </c>
    </row>
    <row r="33" spans="1:22" ht="31.5" customHeight="1" thickBot="1" x14ac:dyDescent="0.25">
      <c r="A33" s="162"/>
      <c r="B33" s="147"/>
      <c r="C33" s="23"/>
      <c r="D33" s="148"/>
      <c r="E33" s="148"/>
      <c r="F33" s="148"/>
      <c r="G33" s="148"/>
      <c r="H33" s="55"/>
      <c r="I33" s="546" t="s">
        <v>316</v>
      </c>
      <c r="J33" s="546"/>
      <c r="K33" s="547"/>
      <c r="L33" s="344">
        <f>SUM(L20:L31)</f>
        <v>3.0277777777777777</v>
      </c>
      <c r="M33" s="73" t="s">
        <v>308</v>
      </c>
      <c r="V33" s="197" t="s">
        <v>308</v>
      </c>
    </row>
    <row r="34" spans="1:22" x14ac:dyDescent="0.2">
      <c r="A34" s="162"/>
      <c r="B34" s="147"/>
      <c r="C34" s="23"/>
      <c r="D34" s="55" t="s">
        <v>317</v>
      </c>
      <c r="E34" s="148"/>
      <c r="F34" s="148"/>
      <c r="G34" s="148"/>
      <c r="H34" s="244"/>
      <c r="I34" s="152"/>
      <c r="J34" s="23"/>
      <c r="K34" s="23"/>
      <c r="L34" s="80"/>
      <c r="M34" s="86"/>
      <c r="V34" s="161"/>
    </row>
    <row r="35" spans="1:22" x14ac:dyDescent="0.2">
      <c r="A35" s="162"/>
      <c r="B35" s="168"/>
      <c r="C35" s="162"/>
      <c r="D35" s="162" t="s">
        <v>318</v>
      </c>
      <c r="E35" s="164"/>
      <c r="F35" s="164"/>
      <c r="G35" s="164"/>
      <c r="H35" s="164"/>
      <c r="I35" s="162"/>
      <c r="J35" s="162"/>
      <c r="K35" s="162"/>
      <c r="L35" s="162"/>
      <c r="M35" s="161"/>
      <c r="V35" s="161"/>
    </row>
    <row r="36" spans="1:22" x14ac:dyDescent="0.2">
      <c r="A36" s="162"/>
      <c r="B36" s="163"/>
      <c r="C36" s="162"/>
      <c r="D36" s="162"/>
      <c r="E36" s="162"/>
      <c r="F36" s="162"/>
      <c r="G36" s="162"/>
      <c r="H36" s="162"/>
      <c r="I36" s="162"/>
      <c r="J36" s="162"/>
      <c r="K36" s="162"/>
      <c r="L36" s="162"/>
      <c r="V36" s="161"/>
    </row>
    <row r="37" spans="1:22" x14ac:dyDescent="0.2">
      <c r="A37" s="162"/>
      <c r="B37" s="163"/>
      <c r="C37" s="162"/>
      <c r="D37" s="162"/>
      <c r="E37" s="162"/>
      <c r="F37" s="162"/>
      <c r="G37" s="162"/>
      <c r="H37" s="162"/>
      <c r="I37" s="162"/>
      <c r="J37" s="162"/>
      <c r="K37" s="162"/>
      <c r="L37" s="162"/>
      <c r="V37" s="161"/>
    </row>
    <row r="38" spans="1:22" x14ac:dyDescent="0.2">
      <c r="A38" s="162"/>
      <c r="B38" s="163"/>
      <c r="C38" s="162"/>
      <c r="D38" s="162"/>
      <c r="E38" s="162"/>
      <c r="F38" s="162"/>
      <c r="G38" s="162"/>
      <c r="H38" s="162"/>
      <c r="I38" s="162"/>
      <c r="J38" s="162"/>
      <c r="K38" s="162"/>
      <c r="L38" s="162"/>
      <c r="V38" s="161"/>
    </row>
    <row r="39" spans="1:22" x14ac:dyDescent="0.2">
      <c r="A39" s="162"/>
      <c r="B39" s="163"/>
      <c r="C39" s="162"/>
      <c r="D39" s="162"/>
      <c r="E39" s="162"/>
      <c r="F39" s="162"/>
      <c r="G39" s="162"/>
      <c r="H39" s="162"/>
      <c r="I39" s="162"/>
      <c r="J39" s="162"/>
      <c r="K39" s="162"/>
      <c r="L39" s="162"/>
      <c r="V39" s="161"/>
    </row>
    <row r="40" spans="1:22" ht="13.5" thickBot="1" x14ac:dyDescent="0.25">
      <c r="B40" s="160"/>
      <c r="C40" s="159"/>
      <c r="D40" s="159"/>
      <c r="E40" s="159"/>
      <c r="F40" s="159"/>
      <c r="G40" s="159"/>
      <c r="H40" s="159"/>
      <c r="I40" s="159"/>
      <c r="J40" s="159"/>
      <c r="K40" s="159"/>
      <c r="L40" s="159"/>
      <c r="V40" s="158"/>
    </row>
    <row r="41" spans="1:22" ht="6.75" customHeight="1" x14ac:dyDescent="0.2"/>
  </sheetData>
  <mergeCells count="41">
    <mergeCell ref="X18:X19"/>
    <mergeCell ref="Y18:Y19"/>
    <mergeCell ref="B18:B19"/>
    <mergeCell ref="C18:C19"/>
    <mergeCell ref="D18:D19"/>
    <mergeCell ref="E18:E19"/>
    <mergeCell ref="F18:F19"/>
    <mergeCell ref="G18:G19"/>
    <mergeCell ref="N18:N19"/>
    <mergeCell ref="O18:O19"/>
    <mergeCell ref="P18:P19"/>
    <mergeCell ref="Q18:Q19"/>
    <mergeCell ref="R18:R19"/>
    <mergeCell ref="S18:S19"/>
    <mergeCell ref="T18:T19"/>
    <mergeCell ref="U18:U19"/>
    <mergeCell ref="B1:H1"/>
    <mergeCell ref="B2:L2"/>
    <mergeCell ref="B16:C16"/>
    <mergeCell ref="D5:E5"/>
    <mergeCell ref="B7:C7"/>
    <mergeCell ref="B8:C8"/>
    <mergeCell ref="B10:C10"/>
    <mergeCell ref="B11:C11"/>
    <mergeCell ref="B12:C12"/>
    <mergeCell ref="B13:C13"/>
    <mergeCell ref="B14:C14"/>
    <mergeCell ref="E14:F14"/>
    <mergeCell ref="B15:C15"/>
    <mergeCell ref="V18:V19"/>
    <mergeCell ref="B3:V3"/>
    <mergeCell ref="D7:V7"/>
    <mergeCell ref="H32:J32"/>
    <mergeCell ref="I33:K33"/>
    <mergeCell ref="H10:I10"/>
    <mergeCell ref="J10:L10"/>
    <mergeCell ref="M18:M19"/>
    <mergeCell ref="H18:I18"/>
    <mergeCell ref="J18:J19"/>
    <mergeCell ref="K18:K19"/>
    <mergeCell ref="L18:L19"/>
  </mergeCells>
  <printOptions horizontalCentered="1" verticalCentered="1"/>
  <pageMargins left="0" right="0" top="0.78740157480314965" bottom="0" header="0" footer="0"/>
  <pageSetup scale="5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3"/>
  <sheetViews>
    <sheetView view="pageBreakPreview" zoomScale="80" zoomScaleNormal="100" zoomScaleSheetLayoutView="80" workbookViewId="0">
      <selection activeCell="E7" sqref="E7:F7"/>
    </sheetView>
  </sheetViews>
  <sheetFormatPr baseColWidth="10" defaultColWidth="11.5703125" defaultRowHeight="12.75" x14ac:dyDescent="0.2"/>
  <cols>
    <col min="1" max="1" width="0.7109375" style="155" customWidth="1"/>
    <col min="2" max="2" width="21.5703125" style="155" customWidth="1"/>
    <col min="3" max="3" width="0.140625" style="155" customWidth="1"/>
    <col min="4" max="4" width="18.28515625" style="155" customWidth="1"/>
    <col min="5" max="5" width="36.85546875" style="155" customWidth="1"/>
    <col min="6" max="6" width="11.28515625" style="155" customWidth="1"/>
    <col min="7" max="7" width="13.7109375" style="155" customWidth="1"/>
    <col min="8" max="8" width="14.28515625" style="155" customWidth="1"/>
    <col min="9" max="9" width="14.42578125" style="155" customWidth="1"/>
    <col min="10" max="10" width="11.42578125" style="155" customWidth="1"/>
    <col min="11" max="11" width="12.7109375" style="155" customWidth="1"/>
    <col min="12" max="12" width="11.5703125" style="155" customWidth="1"/>
    <col min="13" max="13" width="1.140625" style="155" hidden="1" customWidth="1"/>
    <col min="14" max="21" width="0" style="155" hidden="1" customWidth="1"/>
    <col min="22" max="22" width="18.5703125" style="155" customWidth="1"/>
    <col min="23" max="23" width="2.28515625" style="155" customWidth="1"/>
    <col min="24" max="24" width="16.140625" style="155" customWidth="1"/>
    <col min="25" max="25" width="11.5703125" style="155"/>
    <col min="26" max="26" width="21.140625" style="155" customWidth="1"/>
    <col min="27" max="16384" width="11.5703125" style="155"/>
  </cols>
  <sheetData>
    <row r="1" spans="2:23" ht="7.5" customHeight="1" x14ac:dyDescent="0.2">
      <c r="B1" s="492"/>
      <c r="C1" s="493"/>
      <c r="D1" s="493"/>
      <c r="E1" s="493"/>
      <c r="F1" s="493"/>
      <c r="G1" s="493"/>
      <c r="H1" s="493"/>
      <c r="I1" s="199"/>
      <c r="J1" s="199"/>
      <c r="K1" s="199"/>
      <c r="L1" s="199"/>
      <c r="V1" s="198"/>
    </row>
    <row r="2" spans="2:23" x14ac:dyDescent="0.2">
      <c r="B2" s="494"/>
      <c r="C2" s="495"/>
      <c r="D2" s="495"/>
      <c r="E2" s="495"/>
      <c r="F2" s="495"/>
      <c r="G2" s="495"/>
      <c r="H2" s="495"/>
      <c r="I2" s="495"/>
      <c r="J2" s="495"/>
      <c r="K2" s="495"/>
      <c r="L2" s="495"/>
      <c r="V2" s="161"/>
    </row>
    <row r="3" spans="2:23" ht="20.25" customHeight="1" x14ac:dyDescent="0.2">
      <c r="B3" s="501" t="s">
        <v>373</v>
      </c>
      <c r="C3" s="450"/>
      <c r="D3" s="450"/>
      <c r="E3" s="450"/>
      <c r="F3" s="450"/>
      <c r="G3" s="450"/>
      <c r="H3" s="450"/>
      <c r="I3" s="450"/>
      <c r="J3" s="450"/>
      <c r="K3" s="450"/>
      <c r="L3" s="450"/>
      <c r="M3" s="450"/>
      <c r="N3" s="450"/>
      <c r="O3" s="450"/>
      <c r="P3" s="450"/>
      <c r="Q3" s="450"/>
      <c r="R3" s="450"/>
      <c r="S3" s="450"/>
      <c r="T3" s="450"/>
      <c r="U3" s="450"/>
      <c r="V3" s="450"/>
      <c r="W3" s="451"/>
    </row>
    <row r="4" spans="2:23" ht="7.5" customHeight="1" x14ac:dyDescent="0.2">
      <c r="B4" s="165"/>
      <c r="C4" s="196"/>
      <c r="D4" s="196"/>
      <c r="E4" s="196"/>
      <c r="F4" s="195"/>
      <c r="G4" s="195"/>
      <c r="H4" s="195"/>
      <c r="I4" s="162"/>
      <c r="J4" s="162"/>
      <c r="K4" s="162"/>
      <c r="L4" s="162"/>
      <c r="V4" s="161"/>
    </row>
    <row r="5" spans="2:23" ht="7.5" customHeight="1" x14ac:dyDescent="0.2">
      <c r="B5" s="165"/>
      <c r="C5" s="196"/>
      <c r="D5" s="196"/>
      <c r="E5" s="196"/>
      <c r="F5" s="195"/>
      <c r="G5" s="195"/>
      <c r="H5" s="195"/>
      <c r="I5" s="162"/>
      <c r="J5" s="162"/>
      <c r="K5" s="162"/>
      <c r="L5" s="162"/>
      <c r="V5" s="161"/>
    </row>
    <row r="6" spans="2:23" ht="15" customHeight="1" x14ac:dyDescent="0.2">
      <c r="B6" s="194" t="s">
        <v>88</v>
      </c>
      <c r="C6" s="193"/>
      <c r="D6" s="460" t="s">
        <v>343</v>
      </c>
      <c r="E6" s="460"/>
      <c r="F6" s="192"/>
      <c r="G6" s="192"/>
      <c r="H6" s="192"/>
      <c r="I6" s="192"/>
      <c r="J6" s="192"/>
      <c r="K6" s="192"/>
      <c r="L6" s="192"/>
      <c r="M6" s="162"/>
      <c r="V6" s="161"/>
    </row>
    <row r="7" spans="2:23" ht="29.25" customHeight="1" x14ac:dyDescent="0.2">
      <c r="B7" s="427" t="s">
        <v>377</v>
      </c>
      <c r="C7" s="193"/>
      <c r="D7" s="419">
        <v>45802</v>
      </c>
      <c r="E7" s="425" t="s">
        <v>375</v>
      </c>
      <c r="F7" s="426">
        <v>45719</v>
      </c>
      <c r="G7" s="192"/>
      <c r="H7" s="192"/>
      <c r="I7" s="192"/>
      <c r="J7" s="192"/>
      <c r="K7" s="192"/>
      <c r="L7" s="192"/>
      <c r="M7" s="162"/>
      <c r="V7" s="161"/>
    </row>
    <row r="8" spans="2:23" ht="47.25" customHeight="1" x14ac:dyDescent="0.2">
      <c r="B8" s="499" t="s">
        <v>1</v>
      </c>
      <c r="C8" s="500"/>
      <c r="D8" s="538" t="s">
        <v>84</v>
      </c>
      <c r="E8" s="538"/>
      <c r="F8" s="538"/>
      <c r="G8" s="538"/>
      <c r="H8" s="538"/>
      <c r="I8" s="538"/>
      <c r="J8" s="538"/>
      <c r="K8" s="538"/>
      <c r="L8" s="538"/>
      <c r="M8" s="271"/>
      <c r="V8" s="161"/>
    </row>
    <row r="9" spans="2:23" s="189" customFormat="1" ht="27" customHeight="1" x14ac:dyDescent="0.25">
      <c r="B9" s="477" t="s">
        <v>31</v>
      </c>
      <c r="C9" s="478"/>
      <c r="D9" s="192" t="str">
        <f>+[18]DATOS!B7</f>
        <v>EDELMIRA SIERRA GUTIÉRREZ</v>
      </c>
      <c r="E9" s="192"/>
      <c r="F9" s="192"/>
      <c r="G9" s="192"/>
      <c r="H9" s="192"/>
      <c r="I9" s="192"/>
      <c r="J9" s="192"/>
      <c r="K9" s="192"/>
      <c r="L9" s="192"/>
      <c r="V9" s="207"/>
    </row>
    <row r="10" spans="2:23" ht="4.5" customHeight="1" x14ac:dyDescent="0.2">
      <c r="B10" s="188"/>
      <c r="C10" s="187"/>
      <c r="D10" s="193"/>
      <c r="E10" s="193"/>
      <c r="F10" s="193"/>
      <c r="G10" s="193"/>
      <c r="H10" s="193"/>
      <c r="I10" s="162"/>
      <c r="J10" s="162"/>
      <c r="K10" s="162"/>
      <c r="L10" s="162"/>
      <c r="V10" s="161"/>
    </row>
    <row r="11" spans="2:23" ht="28.5" customHeight="1" x14ac:dyDescent="0.2">
      <c r="B11" s="477" t="s">
        <v>3</v>
      </c>
      <c r="C11" s="478"/>
      <c r="D11" s="504" t="s">
        <v>280</v>
      </c>
      <c r="E11" s="504"/>
      <c r="F11" s="224"/>
      <c r="G11" s="224"/>
      <c r="H11" s="459" t="s">
        <v>306</v>
      </c>
      <c r="I11" s="459"/>
      <c r="J11" s="557" t="s">
        <v>337</v>
      </c>
      <c r="K11" s="463"/>
      <c r="L11" s="463"/>
      <c r="M11" s="463"/>
      <c r="N11" s="463"/>
      <c r="O11" s="463"/>
      <c r="P11" s="463"/>
      <c r="Q11" s="463"/>
      <c r="R11" s="463"/>
      <c r="S11" s="463"/>
      <c r="T11" s="463"/>
      <c r="U11" s="463"/>
      <c r="V11" s="558"/>
    </row>
    <row r="12" spans="2:23" ht="18.75" customHeight="1" x14ac:dyDescent="0.2">
      <c r="B12" s="477" t="s">
        <v>5</v>
      </c>
      <c r="C12" s="478"/>
      <c r="D12" s="209" t="s">
        <v>56</v>
      </c>
      <c r="E12" s="211"/>
      <c r="F12" s="211"/>
      <c r="G12" s="211"/>
      <c r="H12" s="6"/>
      <c r="I12" s="72"/>
      <c r="J12" s="85"/>
      <c r="K12" s="77"/>
      <c r="L12" s="77"/>
      <c r="M12" s="162"/>
      <c r="V12" s="161"/>
    </row>
    <row r="13" spans="2:23" ht="18.75" customHeight="1" x14ac:dyDescent="0.2">
      <c r="B13" s="477" t="s">
        <v>6</v>
      </c>
      <c r="C13" s="478"/>
      <c r="D13" s="212" t="s">
        <v>281</v>
      </c>
      <c r="E13" s="272"/>
      <c r="F13" s="272"/>
      <c r="G13" s="272"/>
      <c r="H13" s="328" t="s">
        <v>308</v>
      </c>
      <c r="I13" s="328" t="s">
        <v>309</v>
      </c>
      <c r="J13" s="85"/>
      <c r="K13" s="77"/>
      <c r="L13" s="77"/>
      <c r="M13" s="162"/>
      <c r="V13" s="161"/>
    </row>
    <row r="14" spans="2:23" ht="30" customHeight="1" x14ac:dyDescent="0.2">
      <c r="B14" s="477" t="s">
        <v>9</v>
      </c>
      <c r="C14" s="478"/>
      <c r="D14" s="214">
        <v>37232</v>
      </c>
      <c r="E14" s="272"/>
      <c r="F14" s="272"/>
      <c r="G14" s="272"/>
      <c r="H14" s="221" t="s">
        <v>308</v>
      </c>
      <c r="I14" s="364"/>
      <c r="J14" s="51"/>
      <c r="K14" s="54"/>
      <c r="L14" s="54"/>
      <c r="M14" s="162"/>
      <c r="V14" s="161"/>
    </row>
    <row r="15" spans="2:23" ht="34.5" customHeight="1" x14ac:dyDescent="0.2">
      <c r="B15" s="477" t="s">
        <v>11</v>
      </c>
      <c r="C15" s="478"/>
      <c r="D15" s="214">
        <v>37882</v>
      </c>
      <c r="E15" s="554"/>
      <c r="F15" s="554"/>
      <c r="G15" s="215"/>
      <c r="H15" s="193"/>
      <c r="I15" s="162"/>
      <c r="J15" s="162"/>
      <c r="K15" s="162"/>
      <c r="L15" s="162"/>
      <c r="M15" s="162"/>
      <c r="V15" s="161"/>
    </row>
    <row r="16" spans="2:23" ht="24.75" customHeight="1" x14ac:dyDescent="0.2">
      <c r="B16" s="477" t="s">
        <v>13</v>
      </c>
      <c r="C16" s="478"/>
      <c r="D16" s="209" t="s">
        <v>314</v>
      </c>
      <c r="E16" s="211"/>
      <c r="F16" s="162"/>
      <c r="G16" s="162"/>
      <c r="H16" s="195"/>
      <c r="I16" s="192"/>
      <c r="J16" s="162"/>
      <c r="K16" s="162"/>
      <c r="L16" s="162"/>
      <c r="M16" s="162"/>
      <c r="V16" s="161"/>
    </row>
    <row r="17" spans="1:27" ht="24.75" customHeight="1" x14ac:dyDescent="0.2">
      <c r="B17" s="477" t="s">
        <v>16</v>
      </c>
      <c r="C17" s="478"/>
      <c r="D17" s="214" t="s">
        <v>314</v>
      </c>
      <c r="E17" s="211"/>
      <c r="F17" s="211"/>
      <c r="G17" s="211"/>
      <c r="H17" s="193"/>
      <c r="I17" s="162"/>
      <c r="J17" s="162"/>
      <c r="K17" s="162"/>
      <c r="L17" s="162"/>
      <c r="M17" s="162"/>
      <c r="V17" s="161"/>
      <c r="Z17" s="184" t="s">
        <v>12</v>
      </c>
      <c r="AA17" s="184">
        <v>644350</v>
      </c>
    </row>
    <row r="18" spans="1:27" ht="12.75" customHeight="1" thickBot="1" x14ac:dyDescent="0.25">
      <c r="B18" s="372"/>
      <c r="C18" s="373"/>
      <c r="D18" s="369"/>
      <c r="E18" s="369"/>
      <c r="F18" s="369"/>
      <c r="G18" s="369"/>
      <c r="H18" s="369"/>
      <c r="I18" s="159"/>
      <c r="J18" s="159"/>
      <c r="K18" s="159"/>
      <c r="L18" s="159"/>
      <c r="M18" s="162"/>
      <c r="V18" s="158"/>
      <c r="Z18" s="184" t="s">
        <v>15</v>
      </c>
      <c r="AA18" s="184">
        <v>689454</v>
      </c>
    </row>
    <row r="19" spans="1:27" ht="27.6" customHeight="1" x14ac:dyDescent="0.2">
      <c r="A19" s="162"/>
      <c r="B19" s="559" t="s">
        <v>19</v>
      </c>
      <c r="C19" s="563" t="s">
        <v>95</v>
      </c>
      <c r="D19" s="555" t="s">
        <v>20</v>
      </c>
      <c r="E19" s="510" t="s">
        <v>1</v>
      </c>
      <c r="F19" s="510" t="s">
        <v>21</v>
      </c>
      <c r="G19" s="510" t="s">
        <v>22</v>
      </c>
      <c r="H19" s="548" t="s">
        <v>23</v>
      </c>
      <c r="I19" s="549"/>
      <c r="J19" s="510" t="s">
        <v>166</v>
      </c>
      <c r="K19" s="550" t="s">
        <v>322</v>
      </c>
      <c r="L19" s="552" t="s">
        <v>333</v>
      </c>
      <c r="M19" s="447" t="s">
        <v>181</v>
      </c>
      <c r="N19" s="444" t="s">
        <v>322</v>
      </c>
      <c r="O19" s="457" t="s">
        <v>333</v>
      </c>
      <c r="P19" s="447" t="s">
        <v>181</v>
      </c>
      <c r="Q19" s="444" t="s">
        <v>322</v>
      </c>
      <c r="R19" s="457" t="s">
        <v>333</v>
      </c>
      <c r="S19" s="447" t="s">
        <v>181</v>
      </c>
      <c r="T19" s="444" t="s">
        <v>322</v>
      </c>
      <c r="U19" s="457" t="s">
        <v>333</v>
      </c>
      <c r="V19" s="544" t="s">
        <v>181</v>
      </c>
      <c r="X19" s="489" t="s">
        <v>25</v>
      </c>
      <c r="Y19" s="489" t="s">
        <v>26</v>
      </c>
      <c r="Z19" s="184" t="s">
        <v>17</v>
      </c>
      <c r="AA19" s="184">
        <v>737717</v>
      </c>
    </row>
    <row r="20" spans="1:27" ht="25.9" customHeight="1" thickBot="1" x14ac:dyDescent="0.25">
      <c r="A20" s="162"/>
      <c r="B20" s="560"/>
      <c r="C20" s="564"/>
      <c r="D20" s="556"/>
      <c r="E20" s="511"/>
      <c r="F20" s="511"/>
      <c r="G20" s="511"/>
      <c r="H20" s="367" t="s">
        <v>28</v>
      </c>
      <c r="I20" s="367" t="s">
        <v>96</v>
      </c>
      <c r="J20" s="511"/>
      <c r="K20" s="551"/>
      <c r="L20" s="553"/>
      <c r="M20" s="448"/>
      <c r="N20" s="445"/>
      <c r="O20" s="458"/>
      <c r="P20" s="448"/>
      <c r="Q20" s="445"/>
      <c r="R20" s="458"/>
      <c r="S20" s="448"/>
      <c r="T20" s="445"/>
      <c r="U20" s="458"/>
      <c r="V20" s="545"/>
      <c r="X20" s="489"/>
      <c r="Y20" s="489"/>
      <c r="Z20" s="184" t="s">
        <v>18</v>
      </c>
      <c r="AA20" s="155">
        <v>781242</v>
      </c>
    </row>
    <row r="21" spans="1:27" ht="149.25" customHeight="1" x14ac:dyDescent="0.2">
      <c r="A21" s="162"/>
      <c r="B21" s="283" t="s">
        <v>143</v>
      </c>
      <c r="C21" s="273" t="s">
        <v>4</v>
      </c>
      <c r="D21" s="99" t="s">
        <v>36</v>
      </c>
      <c r="E21" s="107" t="s">
        <v>72</v>
      </c>
      <c r="F21" s="108" t="s">
        <v>73</v>
      </c>
      <c r="G21" s="20">
        <v>1</v>
      </c>
      <c r="H21" s="102">
        <v>44609</v>
      </c>
      <c r="I21" s="103">
        <v>44806</v>
      </c>
      <c r="J21" s="110">
        <f>185/360</f>
        <v>0.51388888888888884</v>
      </c>
      <c r="K21" s="32">
        <f t="shared" ref="K21:L24" si="0">J21</f>
        <v>0.51388888888888884</v>
      </c>
      <c r="L21" s="32">
        <f t="shared" si="0"/>
        <v>0.51388888888888884</v>
      </c>
      <c r="M21" s="47"/>
      <c r="N21" s="32"/>
      <c r="O21" s="32"/>
      <c r="P21" s="47"/>
      <c r="Q21" s="32"/>
      <c r="R21" s="32"/>
      <c r="S21" s="47"/>
      <c r="T21" s="32"/>
      <c r="U21" s="32"/>
      <c r="V21" s="348" t="s">
        <v>314</v>
      </c>
      <c r="X21" s="274"/>
      <c r="Y21" s="284">
        <f>185/30</f>
        <v>6.166666666666667</v>
      </c>
      <c r="Z21" s="184"/>
    </row>
    <row r="22" spans="1:27" ht="149.25" customHeight="1" x14ac:dyDescent="0.2">
      <c r="A22" s="162"/>
      <c r="B22" s="285" t="s">
        <v>143</v>
      </c>
      <c r="C22" s="275"/>
      <c r="D22" s="99" t="s">
        <v>0</v>
      </c>
      <c r="E22" s="107" t="s">
        <v>108</v>
      </c>
      <c r="F22" s="108" t="s">
        <v>41</v>
      </c>
      <c r="G22" s="20">
        <v>1</v>
      </c>
      <c r="H22" s="112">
        <v>43222</v>
      </c>
      <c r="I22" s="113">
        <v>43619</v>
      </c>
      <c r="J22" s="32">
        <f>307/360</f>
        <v>0.85277777777777775</v>
      </c>
      <c r="K22" s="32">
        <f>J22</f>
        <v>0.85277777777777775</v>
      </c>
      <c r="L22" s="32">
        <f>K22</f>
        <v>0.85277777777777775</v>
      </c>
      <c r="M22" s="41"/>
      <c r="N22" s="32"/>
      <c r="O22" s="32"/>
      <c r="P22" s="41"/>
      <c r="Q22" s="32"/>
      <c r="R22" s="32"/>
      <c r="S22" s="41"/>
      <c r="T22" s="32"/>
      <c r="U22" s="32"/>
      <c r="V22" s="41" t="s">
        <v>314</v>
      </c>
      <c r="X22" s="274"/>
      <c r="Y22" s="284"/>
      <c r="Z22" s="184"/>
    </row>
    <row r="23" spans="1:27" ht="132.75" customHeight="1" x14ac:dyDescent="0.2">
      <c r="A23" s="162"/>
      <c r="B23" s="285" t="s">
        <v>143</v>
      </c>
      <c r="C23" s="275"/>
      <c r="D23" s="99" t="s">
        <v>36</v>
      </c>
      <c r="E23" s="286" t="s">
        <v>282</v>
      </c>
      <c r="F23" s="108" t="s">
        <v>283</v>
      </c>
      <c r="G23" s="20">
        <v>1</v>
      </c>
      <c r="H23" s="112">
        <v>42962</v>
      </c>
      <c r="I23" s="113">
        <v>43225</v>
      </c>
      <c r="J23" s="110">
        <f>212/360</f>
        <v>0.58888888888888891</v>
      </c>
      <c r="K23" s="32">
        <f t="shared" si="0"/>
        <v>0.58888888888888891</v>
      </c>
      <c r="L23" s="32">
        <f t="shared" si="0"/>
        <v>0.58888888888888891</v>
      </c>
      <c r="M23" s="348"/>
      <c r="N23" s="32"/>
      <c r="O23" s="32"/>
      <c r="P23" s="348"/>
      <c r="Q23" s="32"/>
      <c r="R23" s="32"/>
      <c r="S23" s="348"/>
      <c r="T23" s="32"/>
      <c r="U23" s="32"/>
      <c r="V23" s="348" t="s">
        <v>314</v>
      </c>
      <c r="X23" s="219">
        <f>DAYS360(H23,I23,FALSE)</f>
        <v>260</v>
      </c>
      <c r="Y23" s="155">
        <f>+X23/30</f>
        <v>8.6666666666666661</v>
      </c>
      <c r="Z23" s="155">
        <f>367/30</f>
        <v>12.233333333333333</v>
      </c>
      <c r="AA23" s="155">
        <f>((7*30)+2)/30</f>
        <v>7.0666666666666664</v>
      </c>
    </row>
    <row r="24" spans="1:27" ht="76.150000000000006" customHeight="1" x14ac:dyDescent="0.2">
      <c r="A24" s="162"/>
      <c r="B24" s="285" t="s">
        <v>143</v>
      </c>
      <c r="C24" s="275"/>
      <c r="D24" s="46" t="s">
        <v>0</v>
      </c>
      <c r="E24" s="116" t="s">
        <v>49</v>
      </c>
      <c r="F24" s="117" t="s">
        <v>76</v>
      </c>
      <c r="G24" s="20">
        <v>1</v>
      </c>
      <c r="H24" s="118">
        <v>41675</v>
      </c>
      <c r="I24" s="119">
        <v>42082</v>
      </c>
      <c r="J24" s="120">
        <f>300/360</f>
        <v>0.83333333333333337</v>
      </c>
      <c r="K24" s="32">
        <f t="shared" si="0"/>
        <v>0.83333333333333337</v>
      </c>
      <c r="L24" s="32">
        <f t="shared" si="0"/>
        <v>0.83333333333333337</v>
      </c>
      <c r="M24" s="348"/>
      <c r="N24" s="32"/>
      <c r="O24" s="32"/>
      <c r="P24" s="348"/>
      <c r="Q24" s="32"/>
      <c r="R24" s="32"/>
      <c r="S24" s="348"/>
      <c r="T24" s="32"/>
      <c r="U24" s="32"/>
      <c r="V24" s="348" t="s">
        <v>314</v>
      </c>
      <c r="X24" s="274"/>
      <c r="Y24" s="274"/>
      <c r="Z24" s="184"/>
    </row>
    <row r="25" spans="1:27" ht="403.5" customHeight="1" thickBot="1" x14ac:dyDescent="0.25">
      <c r="A25" s="162"/>
      <c r="B25" s="227" t="s">
        <v>284</v>
      </c>
      <c r="C25" s="277"/>
      <c r="D25" s="277" t="s">
        <v>285</v>
      </c>
      <c r="E25" s="278" t="s">
        <v>34</v>
      </c>
      <c r="F25" s="279" t="s">
        <v>34</v>
      </c>
      <c r="G25" s="256">
        <v>1</v>
      </c>
      <c r="H25" s="118">
        <v>39055</v>
      </c>
      <c r="I25" s="119">
        <v>40238</v>
      </c>
      <c r="J25" s="282">
        <f>1167/360</f>
        <v>3.2416666666666667</v>
      </c>
      <c r="K25" s="32">
        <f>J25</f>
        <v>3.2416666666666667</v>
      </c>
      <c r="L25" s="32">
        <v>0</v>
      </c>
      <c r="M25" s="42"/>
      <c r="N25" s="32">
        <f>YEARFRAC(H25,I25,30/360)</f>
        <v>3.2416666666666667</v>
      </c>
      <c r="O25" s="32">
        <f>+J25</f>
        <v>3.2416666666666667</v>
      </c>
      <c r="P25" s="42">
        <f>_xlfn.DAYS(I25,H25)</f>
        <v>1183</v>
      </c>
      <c r="Q25" s="32">
        <f>+P25/30</f>
        <v>39.43333333333333</v>
      </c>
      <c r="R25" s="32"/>
      <c r="S25" s="42">
        <f>10*30+7</f>
        <v>307</v>
      </c>
      <c r="T25" s="32">
        <f>+S25/30</f>
        <v>10.233333333333333</v>
      </c>
      <c r="U25" s="32"/>
      <c r="V25" s="402" t="s">
        <v>342</v>
      </c>
      <c r="X25" s="219">
        <f>DAYS360(H25,I25,FALSE)</f>
        <v>1167</v>
      </c>
      <c r="Y25" s="155">
        <f>+X25/30</f>
        <v>38.9</v>
      </c>
      <c r="Z25" s="155">
        <f>367/30</f>
        <v>12.233333333333333</v>
      </c>
    </row>
    <row r="26" spans="1:27" ht="30.75" customHeight="1" thickBot="1" x14ac:dyDescent="0.25">
      <c r="A26" s="162"/>
      <c r="B26" s="147"/>
      <c r="C26" s="23"/>
      <c r="D26" s="148"/>
      <c r="E26" s="148"/>
      <c r="F26" s="148"/>
      <c r="G26" s="148"/>
      <c r="H26" s="431" t="s">
        <v>315</v>
      </c>
      <c r="I26" s="432"/>
      <c r="J26" s="433"/>
      <c r="K26" s="343">
        <f>SUM(K15:K25)</f>
        <v>6.0305555555555559</v>
      </c>
      <c r="L26" s="334"/>
      <c r="M26" s="362" t="s">
        <v>308</v>
      </c>
      <c r="V26" s="401" t="s">
        <v>308</v>
      </c>
    </row>
    <row r="27" spans="1:27" ht="30" customHeight="1" thickBot="1" x14ac:dyDescent="0.25">
      <c r="A27" s="162"/>
      <c r="B27" s="147"/>
      <c r="C27" s="23"/>
      <c r="D27" s="148"/>
      <c r="E27" s="148"/>
      <c r="F27" s="148"/>
      <c r="G27" s="148"/>
      <c r="H27" s="55"/>
      <c r="I27" s="546" t="s">
        <v>338</v>
      </c>
      <c r="J27" s="561"/>
      <c r="K27" s="562"/>
      <c r="L27" s="344">
        <f>SUM(L15:L25)</f>
        <v>2.7888888888888892</v>
      </c>
      <c r="M27" s="73" t="s">
        <v>308</v>
      </c>
      <c r="V27" s="197" t="s">
        <v>308</v>
      </c>
    </row>
    <row r="28" spans="1:27" x14ac:dyDescent="0.2">
      <c r="A28" s="162"/>
      <c r="B28" s="147"/>
      <c r="C28" s="23"/>
      <c r="D28" s="55" t="s">
        <v>317</v>
      </c>
      <c r="E28" s="148"/>
      <c r="F28" s="148"/>
      <c r="G28" s="148"/>
      <c r="H28" s="244"/>
      <c r="I28" s="152"/>
      <c r="J28" s="23"/>
      <c r="K28" s="23"/>
      <c r="L28" s="80"/>
      <c r="M28" s="86"/>
      <c r="V28" s="161"/>
    </row>
    <row r="29" spans="1:27" x14ac:dyDescent="0.2">
      <c r="A29" s="162"/>
      <c r="B29" s="168"/>
      <c r="C29" s="162"/>
      <c r="D29" s="162" t="s">
        <v>318</v>
      </c>
      <c r="E29" s="164"/>
      <c r="F29" s="164"/>
      <c r="G29" s="164"/>
      <c r="H29" s="164"/>
      <c r="I29" s="162"/>
      <c r="J29" s="162"/>
      <c r="K29" s="162"/>
      <c r="L29" s="162"/>
      <c r="M29" s="161"/>
      <c r="V29" s="161"/>
    </row>
    <row r="30" spans="1:27" x14ac:dyDescent="0.2">
      <c r="A30" s="162"/>
      <c r="B30" s="163"/>
      <c r="C30" s="162"/>
      <c r="D30" s="162"/>
      <c r="E30" s="162"/>
      <c r="F30" s="162"/>
      <c r="G30" s="162"/>
      <c r="H30" s="162"/>
      <c r="I30" s="162"/>
      <c r="J30" s="162"/>
      <c r="K30" s="162"/>
      <c r="L30" s="162"/>
      <c r="V30" s="161"/>
    </row>
    <row r="31" spans="1:27" x14ac:dyDescent="0.2">
      <c r="A31" s="162"/>
      <c r="B31" s="163"/>
      <c r="C31" s="162"/>
      <c r="D31" s="162"/>
      <c r="E31" s="162"/>
      <c r="F31" s="162"/>
      <c r="G31" s="162"/>
      <c r="H31" s="162"/>
      <c r="I31" s="162"/>
      <c r="J31" s="162"/>
      <c r="K31" s="162"/>
      <c r="L31" s="162"/>
      <c r="V31" s="161"/>
    </row>
    <row r="32" spans="1:27" ht="13.5" thickBot="1" x14ac:dyDescent="0.25">
      <c r="B32" s="160"/>
      <c r="C32" s="159"/>
      <c r="D32" s="159"/>
      <c r="E32" s="159"/>
      <c r="F32" s="159"/>
      <c r="G32" s="159"/>
      <c r="H32" s="159"/>
      <c r="I32" s="159"/>
      <c r="J32" s="159"/>
      <c r="K32" s="159"/>
      <c r="L32" s="159"/>
      <c r="V32" s="158"/>
    </row>
    <row r="33" ht="6.75" customHeight="1" x14ac:dyDescent="0.2"/>
  </sheetData>
  <mergeCells count="42">
    <mergeCell ref="H26:J26"/>
    <mergeCell ref="I27:K27"/>
    <mergeCell ref="C19:C20"/>
    <mergeCell ref="D19:D20"/>
    <mergeCell ref="E19:E20"/>
    <mergeCell ref="F19:F20"/>
    <mergeCell ref="Y19:Y20"/>
    <mergeCell ref="G19:G20"/>
    <mergeCell ref="H19:I19"/>
    <mergeCell ref="J19:J20"/>
    <mergeCell ref="K19:K20"/>
    <mergeCell ref="L19:L20"/>
    <mergeCell ref="X19:X20"/>
    <mergeCell ref="M19:M20"/>
    <mergeCell ref="N19:N20"/>
    <mergeCell ref="O19:O20"/>
    <mergeCell ref="P19:P20"/>
    <mergeCell ref="Q19:Q20"/>
    <mergeCell ref="R19:R20"/>
    <mergeCell ref="S19:S20"/>
    <mergeCell ref="T19:T20"/>
    <mergeCell ref="U19:U20"/>
    <mergeCell ref="B1:H1"/>
    <mergeCell ref="B2:L2"/>
    <mergeCell ref="B16:C16"/>
    <mergeCell ref="D6:E6"/>
    <mergeCell ref="B8:C8"/>
    <mergeCell ref="D8:L8"/>
    <mergeCell ref="B9:C9"/>
    <mergeCell ref="B11:C11"/>
    <mergeCell ref="D11:E11"/>
    <mergeCell ref="B12:C12"/>
    <mergeCell ref="B13:C13"/>
    <mergeCell ref="B14:C14"/>
    <mergeCell ref="B15:C15"/>
    <mergeCell ref="E15:F15"/>
    <mergeCell ref="B3:W3"/>
    <mergeCell ref="V19:V20"/>
    <mergeCell ref="H11:I11"/>
    <mergeCell ref="J11:V11"/>
    <mergeCell ref="B17:C17"/>
    <mergeCell ref="B19:B20"/>
  </mergeCells>
  <printOptions horizontalCentered="1" verticalCentered="1"/>
  <pageMargins left="0.19685039370078741" right="0.19685039370078741" top="0.39370078740157483" bottom="0.19685039370078741" header="0" footer="0"/>
  <pageSetup scale="50" orientation="portrait" r:id="rId1"/>
  <headerFooter>
    <oddHeader>&amp;C&amp;G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
  <sheetViews>
    <sheetView view="pageBreakPreview" zoomScale="90" zoomScaleNormal="100" zoomScaleSheetLayoutView="90" workbookViewId="0">
      <selection activeCell="E8" sqref="E8:F8"/>
    </sheetView>
  </sheetViews>
  <sheetFormatPr baseColWidth="10" defaultColWidth="11.5703125" defaultRowHeight="12.75" x14ac:dyDescent="0.25"/>
  <cols>
    <col min="1" max="1" width="0.7109375" style="184" customWidth="1"/>
    <col min="2" max="2" width="19.85546875" style="184" customWidth="1"/>
    <col min="3" max="3" width="0.140625" style="184" customWidth="1"/>
    <col min="4" max="4" width="15.5703125" style="184" customWidth="1"/>
    <col min="5" max="5" width="41.7109375" style="184" customWidth="1"/>
    <col min="6" max="6" width="11.7109375" style="184" customWidth="1"/>
    <col min="7" max="7" width="13.28515625" style="184" customWidth="1"/>
    <col min="8" max="8" width="13" style="184" customWidth="1"/>
    <col min="9" max="9" width="11.140625" style="184" customWidth="1"/>
    <col min="10" max="10" width="11.28515625" style="184" customWidth="1"/>
    <col min="11" max="11" width="12.85546875" style="184" customWidth="1"/>
    <col min="12" max="12" width="12.28515625" style="184" customWidth="1"/>
    <col min="13" max="13" width="19.42578125" style="184" customWidth="1"/>
    <col min="14" max="14" width="3.28515625" style="184" customWidth="1"/>
    <col min="15" max="15" width="14" style="184" customWidth="1"/>
    <col min="16" max="16384" width="11.5703125" style="184"/>
  </cols>
  <sheetData>
    <row r="1" spans="2:26" ht="6" customHeight="1" thickBot="1" x14ac:dyDescent="0.3">
      <c r="H1" s="287"/>
      <c r="I1" s="287"/>
      <c r="J1" s="287"/>
      <c r="K1" s="287"/>
      <c r="L1" s="287"/>
      <c r="M1" s="192"/>
    </row>
    <row r="2" spans="2:26" ht="8.25" customHeight="1" x14ac:dyDescent="0.25">
      <c r="B2" s="288"/>
      <c r="C2" s="289"/>
      <c r="D2" s="289"/>
      <c r="E2" s="289"/>
      <c r="F2" s="289"/>
      <c r="G2" s="289"/>
      <c r="H2" s="289"/>
      <c r="I2" s="290"/>
      <c r="J2" s="290"/>
      <c r="K2" s="290"/>
      <c r="L2" s="290"/>
      <c r="M2" s="291"/>
    </row>
    <row r="3" spans="2:26" x14ac:dyDescent="0.25">
      <c r="B3" s="292"/>
      <c r="C3" s="182"/>
      <c r="D3" s="182"/>
      <c r="E3" s="182"/>
      <c r="F3" s="182"/>
      <c r="G3" s="182"/>
      <c r="H3" s="182"/>
      <c r="I3" s="182"/>
      <c r="J3" s="182"/>
      <c r="K3" s="182"/>
      <c r="L3" s="182"/>
      <c r="M3" s="293"/>
    </row>
    <row r="4" spans="2:26" ht="16.5" customHeight="1" x14ac:dyDescent="0.25">
      <c r="B4" s="501" t="s">
        <v>373</v>
      </c>
      <c r="C4" s="450"/>
      <c r="D4" s="450"/>
      <c r="E4" s="450"/>
      <c r="F4" s="450"/>
      <c r="G4" s="450"/>
      <c r="H4" s="450"/>
      <c r="I4" s="450"/>
      <c r="J4" s="450"/>
      <c r="K4" s="450"/>
      <c r="L4" s="450"/>
      <c r="M4" s="354"/>
      <c r="N4" s="195"/>
      <c r="O4" s="346"/>
      <c r="P4" s="346"/>
      <c r="Q4" s="346"/>
      <c r="R4" s="346"/>
      <c r="S4" s="346"/>
      <c r="T4" s="346"/>
      <c r="U4" s="346"/>
      <c r="V4" s="346"/>
      <c r="W4" s="346"/>
      <c r="X4" s="346"/>
      <c r="Y4" s="346"/>
      <c r="Z4" s="351"/>
    </row>
    <row r="5" spans="2:26" ht="9" customHeight="1" x14ac:dyDescent="0.25">
      <c r="B5" s="194"/>
      <c r="C5" s="186"/>
      <c r="D5" s="193"/>
      <c r="E5" s="193"/>
      <c r="F5" s="195"/>
      <c r="G5" s="195"/>
      <c r="H5" s="195"/>
      <c r="I5" s="192"/>
      <c r="J5" s="192"/>
      <c r="K5" s="192"/>
      <c r="L5" s="192"/>
      <c r="M5" s="191"/>
    </row>
    <row r="6" spans="2:26" ht="9.75" customHeight="1" x14ac:dyDescent="0.25">
      <c r="B6" s="194"/>
      <c r="C6" s="186"/>
      <c r="D6" s="193"/>
      <c r="E6" s="193"/>
      <c r="F6" s="195"/>
      <c r="G6" s="195"/>
      <c r="H6" s="195"/>
      <c r="I6" s="192"/>
      <c r="J6" s="192"/>
      <c r="K6" s="192"/>
      <c r="L6" s="192"/>
      <c r="M6" s="191"/>
    </row>
    <row r="7" spans="2:26" ht="15" customHeight="1" x14ac:dyDescent="0.25">
      <c r="B7" s="194" t="s">
        <v>88</v>
      </c>
      <c r="C7" s="186"/>
      <c r="D7" s="503" t="s">
        <v>365</v>
      </c>
      <c r="E7" s="503"/>
      <c r="F7" s="192"/>
      <c r="G7" s="192"/>
      <c r="H7" s="192"/>
      <c r="I7" s="192"/>
      <c r="J7" s="192"/>
      <c r="K7" s="192"/>
      <c r="L7" s="192"/>
      <c r="M7" s="191"/>
      <c r="N7" s="192"/>
    </row>
    <row r="8" spans="2:26" ht="29.25" customHeight="1" x14ac:dyDescent="0.25">
      <c r="B8" s="427" t="s">
        <v>377</v>
      </c>
      <c r="C8" s="186"/>
      <c r="D8" s="419">
        <v>45713</v>
      </c>
      <c r="E8" s="425" t="s">
        <v>375</v>
      </c>
      <c r="F8" s="426">
        <v>45719</v>
      </c>
      <c r="G8" s="192"/>
      <c r="H8" s="192"/>
      <c r="I8" s="192"/>
      <c r="J8" s="192"/>
      <c r="K8" s="192"/>
      <c r="L8" s="192"/>
      <c r="M8" s="191"/>
      <c r="N8" s="192"/>
    </row>
    <row r="9" spans="2:26" ht="40.15" customHeight="1" x14ac:dyDescent="0.25">
      <c r="B9" s="194" t="s">
        <v>1</v>
      </c>
      <c r="C9" s="186"/>
      <c r="D9" s="565" t="s">
        <v>194</v>
      </c>
      <c r="E9" s="565"/>
      <c r="F9" s="565"/>
      <c r="G9" s="565"/>
      <c r="H9" s="565"/>
      <c r="I9" s="565"/>
      <c r="J9" s="565"/>
      <c r="K9" s="565"/>
      <c r="L9" s="565"/>
      <c r="M9" s="566"/>
    </row>
    <row r="10" spans="2:26" ht="23.25" customHeight="1" x14ac:dyDescent="0.25">
      <c r="B10" s="188" t="s">
        <v>2</v>
      </c>
      <c r="C10" s="187"/>
      <c r="D10" s="192" t="str">
        <f>+[16]DATOS!B7</f>
        <v>EDELMIRA SIERRA GUTIÉRREZ</v>
      </c>
      <c r="E10" s="192"/>
      <c r="F10" s="192"/>
      <c r="G10" s="192"/>
      <c r="H10" s="192"/>
      <c r="I10" s="192"/>
      <c r="J10" s="192"/>
      <c r="K10" s="192"/>
      <c r="L10" s="192"/>
      <c r="M10" s="191"/>
    </row>
    <row r="11" spans="2:26" ht="15.6" customHeight="1" x14ac:dyDescent="0.25">
      <c r="B11" s="188"/>
      <c r="C11" s="187"/>
      <c r="D11" s="193"/>
      <c r="E11" s="193"/>
      <c r="F11" s="193"/>
      <c r="G11" s="193"/>
      <c r="H11" s="193"/>
      <c r="I11" s="192"/>
      <c r="J11" s="192"/>
      <c r="K11" s="192"/>
      <c r="L11" s="192"/>
      <c r="M11" s="191"/>
    </row>
    <row r="12" spans="2:26" ht="23.25" customHeight="1" x14ac:dyDescent="0.2">
      <c r="B12" s="188" t="s">
        <v>3</v>
      </c>
      <c r="C12" s="187"/>
      <c r="D12" s="223" t="s">
        <v>286</v>
      </c>
      <c r="E12" s="224"/>
      <c r="F12" s="224"/>
      <c r="G12" s="459" t="s">
        <v>306</v>
      </c>
      <c r="H12" s="459"/>
      <c r="I12" s="557" t="s">
        <v>339</v>
      </c>
      <c r="J12" s="463"/>
      <c r="K12" s="463"/>
      <c r="L12" s="374"/>
      <c r="M12" s="375"/>
      <c r="N12" s="374"/>
      <c r="O12" s="374"/>
      <c r="P12" s="374"/>
      <c r="Q12" s="374"/>
      <c r="R12" s="374"/>
      <c r="S12" s="374"/>
      <c r="T12" s="374"/>
      <c r="U12" s="374"/>
      <c r="V12" s="375"/>
    </row>
    <row r="13" spans="2:26" ht="34.5" customHeight="1" x14ac:dyDescent="0.2">
      <c r="B13" s="188" t="s">
        <v>5</v>
      </c>
      <c r="C13" s="187"/>
      <c r="D13" s="209" t="s">
        <v>287</v>
      </c>
      <c r="E13" s="211"/>
      <c r="F13" s="211"/>
      <c r="G13" s="6"/>
      <c r="H13" s="72"/>
      <c r="I13" s="85"/>
      <c r="J13" s="77"/>
      <c r="K13" s="77"/>
      <c r="L13" s="162"/>
      <c r="M13" s="161"/>
      <c r="N13" s="155"/>
      <c r="O13" s="155"/>
      <c r="P13" s="155"/>
      <c r="Q13" s="155"/>
      <c r="R13" s="155"/>
      <c r="S13" s="155"/>
      <c r="T13" s="155"/>
      <c r="U13" s="155"/>
      <c r="V13" s="161"/>
    </row>
    <row r="14" spans="2:26" ht="23.25" customHeight="1" x14ac:dyDescent="0.2">
      <c r="B14" s="188" t="s">
        <v>6</v>
      </c>
      <c r="C14" s="187"/>
      <c r="D14" s="212" t="s">
        <v>288</v>
      </c>
      <c r="E14" s="213"/>
      <c r="F14" s="213"/>
      <c r="G14" s="328" t="s">
        <v>308</v>
      </c>
      <c r="H14" s="328" t="s">
        <v>309</v>
      </c>
      <c r="I14" s="85"/>
      <c r="J14" s="77"/>
      <c r="K14" s="77"/>
      <c r="L14" s="162"/>
      <c r="M14" s="161"/>
      <c r="N14" s="155"/>
      <c r="O14" s="155"/>
      <c r="P14" s="155"/>
      <c r="Q14" s="155"/>
      <c r="R14" s="155"/>
      <c r="S14" s="155"/>
      <c r="T14" s="155"/>
      <c r="U14" s="155"/>
      <c r="V14" s="161"/>
    </row>
    <row r="15" spans="2:26" ht="23.25" customHeight="1" x14ac:dyDescent="0.2">
      <c r="B15" s="188" t="s">
        <v>9</v>
      </c>
      <c r="C15" s="187"/>
      <c r="D15" s="214">
        <v>38464</v>
      </c>
      <c r="E15" s="213"/>
      <c r="F15" s="213"/>
      <c r="G15" s="221" t="s">
        <v>308</v>
      </c>
      <c r="H15" s="364"/>
      <c r="I15" s="51"/>
      <c r="J15" s="54"/>
      <c r="K15" s="54"/>
      <c r="L15" s="162"/>
      <c r="M15" s="161"/>
      <c r="N15" s="155"/>
      <c r="O15" s="155"/>
      <c r="P15" s="155"/>
      <c r="Q15" s="155"/>
      <c r="R15" s="155"/>
      <c r="S15" s="155"/>
      <c r="T15" s="155"/>
      <c r="U15" s="155"/>
      <c r="V15" s="161"/>
    </row>
    <row r="16" spans="2:26" ht="29.25" customHeight="1" x14ac:dyDescent="0.25">
      <c r="B16" s="188" t="s">
        <v>11</v>
      </c>
      <c r="C16" s="187"/>
      <c r="D16" s="214">
        <v>38904</v>
      </c>
      <c r="E16" s="213"/>
      <c r="F16" s="213"/>
      <c r="G16" s="215"/>
      <c r="H16" s="186"/>
      <c r="I16" s="192"/>
      <c r="J16" s="192"/>
      <c r="K16" s="192"/>
      <c r="L16" s="192"/>
      <c r="M16" s="191"/>
      <c r="N16" s="192"/>
    </row>
    <row r="17" spans="1:22" ht="25.5" customHeight="1" x14ac:dyDescent="0.25">
      <c r="B17" s="188" t="s">
        <v>13</v>
      </c>
      <c r="C17" s="187"/>
      <c r="D17" s="209" t="s">
        <v>289</v>
      </c>
      <c r="E17" s="211"/>
      <c r="F17" s="192"/>
      <c r="G17" s="192"/>
      <c r="H17" s="195"/>
      <c r="I17" s="192"/>
      <c r="J17" s="192"/>
      <c r="K17" s="192"/>
      <c r="L17" s="192"/>
      <c r="M17" s="191"/>
      <c r="N17" s="192"/>
    </row>
    <row r="18" spans="1:22" ht="29.25" customHeight="1" x14ac:dyDescent="0.25">
      <c r="B18" s="188" t="s">
        <v>16</v>
      </c>
      <c r="C18" s="187"/>
      <c r="D18" s="214">
        <v>40891</v>
      </c>
      <c r="E18" s="211"/>
      <c r="F18" s="211"/>
      <c r="G18" s="211"/>
      <c r="H18" s="186"/>
      <c r="I18" s="192"/>
      <c r="J18" s="192"/>
      <c r="K18" s="192"/>
      <c r="L18" s="192"/>
      <c r="M18" s="191"/>
      <c r="N18" s="192"/>
    </row>
    <row r="19" spans="1:22" ht="11.25" customHeight="1" thickBot="1" x14ac:dyDescent="0.3">
      <c r="B19" s="294"/>
      <c r="C19" s="195"/>
      <c r="D19" s="182"/>
      <c r="E19" s="182"/>
      <c r="F19" s="182"/>
      <c r="G19" s="182"/>
      <c r="H19" s="181"/>
      <c r="I19" s="192"/>
      <c r="J19" s="192"/>
      <c r="K19" s="192"/>
      <c r="L19" s="287"/>
      <c r="M19" s="305"/>
      <c r="N19" s="192"/>
    </row>
    <row r="20" spans="1:22" ht="19.899999999999999" customHeight="1" x14ac:dyDescent="0.25">
      <c r="A20" s="192"/>
      <c r="B20" s="568" t="s">
        <v>19</v>
      </c>
      <c r="C20" s="570" t="s">
        <v>95</v>
      </c>
      <c r="D20" s="570" t="s">
        <v>20</v>
      </c>
      <c r="E20" s="567" t="s">
        <v>1</v>
      </c>
      <c r="F20" s="567" t="s">
        <v>21</v>
      </c>
      <c r="G20" s="567" t="s">
        <v>22</v>
      </c>
      <c r="H20" s="376" t="s">
        <v>23</v>
      </c>
      <c r="I20" s="377"/>
      <c r="J20" s="567" t="s">
        <v>166</v>
      </c>
      <c r="K20" s="550" t="s">
        <v>322</v>
      </c>
      <c r="L20" s="552" t="s">
        <v>333</v>
      </c>
      <c r="M20" s="447" t="s">
        <v>181</v>
      </c>
      <c r="N20" s="444" t="s">
        <v>322</v>
      </c>
      <c r="O20" s="457" t="s">
        <v>333</v>
      </c>
      <c r="P20" s="447" t="s">
        <v>181</v>
      </c>
      <c r="Q20" s="444" t="s">
        <v>322</v>
      </c>
      <c r="R20" s="457" t="s">
        <v>333</v>
      </c>
      <c r="S20" s="447" t="s">
        <v>181</v>
      </c>
      <c r="T20" s="444" t="s">
        <v>322</v>
      </c>
      <c r="U20" s="457" t="s">
        <v>333</v>
      </c>
      <c r="V20" s="544" t="s">
        <v>181</v>
      </c>
    </row>
    <row r="21" spans="1:22" ht="30" customHeight="1" thickBot="1" x14ac:dyDescent="0.3">
      <c r="A21" s="192"/>
      <c r="B21" s="569"/>
      <c r="C21" s="571"/>
      <c r="D21" s="571"/>
      <c r="E21" s="462"/>
      <c r="F21" s="462"/>
      <c r="G21" s="462"/>
      <c r="H21" s="329" t="s">
        <v>28</v>
      </c>
      <c r="I21" s="329" t="s">
        <v>96</v>
      </c>
      <c r="J21" s="462"/>
      <c r="K21" s="551"/>
      <c r="L21" s="553"/>
      <c r="M21" s="448"/>
      <c r="N21" s="445"/>
      <c r="O21" s="458"/>
      <c r="P21" s="448"/>
      <c r="Q21" s="445"/>
      <c r="R21" s="458"/>
      <c r="S21" s="448"/>
      <c r="T21" s="445"/>
      <c r="U21" s="458"/>
      <c r="V21" s="545"/>
    </row>
    <row r="22" spans="1:22" ht="153.75" customHeight="1" x14ac:dyDescent="0.25">
      <c r="A22" s="192"/>
      <c r="B22" s="123" t="s">
        <v>203</v>
      </c>
      <c r="C22" s="297"/>
      <c r="D22" s="253" t="s">
        <v>36</v>
      </c>
      <c r="E22" s="407" t="s">
        <v>344</v>
      </c>
      <c r="F22" s="408" t="s">
        <v>345</v>
      </c>
      <c r="G22" s="409">
        <v>1</v>
      </c>
      <c r="H22" s="410">
        <v>45338</v>
      </c>
      <c r="I22" s="411">
        <v>45632</v>
      </c>
      <c r="J22" s="104">
        <f>290/360</f>
        <v>0.80555555555555558</v>
      </c>
      <c r="K22" s="32">
        <f>J22</f>
        <v>0.80555555555555558</v>
      </c>
      <c r="L22" s="32">
        <f>J22</f>
        <v>0.80555555555555558</v>
      </c>
      <c r="M22" s="47" t="s">
        <v>314</v>
      </c>
      <c r="N22" s="423"/>
      <c r="O22" s="423"/>
      <c r="P22" s="423"/>
      <c r="Q22" s="423"/>
      <c r="R22" s="423"/>
      <c r="S22" s="423"/>
      <c r="T22" s="423"/>
      <c r="U22" s="423"/>
      <c r="V22" s="424"/>
    </row>
    <row r="23" spans="1:22" ht="102.6" customHeight="1" x14ac:dyDescent="0.25">
      <c r="A23" s="192"/>
      <c r="B23" s="123" t="s">
        <v>143</v>
      </c>
      <c r="C23" s="297"/>
      <c r="D23" s="130" t="s">
        <v>0</v>
      </c>
      <c r="E23" s="100" t="s">
        <v>86</v>
      </c>
      <c r="F23" s="98" t="s">
        <v>85</v>
      </c>
      <c r="G23" s="228">
        <v>0.75</v>
      </c>
      <c r="H23" s="102">
        <v>45068</v>
      </c>
      <c r="I23" s="103">
        <v>45275</v>
      </c>
      <c r="J23" s="32">
        <f>210/360</f>
        <v>0.58333333333333337</v>
      </c>
      <c r="K23" s="32">
        <f t="shared" ref="K23:L29" si="0">J23</f>
        <v>0.58333333333333337</v>
      </c>
      <c r="L23" s="32">
        <f t="shared" si="0"/>
        <v>0.58333333333333337</v>
      </c>
      <c r="M23" s="47" t="s">
        <v>314</v>
      </c>
      <c r="O23" s="219">
        <v>203</v>
      </c>
      <c r="P23" s="220">
        <f t="shared" ref="P23:P29" si="1">+O23/30</f>
        <v>6.7666666666666666</v>
      </c>
    </row>
    <row r="24" spans="1:22" ht="117" customHeight="1" x14ac:dyDescent="0.25">
      <c r="A24" s="192"/>
      <c r="B24" s="123" t="s">
        <v>143</v>
      </c>
      <c r="C24" s="297"/>
      <c r="D24" s="130" t="s">
        <v>0</v>
      </c>
      <c r="E24" s="298" t="s">
        <v>72</v>
      </c>
      <c r="F24" s="232" t="s">
        <v>81</v>
      </c>
      <c r="G24" s="20">
        <v>0.5</v>
      </c>
      <c r="H24" s="299">
        <v>44809</v>
      </c>
      <c r="I24" s="40">
        <v>45067</v>
      </c>
      <c r="J24" s="104">
        <f>222/360</f>
        <v>0.6166666666666667</v>
      </c>
      <c r="K24" s="32">
        <f t="shared" si="0"/>
        <v>0.6166666666666667</v>
      </c>
      <c r="L24" s="32">
        <f t="shared" si="0"/>
        <v>0.6166666666666667</v>
      </c>
      <c r="M24" s="348" t="s">
        <v>335</v>
      </c>
      <c r="O24" s="219">
        <v>256</v>
      </c>
      <c r="P24" s="220">
        <f t="shared" si="1"/>
        <v>8.5333333333333332</v>
      </c>
    </row>
    <row r="25" spans="1:22" ht="117" customHeight="1" x14ac:dyDescent="0.25">
      <c r="A25" s="192"/>
      <c r="B25" s="123" t="s">
        <v>143</v>
      </c>
      <c r="C25" s="297"/>
      <c r="D25" s="130" t="s">
        <v>0</v>
      </c>
      <c r="E25" s="298" t="s">
        <v>72</v>
      </c>
      <c r="F25" s="232" t="s">
        <v>73</v>
      </c>
      <c r="G25" s="20">
        <v>1</v>
      </c>
      <c r="H25" s="299">
        <v>44609</v>
      </c>
      <c r="I25" s="40">
        <v>44806</v>
      </c>
      <c r="J25" s="110">
        <f>185/360</f>
        <v>0.51388888888888884</v>
      </c>
      <c r="K25" s="32">
        <f t="shared" si="0"/>
        <v>0.51388888888888884</v>
      </c>
      <c r="L25" s="32">
        <f t="shared" si="0"/>
        <v>0.51388888888888884</v>
      </c>
      <c r="M25" s="41" t="s">
        <v>314</v>
      </c>
      <c r="O25" s="219"/>
      <c r="P25" s="220"/>
    </row>
    <row r="26" spans="1:22" ht="120.75" customHeight="1" x14ac:dyDescent="0.25">
      <c r="A26" s="192"/>
      <c r="B26" s="123" t="s">
        <v>143</v>
      </c>
      <c r="C26" s="125" t="s">
        <v>4</v>
      </c>
      <c r="D26" s="130" t="s">
        <v>0</v>
      </c>
      <c r="E26" s="300" t="s">
        <v>108</v>
      </c>
      <c r="F26" s="301" t="s">
        <v>75</v>
      </c>
      <c r="G26" s="14">
        <v>1</v>
      </c>
      <c r="H26" s="128">
        <v>43865</v>
      </c>
      <c r="I26" s="170">
        <v>44348</v>
      </c>
      <c r="J26" s="169">
        <f>307/360</f>
        <v>0.85277777777777775</v>
      </c>
      <c r="K26" s="32">
        <f t="shared" si="0"/>
        <v>0.85277777777777775</v>
      </c>
      <c r="L26" s="32">
        <f t="shared" si="0"/>
        <v>0.85277777777777775</v>
      </c>
      <c r="M26" s="348" t="s">
        <v>314</v>
      </c>
      <c r="O26" s="219">
        <v>367</v>
      </c>
      <c r="P26" s="220">
        <f t="shared" si="1"/>
        <v>12.233333333333333</v>
      </c>
    </row>
    <row r="27" spans="1:22" ht="100.15" customHeight="1" x14ac:dyDescent="0.25">
      <c r="A27" s="192"/>
      <c r="B27" s="123" t="s">
        <v>143</v>
      </c>
      <c r="C27" s="125" t="s">
        <v>4</v>
      </c>
      <c r="D27" s="130" t="s">
        <v>0</v>
      </c>
      <c r="E27" s="300" t="s">
        <v>45</v>
      </c>
      <c r="F27" s="127" t="s">
        <v>290</v>
      </c>
      <c r="G27" s="14">
        <v>1</v>
      </c>
      <c r="H27" s="128">
        <v>42583</v>
      </c>
      <c r="I27" s="170">
        <v>42946</v>
      </c>
      <c r="J27" s="169">
        <f>247/360</f>
        <v>0.68611111111111112</v>
      </c>
      <c r="K27" s="32">
        <f t="shared" si="0"/>
        <v>0.68611111111111112</v>
      </c>
      <c r="L27" s="32">
        <f t="shared" si="0"/>
        <v>0.68611111111111112</v>
      </c>
      <c r="M27" s="42" t="s">
        <v>314</v>
      </c>
      <c r="O27" s="184">
        <f>8*30+7</f>
        <v>247</v>
      </c>
      <c r="P27" s="184">
        <f t="shared" si="1"/>
        <v>8.2333333333333325</v>
      </c>
    </row>
    <row r="28" spans="1:22" ht="97.9" customHeight="1" x14ac:dyDescent="0.25">
      <c r="B28" s="123" t="s">
        <v>50</v>
      </c>
      <c r="C28" s="125" t="s">
        <v>4</v>
      </c>
      <c r="D28" s="130" t="s">
        <v>0</v>
      </c>
      <c r="E28" s="300" t="s">
        <v>291</v>
      </c>
      <c r="F28" s="127" t="s">
        <v>48</v>
      </c>
      <c r="G28" s="14">
        <v>1</v>
      </c>
      <c r="H28" s="128">
        <v>42171</v>
      </c>
      <c r="I28" s="170">
        <v>42539</v>
      </c>
      <c r="J28" s="169">
        <f>260/360</f>
        <v>0.72222222222222221</v>
      </c>
      <c r="K28" s="32">
        <f t="shared" si="0"/>
        <v>0.72222222222222221</v>
      </c>
      <c r="L28" s="32">
        <f t="shared" si="0"/>
        <v>0.72222222222222221</v>
      </c>
      <c r="M28" s="47" t="s">
        <v>314</v>
      </c>
      <c r="O28" s="184">
        <f>8*30+20</f>
        <v>260</v>
      </c>
      <c r="P28" s="184">
        <f t="shared" si="1"/>
        <v>8.6666666666666661</v>
      </c>
    </row>
    <row r="29" spans="1:22" ht="69" customHeight="1" thickBot="1" x14ac:dyDescent="0.3">
      <c r="B29" s="123" t="s">
        <v>50</v>
      </c>
      <c r="C29" s="125" t="s">
        <v>292</v>
      </c>
      <c r="D29" s="130" t="s">
        <v>0</v>
      </c>
      <c r="E29" s="300" t="s">
        <v>49</v>
      </c>
      <c r="F29" s="127" t="s">
        <v>293</v>
      </c>
      <c r="G29" s="14">
        <v>1</v>
      </c>
      <c r="H29" s="128">
        <v>41675</v>
      </c>
      <c r="I29" s="170">
        <v>42082</v>
      </c>
      <c r="J29" s="169">
        <f>300/360</f>
        <v>0.83333333333333337</v>
      </c>
      <c r="K29" s="32">
        <f t="shared" si="0"/>
        <v>0.83333333333333337</v>
      </c>
      <c r="L29" s="32">
        <f t="shared" si="0"/>
        <v>0.83333333333333337</v>
      </c>
      <c r="M29" s="348"/>
      <c r="O29" s="184">
        <f>10*30</f>
        <v>300</v>
      </c>
      <c r="P29" s="184">
        <f t="shared" si="1"/>
        <v>10</v>
      </c>
    </row>
    <row r="30" spans="1:22" ht="27" customHeight="1" thickBot="1" x14ac:dyDescent="0.25">
      <c r="A30" s="192"/>
      <c r="B30" s="147"/>
      <c r="C30" s="23"/>
      <c r="D30" s="148"/>
      <c r="E30" s="148"/>
      <c r="F30" s="148"/>
      <c r="G30" s="148"/>
      <c r="H30" s="431" t="s">
        <v>315</v>
      </c>
      <c r="I30" s="432"/>
      <c r="J30" s="433"/>
      <c r="K30" s="343">
        <f>SUM(K18:K29)</f>
        <v>5.6138888888888889</v>
      </c>
      <c r="L30" s="334"/>
      <c r="M30" s="362" t="s">
        <v>308</v>
      </c>
      <c r="N30" s="155"/>
      <c r="O30" s="155"/>
      <c r="P30" s="155"/>
      <c r="Q30" s="155"/>
      <c r="R30" s="155"/>
      <c r="S30" s="155"/>
      <c r="T30" s="155"/>
      <c r="U30" s="155"/>
      <c r="V30" s="371" t="s">
        <v>309</v>
      </c>
    </row>
    <row r="31" spans="1:22" ht="44.25" customHeight="1" thickBot="1" x14ac:dyDescent="0.25">
      <c r="A31" s="192"/>
      <c r="B31" s="147"/>
      <c r="C31" s="23"/>
      <c r="D31" s="148"/>
      <c r="E31" s="148"/>
      <c r="F31" s="148"/>
      <c r="G31" s="148"/>
      <c r="H31" s="55"/>
      <c r="I31" s="546" t="s">
        <v>338</v>
      </c>
      <c r="J31" s="561"/>
      <c r="K31" s="562"/>
      <c r="L31" s="344">
        <f>SUM(L18:L29)</f>
        <v>5.6138888888888889</v>
      </c>
      <c r="M31" s="73" t="s">
        <v>308</v>
      </c>
      <c r="N31" s="155"/>
      <c r="O31" s="155"/>
      <c r="P31" s="155"/>
      <c r="Q31" s="155"/>
      <c r="R31" s="155"/>
      <c r="S31" s="155"/>
      <c r="T31" s="155"/>
      <c r="U31" s="155"/>
      <c r="V31" s="197" t="s">
        <v>308</v>
      </c>
    </row>
    <row r="32" spans="1:22" x14ac:dyDescent="0.2">
      <c r="A32" s="192"/>
      <c r="B32" s="147"/>
      <c r="C32" s="23"/>
      <c r="D32" s="55" t="s">
        <v>317</v>
      </c>
      <c r="E32" s="148"/>
      <c r="F32" s="148"/>
      <c r="G32" s="148"/>
      <c r="H32" s="244"/>
      <c r="I32" s="152"/>
      <c r="J32" s="23"/>
      <c r="K32" s="23"/>
      <c r="L32" s="80"/>
      <c r="M32" s="86"/>
      <c r="N32" s="155"/>
      <c r="O32" s="155"/>
      <c r="P32" s="155"/>
      <c r="Q32" s="155"/>
      <c r="R32" s="155"/>
      <c r="S32" s="155"/>
      <c r="T32" s="155"/>
      <c r="U32" s="155"/>
      <c r="V32" s="161"/>
    </row>
    <row r="33" spans="1:22" x14ac:dyDescent="0.2">
      <c r="A33" s="192"/>
      <c r="B33" s="168"/>
      <c r="C33" s="162"/>
      <c r="D33" s="162" t="s">
        <v>318</v>
      </c>
      <c r="E33" s="164"/>
      <c r="F33" s="164"/>
      <c r="G33" s="164"/>
      <c r="H33" s="164"/>
      <c r="I33" s="162"/>
      <c r="J33" s="162"/>
      <c r="K33" s="162"/>
      <c r="L33" s="162"/>
      <c r="M33" s="161"/>
      <c r="N33" s="155"/>
      <c r="O33" s="155"/>
      <c r="P33" s="155"/>
      <c r="Q33" s="155"/>
      <c r="R33" s="155"/>
      <c r="S33" s="155"/>
      <c r="T33" s="155"/>
      <c r="U33" s="155"/>
      <c r="V33" s="161"/>
    </row>
    <row r="34" spans="1:22" x14ac:dyDescent="0.25">
      <c r="A34" s="192"/>
      <c r="B34" s="302"/>
      <c r="C34" s="192"/>
      <c r="D34" s="195"/>
      <c r="E34" s="195"/>
      <c r="F34" s="195"/>
      <c r="G34" s="195"/>
      <c r="H34" s="195"/>
      <c r="I34" s="192"/>
      <c r="J34" s="233"/>
      <c r="K34" s="192"/>
      <c r="L34" s="192"/>
      <c r="M34" s="191"/>
    </row>
    <row r="35" spans="1:22" x14ac:dyDescent="0.25">
      <c r="A35" s="192"/>
      <c r="B35" s="302"/>
      <c r="C35" s="192"/>
      <c r="D35" s="195"/>
      <c r="E35" s="195"/>
      <c r="F35" s="195"/>
      <c r="G35" s="195"/>
      <c r="H35" s="195"/>
      <c r="I35" s="192"/>
      <c r="J35" s="233"/>
      <c r="K35" s="192"/>
      <c r="L35" s="192"/>
      <c r="M35" s="191"/>
    </row>
    <row r="36" spans="1:22" x14ac:dyDescent="0.25">
      <c r="B36" s="302"/>
      <c r="C36" s="192"/>
      <c r="D36" s="192"/>
      <c r="E36" s="192"/>
      <c r="F36" s="192"/>
      <c r="G36" s="192"/>
      <c r="H36" s="192"/>
      <c r="I36" s="192"/>
      <c r="J36" s="192"/>
      <c r="K36" s="192"/>
      <c r="L36" s="192"/>
      <c r="M36" s="191"/>
    </row>
    <row r="37" spans="1:22" ht="13.5" thickBot="1" x14ac:dyDescent="0.3">
      <c r="B37" s="304"/>
      <c r="C37" s="287"/>
      <c r="D37" s="287"/>
      <c r="E37" s="287"/>
      <c r="F37" s="287"/>
      <c r="G37" s="287"/>
      <c r="H37" s="287"/>
      <c r="I37" s="287"/>
      <c r="J37" s="287"/>
      <c r="K37" s="287"/>
      <c r="L37" s="287"/>
      <c r="M37" s="305"/>
    </row>
    <row r="38" spans="1:22" ht="11.45" customHeight="1" x14ac:dyDescent="0.25"/>
  </sheetData>
  <mergeCells count="26">
    <mergeCell ref="J20:J21"/>
    <mergeCell ref="B4:L4"/>
    <mergeCell ref="G12:H12"/>
    <mergeCell ref="K20:K21"/>
    <mergeCell ref="L20:L21"/>
    <mergeCell ref="D7:E7"/>
    <mergeCell ref="B20:B21"/>
    <mergeCell ref="C20:C21"/>
    <mergeCell ref="D20:D21"/>
    <mergeCell ref="E20:E21"/>
    <mergeCell ref="V20:V21"/>
    <mergeCell ref="D9:M9"/>
    <mergeCell ref="H30:J30"/>
    <mergeCell ref="I31:K31"/>
    <mergeCell ref="I12:K12"/>
    <mergeCell ref="M20:M21"/>
    <mergeCell ref="N20:N21"/>
    <mergeCell ref="O20:O21"/>
    <mergeCell ref="P20:P21"/>
    <mergeCell ref="Q20:Q21"/>
    <mergeCell ref="R20:R21"/>
    <mergeCell ref="S20:S21"/>
    <mergeCell ref="T20:T21"/>
    <mergeCell ref="U20:U21"/>
    <mergeCell ref="F20:F21"/>
    <mergeCell ref="G20:G21"/>
  </mergeCells>
  <printOptions horizontalCentered="1" verticalCentered="1"/>
  <pageMargins left="0" right="0" top="0" bottom="0" header="0" footer="0"/>
  <pageSetup scale="54"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
  <sheetViews>
    <sheetView zoomScale="80" zoomScaleNormal="80" zoomScaleSheetLayoutView="80" workbookViewId="0">
      <selection activeCell="E11" sqref="E11"/>
    </sheetView>
  </sheetViews>
  <sheetFormatPr baseColWidth="10" defaultColWidth="14.42578125" defaultRowHeight="12.75" x14ac:dyDescent="0.25"/>
  <cols>
    <col min="1" max="1" width="2.28515625" style="184" customWidth="1"/>
    <col min="2" max="2" width="22.85546875" style="184" customWidth="1"/>
    <col min="3" max="3" width="0.140625" style="184" customWidth="1"/>
    <col min="4" max="4" width="16.140625" style="184" customWidth="1"/>
    <col min="5" max="5" width="43" style="184" customWidth="1"/>
    <col min="6" max="6" width="12.28515625" style="184" customWidth="1"/>
    <col min="7" max="7" width="9.7109375" style="184" customWidth="1"/>
    <col min="8" max="8" width="13.28515625" style="184" customWidth="1"/>
    <col min="9" max="10" width="14.42578125" style="184"/>
    <col min="11" max="11" width="16.140625" style="184" customWidth="1"/>
    <col min="12" max="12" width="14.42578125" style="184"/>
    <col min="13" max="13" width="23.85546875" style="184" customWidth="1"/>
    <col min="14" max="14" width="39" style="184" customWidth="1"/>
    <col min="15" max="16384" width="14.42578125" style="184"/>
  </cols>
  <sheetData>
    <row r="1" spans="2:15" ht="6" customHeight="1" thickBot="1" x14ac:dyDescent="0.3">
      <c r="H1" s="287"/>
      <c r="I1" s="287"/>
      <c r="J1" s="287"/>
      <c r="K1" s="287"/>
      <c r="L1" s="192"/>
      <c r="M1" s="192"/>
      <c r="N1" s="192"/>
    </row>
    <row r="2" spans="2:15" x14ac:dyDescent="0.25">
      <c r="B2" s="288"/>
      <c r="C2" s="289"/>
      <c r="D2" s="289"/>
      <c r="E2" s="289"/>
      <c r="F2" s="289"/>
      <c r="G2" s="289"/>
      <c r="H2" s="289"/>
      <c r="I2" s="290"/>
      <c r="J2" s="290"/>
      <c r="K2" s="290"/>
      <c r="L2" s="290"/>
      <c r="M2" s="291"/>
      <c r="N2" s="192"/>
    </row>
    <row r="3" spans="2:15" ht="21" customHeight="1" x14ac:dyDescent="0.25">
      <c r="B3" s="501" t="s">
        <v>373</v>
      </c>
      <c r="C3" s="450"/>
      <c r="D3" s="450"/>
      <c r="E3" s="450"/>
      <c r="F3" s="450"/>
      <c r="G3" s="450"/>
      <c r="H3" s="450"/>
      <c r="I3" s="450"/>
      <c r="J3" s="450"/>
      <c r="K3" s="450"/>
      <c r="L3" s="450"/>
      <c r="M3" s="347"/>
      <c r="N3" s="306"/>
    </row>
    <row r="4" spans="2:15" x14ac:dyDescent="0.25">
      <c r="B4" s="292"/>
      <c r="C4" s="182"/>
      <c r="D4" s="182"/>
      <c r="E4" s="182"/>
      <c r="F4" s="182"/>
      <c r="G4" s="182"/>
      <c r="H4" s="182"/>
      <c r="I4" s="182"/>
      <c r="J4" s="182"/>
      <c r="K4" s="182"/>
      <c r="L4" s="182"/>
      <c r="M4" s="293"/>
      <c r="N4" s="306"/>
    </row>
    <row r="5" spans="2:15" ht="15" customHeight="1" x14ac:dyDescent="0.25">
      <c r="B5" s="194" t="s">
        <v>88</v>
      </c>
      <c r="C5" s="186"/>
      <c r="D5" s="503" t="s">
        <v>343</v>
      </c>
      <c r="E5" s="503"/>
      <c r="F5" s="192"/>
      <c r="G5" s="192"/>
      <c r="H5" s="192"/>
      <c r="I5" s="192"/>
      <c r="J5" s="192"/>
      <c r="K5" s="192"/>
      <c r="L5" s="192"/>
      <c r="M5" s="191"/>
      <c r="N5" s="192"/>
      <c r="O5" s="192"/>
    </row>
    <row r="6" spans="2:15" ht="36" customHeight="1" x14ac:dyDescent="0.25">
      <c r="B6" s="427" t="s">
        <v>377</v>
      </c>
      <c r="C6" s="186"/>
      <c r="D6" s="419">
        <v>45713</v>
      </c>
      <c r="E6" s="425" t="s">
        <v>375</v>
      </c>
      <c r="F6" s="426">
        <v>45719</v>
      </c>
      <c r="G6" s="192"/>
      <c r="H6" s="192"/>
      <c r="I6" s="192"/>
      <c r="J6" s="192"/>
      <c r="K6" s="192"/>
      <c r="L6" s="192"/>
      <c r="M6" s="191"/>
      <c r="N6" s="192"/>
      <c r="O6" s="192"/>
    </row>
    <row r="7" spans="2:15" ht="45.6" customHeight="1" x14ac:dyDescent="0.25">
      <c r="B7" s="194" t="s">
        <v>1</v>
      </c>
      <c r="C7" s="186"/>
      <c r="D7" s="485" t="s">
        <v>84</v>
      </c>
      <c r="E7" s="485"/>
      <c r="F7" s="485"/>
      <c r="G7" s="485"/>
      <c r="H7" s="485"/>
      <c r="I7" s="485"/>
      <c r="J7" s="485"/>
      <c r="K7" s="485"/>
      <c r="L7" s="485"/>
      <c r="M7" s="307"/>
      <c r="N7" s="308"/>
    </row>
    <row r="8" spans="2:15" ht="15" customHeight="1" x14ac:dyDescent="0.25">
      <c r="B8" s="188" t="s">
        <v>2</v>
      </c>
      <c r="C8" s="187"/>
      <c r="D8" s="192" t="str">
        <f>+[16]DATOS!B7</f>
        <v>EDELMIRA SIERRA GUTIÉRREZ</v>
      </c>
      <c r="E8" s="192"/>
      <c r="F8" s="192"/>
      <c r="G8" s="192"/>
      <c r="H8" s="192"/>
      <c r="I8" s="192"/>
      <c r="J8" s="192"/>
      <c r="K8" s="192"/>
      <c r="L8" s="192"/>
      <c r="M8" s="191"/>
      <c r="N8" s="192"/>
    </row>
    <row r="9" spans="2:15" ht="7.5" customHeight="1" x14ac:dyDescent="0.25">
      <c r="B9" s="188"/>
      <c r="C9" s="187"/>
      <c r="D9" s="186"/>
      <c r="E9" s="186"/>
      <c r="F9" s="186"/>
      <c r="G9" s="186"/>
      <c r="H9" s="186"/>
      <c r="I9" s="192"/>
      <c r="J9" s="192"/>
      <c r="K9" s="192"/>
      <c r="L9" s="192"/>
      <c r="M9" s="191"/>
      <c r="N9" s="192"/>
    </row>
    <row r="10" spans="2:15" ht="23.25" customHeight="1" x14ac:dyDescent="0.2">
      <c r="B10" s="188" t="s">
        <v>3</v>
      </c>
      <c r="C10" s="187"/>
      <c r="D10" s="223" t="s">
        <v>294</v>
      </c>
      <c r="E10" s="224"/>
      <c r="F10" s="224"/>
      <c r="G10" s="459" t="s">
        <v>306</v>
      </c>
      <c r="H10" s="459"/>
      <c r="I10" s="557" t="s">
        <v>340</v>
      </c>
      <c r="J10" s="463"/>
      <c r="K10" s="463"/>
      <c r="L10" s="192"/>
      <c r="M10" s="191"/>
      <c r="N10" s="192"/>
      <c r="O10" s="192"/>
    </row>
    <row r="11" spans="2:15" ht="14.25" customHeight="1" x14ac:dyDescent="0.2">
      <c r="B11" s="188" t="s">
        <v>5</v>
      </c>
      <c r="C11" s="187"/>
      <c r="D11" s="209" t="s">
        <v>295</v>
      </c>
      <c r="E11" s="211"/>
      <c r="F11" s="211"/>
      <c r="G11" s="6"/>
      <c r="H11" s="72"/>
      <c r="I11" s="85"/>
      <c r="J11" s="77"/>
      <c r="K11" s="77"/>
      <c r="L11" s="192"/>
      <c r="M11" s="191"/>
      <c r="N11" s="192"/>
      <c r="O11" s="192"/>
    </row>
    <row r="12" spans="2:15" ht="14.25" customHeight="1" x14ac:dyDescent="0.2">
      <c r="B12" s="188" t="s">
        <v>6</v>
      </c>
      <c r="C12" s="187"/>
      <c r="D12" s="212" t="s">
        <v>296</v>
      </c>
      <c r="E12" s="213"/>
      <c r="F12" s="213"/>
      <c r="G12" s="328" t="s">
        <v>308</v>
      </c>
      <c r="H12" s="328" t="s">
        <v>309</v>
      </c>
      <c r="I12" s="85"/>
      <c r="J12" s="77"/>
      <c r="K12" s="77"/>
      <c r="L12" s="192"/>
      <c r="M12" s="191"/>
      <c r="N12" s="192"/>
      <c r="O12" s="192"/>
    </row>
    <row r="13" spans="2:15" ht="27" customHeight="1" x14ac:dyDescent="0.25">
      <c r="B13" s="188" t="s">
        <v>9</v>
      </c>
      <c r="C13" s="187"/>
      <c r="D13" s="214">
        <v>41544</v>
      </c>
      <c r="E13" s="213"/>
      <c r="F13" s="213"/>
      <c r="G13" s="221"/>
      <c r="H13" s="221" t="s">
        <v>308</v>
      </c>
      <c r="I13" s="51"/>
      <c r="J13" s="54"/>
      <c r="K13" s="54"/>
      <c r="L13" s="192"/>
      <c r="M13" s="191"/>
      <c r="N13" s="192"/>
      <c r="O13" s="192"/>
    </row>
    <row r="14" spans="2:15" ht="26.25" customHeight="1" x14ac:dyDescent="0.25">
      <c r="B14" s="188" t="s">
        <v>11</v>
      </c>
      <c r="C14" s="187"/>
      <c r="D14" s="214">
        <v>41585</v>
      </c>
      <c r="E14" s="213"/>
      <c r="F14" s="213"/>
      <c r="G14" s="306"/>
      <c r="H14" s="186"/>
      <c r="I14" s="192"/>
      <c r="J14" s="192"/>
      <c r="K14" s="192"/>
      <c r="L14" s="192"/>
      <c r="M14" s="191"/>
      <c r="N14" s="192"/>
      <c r="O14" s="192"/>
    </row>
    <row r="15" spans="2:15" ht="27" customHeight="1" x14ac:dyDescent="0.25">
      <c r="B15" s="188" t="s">
        <v>13</v>
      </c>
      <c r="C15" s="187"/>
      <c r="D15" s="209" t="s">
        <v>297</v>
      </c>
      <c r="E15" s="211"/>
      <c r="F15" s="192"/>
      <c r="G15" s="195"/>
      <c r="H15" s="296"/>
      <c r="I15" s="296"/>
      <c r="J15" s="296"/>
      <c r="K15" s="296"/>
      <c r="L15" s="296"/>
      <c r="M15" s="303"/>
      <c r="N15" s="296"/>
      <c r="O15" s="192"/>
    </row>
    <row r="16" spans="2:15" ht="27.75" customHeight="1" x14ac:dyDescent="0.25">
      <c r="B16" s="188" t="s">
        <v>16</v>
      </c>
      <c r="C16" s="187"/>
      <c r="D16" s="214">
        <v>44097</v>
      </c>
      <c r="E16" s="211"/>
      <c r="F16" s="211"/>
      <c r="G16" s="195"/>
      <c r="H16" s="186"/>
      <c r="I16" s="192"/>
      <c r="J16" s="192"/>
      <c r="K16" s="192"/>
      <c r="L16" s="192"/>
      <c r="M16" s="191"/>
      <c r="N16" s="192"/>
      <c r="O16" s="192"/>
    </row>
    <row r="17" spans="1:19" ht="11.25" customHeight="1" thickBot="1" x14ac:dyDescent="0.3">
      <c r="B17" s="294"/>
      <c r="C17" s="195"/>
      <c r="D17" s="182"/>
      <c r="E17" s="182"/>
      <c r="F17" s="182"/>
      <c r="G17" s="182"/>
      <c r="H17" s="182"/>
      <c r="I17" s="192"/>
      <c r="J17" s="192"/>
      <c r="K17" s="192"/>
      <c r="L17" s="192"/>
      <c r="M17" s="305"/>
      <c r="N17" s="192"/>
      <c r="O17" s="192"/>
    </row>
    <row r="18" spans="1:19" ht="18" customHeight="1" x14ac:dyDescent="0.25">
      <c r="A18" s="192"/>
      <c r="B18" s="575" t="s">
        <v>19</v>
      </c>
      <c r="C18" s="378" t="s">
        <v>95</v>
      </c>
      <c r="D18" s="577" t="s">
        <v>20</v>
      </c>
      <c r="E18" s="461" t="s">
        <v>1</v>
      </c>
      <c r="F18" s="461" t="s">
        <v>21</v>
      </c>
      <c r="G18" s="461" t="s">
        <v>22</v>
      </c>
      <c r="H18" s="379" t="s">
        <v>23</v>
      </c>
      <c r="I18" s="380"/>
      <c r="J18" s="461" t="s">
        <v>24</v>
      </c>
      <c r="K18" s="550" t="s">
        <v>322</v>
      </c>
      <c r="L18" s="552" t="s">
        <v>333</v>
      </c>
      <c r="M18" s="447" t="s">
        <v>181</v>
      </c>
      <c r="N18" s="309"/>
      <c r="O18" s="192"/>
    </row>
    <row r="19" spans="1:19" ht="22.15" customHeight="1" thickBot="1" x14ac:dyDescent="0.3">
      <c r="A19" s="192"/>
      <c r="B19" s="576"/>
      <c r="C19" s="381"/>
      <c r="D19" s="578"/>
      <c r="E19" s="525"/>
      <c r="F19" s="525"/>
      <c r="G19" s="525"/>
      <c r="H19" s="368" t="s">
        <v>28</v>
      </c>
      <c r="I19" s="368" t="s">
        <v>96</v>
      </c>
      <c r="J19" s="525"/>
      <c r="K19" s="551"/>
      <c r="L19" s="553"/>
      <c r="M19" s="448"/>
      <c r="N19" s="309"/>
    </row>
    <row r="20" spans="1:19" ht="99.6" customHeight="1" x14ac:dyDescent="0.25">
      <c r="A20" s="192"/>
      <c r="B20" s="310" t="s">
        <v>298</v>
      </c>
      <c r="C20" s="98" t="s">
        <v>4</v>
      </c>
      <c r="D20" s="99" t="s">
        <v>36</v>
      </c>
      <c r="E20" s="311" t="s">
        <v>86</v>
      </c>
      <c r="F20" s="98" t="s">
        <v>85</v>
      </c>
      <c r="G20" s="101">
        <v>0.75</v>
      </c>
      <c r="H20" s="102">
        <v>45068</v>
      </c>
      <c r="I20" s="103">
        <v>45275</v>
      </c>
      <c r="J20" s="32">
        <f>210/360</f>
        <v>0.58333333333333337</v>
      </c>
      <c r="K20" s="32">
        <f t="shared" ref="K20:K26" si="0">J20</f>
        <v>0.58333333333333337</v>
      </c>
      <c r="L20" s="32">
        <f>J20</f>
        <v>0.58333333333333337</v>
      </c>
      <c r="M20" s="47" t="s">
        <v>314</v>
      </c>
      <c r="N20" s="309"/>
    </row>
    <row r="21" spans="1:19" ht="113.45" customHeight="1" x14ac:dyDescent="0.25">
      <c r="A21" s="192"/>
      <c r="B21" s="310" t="s">
        <v>298</v>
      </c>
      <c r="C21" s="98" t="s">
        <v>4</v>
      </c>
      <c r="D21" s="99" t="s">
        <v>36</v>
      </c>
      <c r="E21" s="311" t="s">
        <v>72</v>
      </c>
      <c r="F21" s="98" t="s">
        <v>81</v>
      </c>
      <c r="G21" s="101" t="s">
        <v>34</v>
      </c>
      <c r="H21" s="312">
        <v>44809</v>
      </c>
      <c r="I21" s="103">
        <v>45067</v>
      </c>
      <c r="J21" s="104">
        <f>222/360</f>
        <v>0.6166666666666667</v>
      </c>
      <c r="K21" s="32">
        <f t="shared" si="0"/>
        <v>0.6166666666666667</v>
      </c>
      <c r="L21" s="32">
        <f>K21</f>
        <v>0.6166666666666667</v>
      </c>
      <c r="M21" s="348" t="s">
        <v>335</v>
      </c>
      <c r="N21" s="309"/>
    </row>
    <row r="22" spans="1:19" ht="108.6" customHeight="1" x14ac:dyDescent="0.25">
      <c r="A22" s="192"/>
      <c r="B22" s="310" t="s">
        <v>298</v>
      </c>
      <c r="C22" s="125" t="s">
        <v>4</v>
      </c>
      <c r="D22" s="130" t="s">
        <v>36</v>
      </c>
      <c r="E22" s="300" t="s">
        <v>72</v>
      </c>
      <c r="F22" s="301" t="s">
        <v>73</v>
      </c>
      <c r="G22" s="14">
        <v>1</v>
      </c>
      <c r="H22" s="128">
        <v>44609</v>
      </c>
      <c r="I22" s="170">
        <v>44806</v>
      </c>
      <c r="J22" s="110">
        <f>185/360</f>
        <v>0.51388888888888884</v>
      </c>
      <c r="K22" s="32">
        <f t="shared" si="0"/>
        <v>0.51388888888888884</v>
      </c>
      <c r="L22" s="32">
        <f>K22</f>
        <v>0.51388888888888884</v>
      </c>
      <c r="M22" s="41" t="s">
        <v>314</v>
      </c>
      <c r="N22" s="309"/>
    </row>
    <row r="23" spans="1:19" ht="108" customHeight="1" x14ac:dyDescent="0.25">
      <c r="A23" s="191"/>
      <c r="B23" s="310" t="s">
        <v>298</v>
      </c>
      <c r="C23" s="313" t="s">
        <v>4</v>
      </c>
      <c r="D23" s="314" t="s">
        <v>0</v>
      </c>
      <c r="E23" s="315" t="s">
        <v>108</v>
      </c>
      <c r="F23" s="316" t="s">
        <v>75</v>
      </c>
      <c r="G23" s="256">
        <v>1</v>
      </c>
      <c r="H23" s="317">
        <v>44075</v>
      </c>
      <c r="I23" s="281">
        <v>44348</v>
      </c>
      <c r="J23" s="169">
        <f>307/360</f>
        <v>0.85277777777777775</v>
      </c>
      <c r="K23" s="32">
        <f t="shared" si="0"/>
        <v>0.85277777777777775</v>
      </c>
      <c r="L23" s="32">
        <f>K23</f>
        <v>0.85277777777777775</v>
      </c>
      <c r="M23" s="348" t="s">
        <v>314</v>
      </c>
      <c r="N23" s="233"/>
      <c r="O23" s="184">
        <v>367</v>
      </c>
      <c r="P23" s="220">
        <f t="shared" ref="P23:Q26" si="1">+O23/30</f>
        <v>12.233333333333333</v>
      </c>
      <c r="Q23" s="184">
        <f t="shared" si="1"/>
        <v>0.40777777777777774</v>
      </c>
      <c r="S23" s="220"/>
    </row>
    <row r="24" spans="1:19" ht="47.45" customHeight="1" x14ac:dyDescent="0.25">
      <c r="A24" s="191"/>
      <c r="B24" s="123" t="s">
        <v>299</v>
      </c>
      <c r="C24" s="125" t="s">
        <v>294</v>
      </c>
      <c r="D24" s="130" t="s">
        <v>300</v>
      </c>
      <c r="E24" s="300" t="s">
        <v>301</v>
      </c>
      <c r="F24" s="301" t="s">
        <v>34</v>
      </c>
      <c r="G24" s="14">
        <v>1</v>
      </c>
      <c r="H24" s="128">
        <v>42506</v>
      </c>
      <c r="I24" s="170">
        <v>43537</v>
      </c>
      <c r="J24" s="318">
        <f>1017/360</f>
        <v>2.8250000000000002</v>
      </c>
      <c r="K24" s="32">
        <f t="shared" si="0"/>
        <v>2.8250000000000002</v>
      </c>
      <c r="L24" s="32">
        <v>0</v>
      </c>
      <c r="M24" s="42" t="s">
        <v>314</v>
      </c>
      <c r="N24" s="319"/>
      <c r="O24" s="177">
        <f>DAYS360(H24,I24)</f>
        <v>1017</v>
      </c>
      <c r="P24" s="320">
        <f t="shared" si="1"/>
        <v>33.9</v>
      </c>
      <c r="Q24" s="184">
        <f t="shared" si="1"/>
        <v>1.1299999999999999</v>
      </c>
      <c r="S24" s="220"/>
    </row>
    <row r="25" spans="1:19" ht="67.150000000000006" customHeight="1" x14ac:dyDescent="0.25">
      <c r="A25" s="191"/>
      <c r="B25" s="123" t="s">
        <v>143</v>
      </c>
      <c r="C25" s="125"/>
      <c r="D25" s="130" t="s">
        <v>302</v>
      </c>
      <c r="E25" s="315" t="s">
        <v>303</v>
      </c>
      <c r="F25" s="301" t="s">
        <v>34</v>
      </c>
      <c r="G25" s="14">
        <v>1</v>
      </c>
      <c r="H25" s="128">
        <v>42038</v>
      </c>
      <c r="I25" s="170">
        <v>42277</v>
      </c>
      <c r="J25" s="318">
        <f>237/360</f>
        <v>0.65833333333333333</v>
      </c>
      <c r="K25" s="32">
        <f t="shared" si="0"/>
        <v>0.65833333333333333</v>
      </c>
      <c r="L25" s="32">
        <v>0</v>
      </c>
      <c r="M25" s="47" t="s">
        <v>314</v>
      </c>
      <c r="N25" s="319"/>
      <c r="O25" s="177">
        <v>237</v>
      </c>
      <c r="P25" s="320">
        <f>+O25/30</f>
        <v>7.9</v>
      </c>
      <c r="Q25" s="184">
        <f>+P25/30</f>
        <v>0.26333333333333336</v>
      </c>
      <c r="S25" s="220"/>
    </row>
    <row r="26" spans="1:19" ht="93" customHeight="1" thickBot="1" x14ac:dyDescent="0.3">
      <c r="A26" s="192"/>
      <c r="B26" s="383" t="s">
        <v>143</v>
      </c>
      <c r="C26" s="384" t="s">
        <v>294</v>
      </c>
      <c r="D26" s="384" t="s">
        <v>304</v>
      </c>
      <c r="E26" s="385" t="s">
        <v>305</v>
      </c>
      <c r="F26" s="386" t="s">
        <v>34</v>
      </c>
      <c r="G26" s="21">
        <v>1</v>
      </c>
      <c r="H26" s="387">
        <v>41586</v>
      </c>
      <c r="I26" s="388">
        <v>41831</v>
      </c>
      <c r="J26" s="389">
        <f>243/360</f>
        <v>0.67500000000000004</v>
      </c>
      <c r="K26" s="37">
        <f t="shared" si="0"/>
        <v>0.67500000000000004</v>
      </c>
      <c r="L26" s="37">
        <v>0</v>
      </c>
      <c r="M26" s="390" t="s">
        <v>314</v>
      </c>
      <c r="N26" s="233"/>
      <c r="O26" s="177">
        <f>DAYS360(H26,I26)</f>
        <v>243</v>
      </c>
      <c r="P26" s="220">
        <f t="shared" si="1"/>
        <v>8.1</v>
      </c>
      <c r="Q26" s="184">
        <f>+P26/30</f>
        <v>0.26999999999999996</v>
      </c>
      <c r="R26" s="184">
        <f>+Q26/30</f>
        <v>8.9999999999999993E-3</v>
      </c>
      <c r="S26" s="220"/>
    </row>
    <row r="27" spans="1:19" ht="32.25" customHeight="1" thickBot="1" x14ac:dyDescent="0.25">
      <c r="A27" s="192"/>
      <c r="B27" s="147"/>
      <c r="C27" s="23"/>
      <c r="D27" s="148"/>
      <c r="E27" s="148"/>
      <c r="F27" s="148"/>
      <c r="G27" s="148"/>
      <c r="H27" s="572" t="s">
        <v>315</v>
      </c>
      <c r="I27" s="573"/>
      <c r="J27" s="574"/>
      <c r="K27" s="382">
        <f>SUM(K16:K26)</f>
        <v>6.7250000000000005</v>
      </c>
      <c r="L27" s="334"/>
      <c r="M27" s="362" t="s">
        <v>308</v>
      </c>
      <c r="N27" s="192"/>
    </row>
    <row r="28" spans="1:19" ht="35.25" customHeight="1" thickBot="1" x14ac:dyDescent="0.25">
      <c r="A28" s="192"/>
      <c r="B28" s="147"/>
      <c r="C28" s="23"/>
      <c r="D28" s="148"/>
      <c r="E28" s="148"/>
      <c r="F28" s="148"/>
      <c r="G28" s="148"/>
      <c r="H28" s="55"/>
      <c r="I28" s="546" t="s">
        <v>338</v>
      </c>
      <c r="J28" s="561"/>
      <c r="K28" s="562"/>
      <c r="L28" s="344">
        <f>SUM(L16:L26)</f>
        <v>2.5666666666666669</v>
      </c>
      <c r="M28" s="73" t="s">
        <v>308</v>
      </c>
      <c r="N28" s="192"/>
    </row>
    <row r="29" spans="1:19" x14ac:dyDescent="0.2">
      <c r="A29" s="192"/>
      <c r="B29" s="147"/>
      <c r="C29" s="23"/>
      <c r="D29" s="55" t="s">
        <v>317</v>
      </c>
      <c r="E29" s="148"/>
      <c r="F29" s="148"/>
      <c r="G29" s="148"/>
      <c r="H29" s="244"/>
      <c r="I29" s="152"/>
      <c r="J29" s="23"/>
      <c r="K29" s="23"/>
      <c r="L29" s="80"/>
      <c r="M29" s="86"/>
      <c r="N29" s="192"/>
    </row>
    <row r="30" spans="1:19" x14ac:dyDescent="0.2">
      <c r="A30" s="192"/>
      <c r="B30" s="168"/>
      <c r="C30" s="162"/>
      <c r="D30" s="162" t="s">
        <v>318</v>
      </c>
      <c r="E30" s="164"/>
      <c r="F30" s="164"/>
      <c r="G30" s="164"/>
      <c r="H30" s="164"/>
      <c r="I30" s="162"/>
      <c r="J30" s="162"/>
      <c r="K30" s="162"/>
      <c r="L30" s="162"/>
      <c r="M30" s="161"/>
      <c r="N30" s="192"/>
    </row>
    <row r="31" spans="1:19" x14ac:dyDescent="0.25">
      <c r="A31" s="192"/>
      <c r="B31" s="295"/>
      <c r="C31" s="192"/>
      <c r="D31" s="192"/>
      <c r="E31" s="192"/>
      <c r="F31" s="192"/>
      <c r="G31" s="192"/>
      <c r="H31" s="192"/>
      <c r="I31" s="192"/>
      <c r="J31" s="192"/>
      <c r="K31" s="192"/>
      <c r="L31" s="192"/>
      <c r="M31" s="191"/>
      <c r="N31" s="192"/>
    </row>
    <row r="32" spans="1:19" x14ac:dyDescent="0.25">
      <c r="A32" s="192"/>
      <c r="B32" s="295"/>
      <c r="C32" s="192"/>
      <c r="D32" s="192"/>
      <c r="E32" s="192"/>
      <c r="F32" s="192"/>
      <c r="G32" s="192"/>
      <c r="H32" s="192"/>
      <c r="I32" s="192"/>
      <c r="J32" s="192"/>
      <c r="K32" s="192"/>
      <c r="L32" s="192"/>
      <c r="M32" s="191"/>
      <c r="N32" s="192"/>
    </row>
    <row r="33" spans="1:15" ht="13.5" thickBot="1" x14ac:dyDescent="0.3">
      <c r="A33" s="192"/>
      <c r="B33" s="304"/>
      <c r="C33" s="287"/>
      <c r="D33" s="287"/>
      <c r="E33" s="287"/>
      <c r="F33" s="287"/>
      <c r="G33" s="287"/>
      <c r="H33" s="287"/>
      <c r="I33" s="287"/>
      <c r="J33" s="287"/>
      <c r="K33" s="287"/>
      <c r="L33" s="287"/>
      <c r="M33" s="305"/>
      <c r="N33" s="192"/>
    </row>
    <row r="34" spans="1:15" x14ac:dyDescent="0.25">
      <c r="B34" s="290"/>
      <c r="C34" s="290"/>
      <c r="D34" s="290"/>
      <c r="E34" s="290"/>
      <c r="F34" s="290"/>
      <c r="G34" s="290"/>
      <c r="H34" s="290"/>
      <c r="I34" s="290"/>
      <c r="J34" s="290"/>
      <c r="K34" s="290"/>
      <c r="L34" s="290"/>
      <c r="M34" s="192"/>
      <c r="N34" s="192"/>
      <c r="O34" s="192"/>
    </row>
    <row r="35" spans="1:15" ht="6.75" customHeight="1" x14ac:dyDescent="0.25"/>
  </sheetData>
  <mergeCells count="16">
    <mergeCell ref="M18:M19"/>
    <mergeCell ref="H27:J27"/>
    <mergeCell ref="I28:K28"/>
    <mergeCell ref="B3:L3"/>
    <mergeCell ref="D5:E5"/>
    <mergeCell ref="D7:L7"/>
    <mergeCell ref="B18:B19"/>
    <mergeCell ref="D18:D19"/>
    <mergeCell ref="E18:E19"/>
    <mergeCell ref="F18:F19"/>
    <mergeCell ref="G18:G19"/>
    <mergeCell ref="J18:J19"/>
    <mergeCell ref="G10:H10"/>
    <mergeCell ref="I10:K10"/>
    <mergeCell ref="K18:K19"/>
    <mergeCell ref="L18:L19"/>
  </mergeCells>
  <printOptions horizontalCentered="1" verticalCentered="1"/>
  <pageMargins left="0" right="0" top="0" bottom="0" header="0" footer="0"/>
  <pageSetup scale="5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13</vt:i4>
      </vt:variant>
    </vt:vector>
  </HeadingPairs>
  <TitlesOfParts>
    <vt:vector size="23" baseType="lpstr">
      <vt:lpstr>PROP 1 -Director Intv</vt:lpstr>
      <vt:lpstr> PROP 1 - Coord. Operativo Intv</vt:lpstr>
      <vt:lpstr> PROP 1 - Coord Calidad Intv</vt:lpstr>
      <vt:lpstr>PROP 1 - Supervisor Intv 1</vt:lpstr>
      <vt:lpstr>PROP 1 - Supervisor Intv 2</vt:lpstr>
      <vt:lpstr>PROP 1 - Supervisor Intv 3</vt:lpstr>
      <vt:lpstr>PROP 1 - Supervisor Intv 4</vt:lpstr>
      <vt:lpstr>PROP 1 - Supervisor Intv 5</vt:lpstr>
      <vt:lpstr>PROP 1 - Contador Públ Intv</vt:lpstr>
      <vt:lpstr>PROP 1 - Abogado Intv</vt:lpstr>
      <vt:lpstr>' PROP 1 - Coord Calidad Intv'!Área_de_impresión</vt:lpstr>
      <vt:lpstr>' PROP 1 - Coord. Operativo Intv'!Área_de_impresión</vt:lpstr>
      <vt:lpstr>'PROP 1 - Abogado Intv'!Área_de_impresión</vt:lpstr>
      <vt:lpstr>'PROP 1 - Contador Públ Intv'!Área_de_impresión</vt:lpstr>
      <vt:lpstr>'PROP 1 - Supervisor Intv 1'!Área_de_impresión</vt:lpstr>
      <vt:lpstr>'PROP 1 - Supervisor Intv 2'!Área_de_impresión</vt:lpstr>
      <vt:lpstr>'PROP 1 - Supervisor Intv 3'!Área_de_impresión</vt:lpstr>
      <vt:lpstr>'PROP 1 - Supervisor Intv 4'!Área_de_impresión</vt:lpstr>
      <vt:lpstr>'PROP 1 - Supervisor Intv 5'!Área_de_impresión</vt:lpstr>
      <vt:lpstr>'PROP 1 -Director Intv'!Área_de_impresión</vt:lpstr>
      <vt:lpstr>' PROP 1 - Coord Calidad Intv'!Títulos_a_imprimir</vt:lpstr>
      <vt:lpstr>'PROP 1 - Supervisor Intv 4'!Títulos_a_imprimir</vt:lpstr>
      <vt:lpstr>'PROP 1 -Director Intv'!Títulos_a_imprimir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Jimmer Alfonso</dc:creator>
  <cp:lastModifiedBy>Usuario de Windows</cp:lastModifiedBy>
  <cp:lastPrinted>2024-12-22T23:35:51Z</cp:lastPrinted>
  <dcterms:created xsi:type="dcterms:W3CDTF">2022-07-16T03:10:13Z</dcterms:created>
  <dcterms:modified xsi:type="dcterms:W3CDTF">2025-03-01T20:57:13Z</dcterms:modified>
</cp:coreProperties>
</file>