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yolei\Desktop\CONTRATACION\CONTRATACION 2025\CENAC\GRASAS Y LUBRICANTES\"/>
    </mc:Choice>
  </mc:AlternateContent>
  <xr:revisionPtr revIDLastSave="0" documentId="13_ncr:1_{48D0EFBE-2D4F-44D4-A0CC-59F2906CCFB5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ANALISIS DE LAS COTIZACIONES" sheetId="2" r:id="rId1"/>
    <sheet name="PROYECCION CANTIDADES MINIMAS" sheetId="3" r:id="rId2"/>
    <sheet name="PRECIO DE REFERENCIA" sheetId="4" r:id="rId3"/>
    <sheet name="PRESUPUESTO" sheetId="5" r:id="rId4"/>
  </sheets>
  <definedNames>
    <definedName name="_xlnm._FilterDatabase" localSheetId="0" hidden="1">'ANALISIS DE LAS COTIZACIONES'!$B$7:$X$22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3" l="1"/>
  <c r="E6" i="3"/>
  <c r="E7" i="3"/>
  <c r="E8" i="3"/>
  <c r="E9" i="3"/>
  <c r="E10" i="3"/>
  <c r="E11" i="3"/>
  <c r="E12" i="3"/>
  <c r="E13" i="3"/>
  <c r="E14" i="3"/>
  <c r="E15" i="3"/>
  <c r="E16" i="3"/>
  <c r="E4" i="3"/>
  <c r="I18" i="4"/>
  <c r="I5" i="4"/>
  <c r="AP19" i="3"/>
  <c r="AP18" i="3"/>
  <c r="AP17" i="3"/>
  <c r="AP4" i="3"/>
  <c r="AO5" i="3"/>
  <c r="AO6" i="3"/>
  <c r="AO7" i="3"/>
  <c r="AO8" i="3"/>
  <c r="AO9" i="3"/>
  <c r="AO10" i="3"/>
  <c r="AO11" i="3"/>
  <c r="AO12" i="3"/>
  <c r="AO13" i="3"/>
  <c r="AO14" i="3"/>
  <c r="AO15" i="3"/>
  <c r="AO16" i="3"/>
  <c r="AO4" i="3"/>
  <c r="AM5" i="3"/>
  <c r="AN5" i="3"/>
  <c r="AM6" i="3"/>
  <c r="AN6" i="3" s="1"/>
  <c r="AN7" i="3"/>
  <c r="AN8" i="3"/>
  <c r="AM9" i="3"/>
  <c r="AN9" i="3"/>
  <c r="AN10" i="3"/>
  <c r="AM11" i="3"/>
  <c r="AN11" i="3" s="1"/>
  <c r="AM12" i="3"/>
  <c r="AN12" i="3"/>
  <c r="AM13" i="3"/>
  <c r="AN13" i="3"/>
  <c r="AM14" i="3"/>
  <c r="AN14" i="3" s="1"/>
  <c r="AM15" i="3"/>
  <c r="AN15" i="3" s="1"/>
  <c r="AM16" i="3"/>
  <c r="AN16" i="3"/>
  <c r="AM4" i="3"/>
  <c r="AK5" i="3"/>
  <c r="AL5" i="3" s="1"/>
  <c r="AK6" i="3"/>
  <c r="AL6" i="3" s="1"/>
  <c r="AK7" i="3"/>
  <c r="AL7" i="3" s="1"/>
  <c r="AL8" i="3"/>
  <c r="AK9" i="3"/>
  <c r="AL9" i="3"/>
  <c r="AK10" i="3"/>
  <c r="AL10" i="3" s="1"/>
  <c r="AK11" i="3"/>
  <c r="AL11" i="3" s="1"/>
  <c r="AK12" i="3"/>
  <c r="AL12" i="3"/>
  <c r="AK13" i="3"/>
  <c r="AL13" i="3"/>
  <c r="AK14" i="3"/>
  <c r="AL14" i="3" s="1"/>
  <c r="AK15" i="3"/>
  <c r="AL15" i="3" s="1"/>
  <c r="AK16" i="3"/>
  <c r="AL16" i="3"/>
  <c r="AL4" i="3"/>
  <c r="AK4" i="3"/>
  <c r="AJ5" i="3"/>
  <c r="AJ6" i="3"/>
  <c r="AJ7" i="3"/>
  <c r="AJ8" i="3"/>
  <c r="AI9" i="3"/>
  <c r="AJ9" i="3"/>
  <c r="AJ10" i="3"/>
  <c r="AI11" i="3"/>
  <c r="AJ11" i="3"/>
  <c r="AI12" i="3"/>
  <c r="AJ12" i="3"/>
  <c r="AJ13" i="3"/>
  <c r="AI14" i="3"/>
  <c r="AJ14" i="3" s="1"/>
  <c r="AI15" i="3"/>
  <c r="AJ15" i="3"/>
  <c r="AJ16" i="3"/>
  <c r="AI4" i="3"/>
  <c r="AJ4" i="3" s="1"/>
  <c r="AH5" i="3"/>
  <c r="AG6" i="3"/>
  <c r="AH6" i="3"/>
  <c r="AG7" i="3"/>
  <c r="AH7" i="3"/>
  <c r="AG8" i="3"/>
  <c r="AH8" i="3"/>
  <c r="AG9" i="3"/>
  <c r="AH9" i="3"/>
  <c r="AG10" i="3"/>
  <c r="AH10" i="3"/>
  <c r="AG11" i="3"/>
  <c r="AH11" i="3"/>
  <c r="AG12" i="3"/>
  <c r="AH12" i="3"/>
  <c r="AG13" i="3"/>
  <c r="AH13" i="3"/>
  <c r="AG14" i="3"/>
  <c r="AH14" i="3"/>
  <c r="AG15" i="3"/>
  <c r="AH15" i="3"/>
  <c r="AH16" i="3"/>
  <c r="AG4" i="3"/>
  <c r="AF5" i="3"/>
  <c r="AE6" i="3"/>
  <c r="AF6" i="3" s="1"/>
  <c r="AE7" i="3"/>
  <c r="AF7" i="3"/>
  <c r="AF8" i="3"/>
  <c r="AE9" i="3"/>
  <c r="AF9" i="3"/>
  <c r="AF10" i="3"/>
  <c r="AE11" i="3"/>
  <c r="AF11" i="3"/>
  <c r="AF12" i="3"/>
  <c r="AE13" i="3"/>
  <c r="AF13" i="3"/>
  <c r="AF14" i="3"/>
  <c r="AE15" i="3"/>
  <c r="AF15" i="3"/>
  <c r="AE16" i="3"/>
  <c r="AF16" i="3"/>
  <c r="AE4" i="3"/>
  <c r="AD5" i="3"/>
  <c r="AD6" i="3"/>
  <c r="AC7" i="3"/>
  <c r="AD7" i="3"/>
  <c r="AD8" i="3"/>
  <c r="AD9" i="3"/>
  <c r="AD10" i="3"/>
  <c r="AD11" i="3"/>
  <c r="AD12" i="3"/>
  <c r="AC13" i="3"/>
  <c r="AD13" i="3" s="1"/>
  <c r="AC14" i="3"/>
  <c r="AD14" i="3"/>
  <c r="AC15" i="3"/>
  <c r="AD15" i="3"/>
  <c r="AC16" i="3"/>
  <c r="AD16" i="3"/>
  <c r="AD4" i="3"/>
  <c r="AA5" i="3"/>
  <c r="AB5" i="3"/>
  <c r="AA6" i="3"/>
  <c r="AB6" i="3" s="1"/>
  <c r="AA7" i="3"/>
  <c r="AB7" i="3"/>
  <c r="AA8" i="3"/>
  <c r="AB8" i="3"/>
  <c r="AB9" i="3"/>
  <c r="AA10" i="3"/>
  <c r="AB10" i="3" s="1"/>
  <c r="AA11" i="3"/>
  <c r="AB11" i="3"/>
  <c r="AA12" i="3"/>
  <c r="AB12" i="3"/>
  <c r="AA13" i="3"/>
  <c r="AB13" i="3"/>
  <c r="AA14" i="3"/>
  <c r="AB14" i="3" s="1"/>
  <c r="AA15" i="3"/>
  <c r="AB15" i="3"/>
  <c r="AB16" i="3"/>
  <c r="AB4" i="3"/>
  <c r="AA4" i="3"/>
  <c r="Y5" i="3"/>
  <c r="Z5" i="3"/>
  <c r="Y6" i="3"/>
  <c r="Z6" i="3" s="1"/>
  <c r="Y7" i="3"/>
  <c r="Z7" i="3"/>
  <c r="Y8" i="3"/>
  <c r="Z8" i="3"/>
  <c r="Z9" i="3"/>
  <c r="Y10" i="3"/>
  <c r="Z10" i="3" s="1"/>
  <c r="Y11" i="3"/>
  <c r="Z11" i="3"/>
  <c r="Y12" i="3"/>
  <c r="Z12" i="3"/>
  <c r="Y13" i="3"/>
  <c r="Z13" i="3"/>
  <c r="Y14" i="3"/>
  <c r="Z14" i="3" s="1"/>
  <c r="Y15" i="3"/>
  <c r="Z15" i="3"/>
  <c r="Z16" i="3"/>
  <c r="Z4" i="3"/>
  <c r="Y4" i="3"/>
  <c r="W5" i="3"/>
  <c r="X5" i="3"/>
  <c r="W6" i="3"/>
  <c r="X6" i="3" s="1"/>
  <c r="W7" i="3"/>
  <c r="X7" i="3" s="1"/>
  <c r="W8" i="3"/>
  <c r="X8" i="3"/>
  <c r="W9" i="3"/>
  <c r="X9" i="3"/>
  <c r="W10" i="3"/>
  <c r="X10" i="3" s="1"/>
  <c r="W11" i="3"/>
  <c r="X11" i="3" s="1"/>
  <c r="W12" i="3"/>
  <c r="X12" i="3"/>
  <c r="W13" i="3"/>
  <c r="X13" i="3"/>
  <c r="W14" i="3"/>
  <c r="X14" i="3" s="1"/>
  <c r="W15" i="3"/>
  <c r="X15" i="3" s="1"/>
  <c r="X16" i="3"/>
  <c r="X4" i="3"/>
  <c r="W4" i="3"/>
  <c r="U5" i="3"/>
  <c r="V5" i="3"/>
  <c r="U6" i="3"/>
  <c r="V6" i="3" s="1"/>
  <c r="U7" i="3"/>
  <c r="V7" i="3" s="1"/>
  <c r="U8" i="3"/>
  <c r="V8" i="3"/>
  <c r="U9" i="3"/>
  <c r="V9" i="3"/>
  <c r="U10" i="3"/>
  <c r="V10" i="3" s="1"/>
  <c r="U11" i="3"/>
  <c r="V11" i="3"/>
  <c r="U12" i="3"/>
  <c r="V12" i="3"/>
  <c r="U13" i="3"/>
  <c r="V13" i="3"/>
  <c r="U14" i="3"/>
  <c r="V14" i="3" s="1"/>
  <c r="U15" i="3"/>
  <c r="V15" i="3"/>
  <c r="V16" i="3"/>
  <c r="U4" i="3"/>
  <c r="S5" i="3"/>
  <c r="T5" i="3"/>
  <c r="S6" i="3"/>
  <c r="T6" i="3" s="1"/>
  <c r="T7" i="3"/>
  <c r="S8" i="3"/>
  <c r="T8" i="3"/>
  <c r="T9" i="3"/>
  <c r="S10" i="3"/>
  <c r="T10" i="3" s="1"/>
  <c r="S11" i="3"/>
  <c r="T11" i="3"/>
  <c r="S12" i="3"/>
  <c r="T12" i="3"/>
  <c r="S13" i="3"/>
  <c r="T13" i="3"/>
  <c r="S14" i="3"/>
  <c r="T14" i="3" s="1"/>
  <c r="S15" i="3"/>
  <c r="T15" i="3"/>
  <c r="T16" i="3"/>
  <c r="T4" i="3"/>
  <c r="S4" i="3"/>
  <c r="V4" i="3"/>
  <c r="Q4" i="3"/>
  <c r="Q5" i="3"/>
  <c r="Q6" i="3"/>
  <c r="Q7" i="3"/>
  <c r="Q8" i="3"/>
  <c r="Q9" i="3"/>
  <c r="Q10" i="3"/>
  <c r="Q11" i="3"/>
  <c r="Q12" i="3"/>
  <c r="Q13" i="3"/>
  <c r="Q14" i="3"/>
  <c r="Q15" i="3"/>
  <c r="Q16" i="3"/>
  <c r="Y10" i="2"/>
  <c r="Y11" i="2"/>
  <c r="Y12" i="2"/>
  <c r="Y13" i="2"/>
  <c r="Y14" i="2"/>
  <c r="Y15" i="2"/>
  <c r="Y16" i="2"/>
  <c r="Y17" i="2"/>
  <c r="Y18" i="2"/>
  <c r="Y19" i="2"/>
  <c r="Y20" i="2"/>
  <c r="Y21" i="2"/>
  <c r="Y9" i="2"/>
  <c r="AN4" i="3"/>
  <c r="AH4" i="3"/>
  <c r="AF4" i="3"/>
  <c r="R18" i="2"/>
  <c r="J9" i="2"/>
  <c r="G10" i="2"/>
  <c r="G11" i="2"/>
  <c r="G12" i="2"/>
  <c r="G13" i="2"/>
  <c r="G14" i="2"/>
  <c r="G15" i="2"/>
  <c r="G16" i="2"/>
  <c r="G17" i="2"/>
  <c r="G18" i="2"/>
  <c r="G19" i="2"/>
  <c r="G20" i="2"/>
  <c r="G21" i="2"/>
  <c r="G9" i="2"/>
  <c r="AQ12" i="3" l="1"/>
  <c r="AQ16" i="3"/>
  <c r="AS13" i="3"/>
  <c r="AS9" i="3"/>
  <c r="AQ8" i="3"/>
  <c r="AS11" i="3"/>
  <c r="AS7" i="3"/>
  <c r="AQ4" i="3"/>
  <c r="AS15" i="3"/>
  <c r="AQ14" i="3"/>
  <c r="AQ6" i="3"/>
  <c r="AS5" i="3"/>
  <c r="AQ11" i="3" l="1"/>
  <c r="AR11" i="3" s="1"/>
  <c r="AT11" i="3" s="1"/>
  <c r="AS8" i="3"/>
  <c r="AR8" i="3" s="1"/>
  <c r="AT8" i="3" s="1"/>
  <c r="AH17" i="3"/>
  <c r="Z17" i="3"/>
  <c r="AS12" i="3"/>
  <c r="AR12" i="3" s="1"/>
  <c r="AT12" i="3" s="1"/>
  <c r="AF17" i="3"/>
  <c r="AS16" i="3"/>
  <c r="AR16" i="3" s="1"/>
  <c r="AT16" i="3" s="1"/>
  <c r="AQ13" i="3"/>
  <c r="AR13" i="3" s="1"/>
  <c r="AT13" i="3" s="1"/>
  <c r="AD17" i="3"/>
  <c r="AD19" i="3" s="1"/>
  <c r="AQ15" i="3"/>
  <c r="AR15" i="3" s="1"/>
  <c r="AT15" i="3" s="1"/>
  <c r="AQ9" i="3"/>
  <c r="AR9" i="3" s="1"/>
  <c r="AT9" i="3" s="1"/>
  <c r="AL17" i="3"/>
  <c r="AL19" i="3" s="1"/>
  <c r="AQ7" i="3"/>
  <c r="AR7" i="3" s="1"/>
  <c r="AT7" i="3" s="1"/>
  <c r="AQ5" i="3"/>
  <c r="AR5" i="3" s="1"/>
  <c r="AT5" i="3" s="1"/>
  <c r="AS6" i="3"/>
  <c r="AR6" i="3" s="1"/>
  <c r="AT6" i="3" s="1"/>
  <c r="AS14" i="3"/>
  <c r="AR14" i="3" s="1"/>
  <c r="AT14" i="3" s="1"/>
  <c r="AQ10" i="3"/>
  <c r="AS10" i="3"/>
  <c r="AJ17" i="3"/>
  <c r="AJ19" i="3" s="1"/>
  <c r="AB17" i="3"/>
  <c r="AN17" i="3"/>
  <c r="AN19" i="3" s="1"/>
  <c r="V17" i="3"/>
  <c r="AR10" i="3" l="1"/>
  <c r="AT10" i="3" s="1"/>
  <c r="X17" i="3"/>
  <c r="T17" i="3"/>
  <c r="U20" i="2"/>
  <c r="L20" i="2"/>
  <c r="L21" i="2"/>
  <c r="L10" i="2"/>
  <c r="L11" i="2"/>
  <c r="L12" i="2"/>
  <c r="L13" i="2"/>
  <c r="L14" i="2"/>
  <c r="L15" i="2"/>
  <c r="L16" i="2"/>
  <c r="L17" i="2"/>
  <c r="L18" i="2"/>
  <c r="L19" i="2"/>
  <c r="L9" i="2"/>
  <c r="J10" i="2"/>
  <c r="J11" i="2"/>
  <c r="J12" i="2"/>
  <c r="J13" i="2"/>
  <c r="J14" i="2"/>
  <c r="J15" i="2"/>
  <c r="J16" i="2"/>
  <c r="J17" i="2"/>
  <c r="J18" i="2"/>
  <c r="J19" i="2"/>
  <c r="J20" i="2"/>
  <c r="J21" i="2"/>
  <c r="H20" i="2"/>
  <c r="W20" i="2" s="1"/>
  <c r="H21" i="2"/>
  <c r="H17" i="2"/>
  <c r="H12" i="2"/>
  <c r="AP8" i="3" l="1"/>
  <c r="T21" i="2"/>
  <c r="W21" i="2"/>
  <c r="V21" i="2"/>
  <c r="U21" i="2"/>
  <c r="S21" i="2"/>
  <c r="J22" i="2"/>
  <c r="L22" i="2"/>
  <c r="AP12" i="3"/>
  <c r="Z19" i="3"/>
  <c r="AP16" i="3"/>
  <c r="AP9" i="3"/>
  <c r="AP10" i="3"/>
  <c r="AP7" i="3"/>
  <c r="AP13" i="3"/>
  <c r="AP11" i="3"/>
  <c r="AP6" i="3"/>
  <c r="V19" i="3"/>
  <c r="AP15" i="3"/>
  <c r="AP5" i="3"/>
  <c r="AP14" i="3"/>
  <c r="AH19" i="3"/>
  <c r="AF19" i="3"/>
  <c r="AB19" i="3"/>
  <c r="X19" i="3"/>
  <c r="S20" i="2"/>
  <c r="T20" i="2"/>
  <c r="V20" i="2"/>
  <c r="H4" i="5"/>
  <c r="T19" i="3" l="1"/>
  <c r="X21" i="2"/>
  <c r="AS4" i="3"/>
  <c r="W17" i="2"/>
  <c r="V17" i="2"/>
  <c r="U17" i="2"/>
  <c r="T17" i="2"/>
  <c r="S17" i="2"/>
  <c r="T12" i="2"/>
  <c r="W12" i="2"/>
  <c r="V12" i="2"/>
  <c r="U12" i="2"/>
  <c r="S12" i="2"/>
  <c r="P10" i="2"/>
  <c r="P11" i="2"/>
  <c r="P12" i="2"/>
  <c r="P13" i="2"/>
  <c r="P14" i="2"/>
  <c r="P15" i="2"/>
  <c r="P16" i="2"/>
  <c r="P17" i="2"/>
  <c r="P18" i="2"/>
  <c r="P19" i="2"/>
  <c r="P20" i="2"/>
  <c r="P21" i="2"/>
  <c r="P9" i="2"/>
  <c r="R10" i="2"/>
  <c r="R11" i="2"/>
  <c r="R12" i="2"/>
  <c r="R13" i="2"/>
  <c r="R14" i="2"/>
  <c r="R15" i="2"/>
  <c r="R16" i="2"/>
  <c r="R17" i="2"/>
  <c r="R19" i="2"/>
  <c r="R20" i="2"/>
  <c r="R21" i="2"/>
  <c r="R9" i="2"/>
  <c r="P22" i="2" l="1"/>
  <c r="R22" i="2"/>
  <c r="X20" i="2"/>
  <c r="I14" i="4"/>
  <c r="I10" i="4"/>
  <c r="I6" i="4"/>
  <c r="I7" i="4"/>
  <c r="I8" i="4"/>
  <c r="I9" i="4"/>
  <c r="I11" i="4"/>
  <c r="I12" i="4"/>
  <c r="I13" i="4"/>
  <c r="I15" i="4"/>
  <c r="I16" i="4"/>
  <c r="I17" i="4"/>
  <c r="AR4" i="3" l="1"/>
  <c r="AT4" i="3" l="1"/>
  <c r="N10" i="2" l="1"/>
  <c r="N11" i="2"/>
  <c r="N12" i="2"/>
  <c r="N13" i="2"/>
  <c r="N14" i="2"/>
  <c r="N15" i="2"/>
  <c r="N16" i="2"/>
  <c r="N17" i="2"/>
  <c r="N18" i="2"/>
  <c r="N19" i="2"/>
  <c r="N20" i="2"/>
  <c r="N21" i="2"/>
  <c r="N9" i="2"/>
  <c r="H10" i="2"/>
  <c r="H11" i="2"/>
  <c r="H13" i="2"/>
  <c r="H14" i="2"/>
  <c r="H15" i="2"/>
  <c r="H16" i="2"/>
  <c r="H18" i="2"/>
  <c r="H19" i="2"/>
  <c r="H9" i="2"/>
  <c r="W16" i="2" l="1"/>
  <c r="V16" i="2"/>
  <c r="U16" i="2"/>
  <c r="T16" i="2"/>
  <c r="S16" i="2"/>
  <c r="W15" i="2"/>
  <c r="X15" i="2" s="1"/>
  <c r="V15" i="2"/>
  <c r="T15" i="2"/>
  <c r="U15" i="2"/>
  <c r="S15" i="2"/>
  <c r="S14" i="2"/>
  <c r="V14" i="2"/>
  <c r="U14" i="2"/>
  <c r="T14" i="2"/>
  <c r="W14" i="2"/>
  <c r="N22" i="2"/>
  <c r="W9" i="2"/>
  <c r="V9" i="2"/>
  <c r="U9" i="2"/>
  <c r="T9" i="2"/>
  <c r="S9" i="2"/>
  <c r="U11" i="2"/>
  <c r="T11" i="2"/>
  <c r="V11" i="2"/>
  <c r="W11" i="2"/>
  <c r="S11" i="2"/>
  <c r="V10" i="2"/>
  <c r="U10" i="2"/>
  <c r="T10" i="2"/>
  <c r="W10" i="2"/>
  <c r="S10" i="2"/>
  <c r="V19" i="2"/>
  <c r="U19" i="2"/>
  <c r="T19" i="2"/>
  <c r="W19" i="2"/>
  <c r="S19" i="2"/>
  <c r="W18" i="2"/>
  <c r="S18" i="2"/>
  <c r="V18" i="2"/>
  <c r="U18" i="2"/>
  <c r="T18" i="2"/>
  <c r="W13" i="2"/>
  <c r="S13" i="2"/>
  <c r="V13" i="2"/>
  <c r="U13" i="2"/>
  <c r="T13" i="2"/>
  <c r="X12" i="2"/>
  <c r="X17" i="2"/>
  <c r="X9" i="2" l="1"/>
  <c r="X13" i="2"/>
  <c r="X18" i="2"/>
  <c r="X10" i="2"/>
  <c r="X16" i="2"/>
  <c r="X19" i="2"/>
  <c r="X11" i="2"/>
  <c r="X14" i="2"/>
</calcChain>
</file>

<file path=xl/sharedStrings.xml><?xml version="1.0" encoding="utf-8"?>
<sst xmlns="http://schemas.openxmlformats.org/spreadsheetml/2006/main" count="218" uniqueCount="81">
  <si>
    <t>1</t>
  </si>
  <si>
    <t>UN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</si>
  <si>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</si>
  <si>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</si>
  <si>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</si>
  <si>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</si>
  <si>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</si>
  <si>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</si>
  <si>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</si>
  <si>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</si>
  <si>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</si>
  <si>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</si>
  <si>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</si>
  <si>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</si>
  <si>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DESCRPCIÓN</t>
  </si>
  <si>
    <t>ITEM</t>
  </si>
  <si>
    <t>UNIDAD</t>
  </si>
  <si>
    <t>CANT</t>
  </si>
  <si>
    <t>VALOR UNITARIO</t>
  </si>
  <si>
    <t>VALOR TOTAL</t>
  </si>
  <si>
    <t>MENOR VALOR</t>
  </si>
  <si>
    <t>MEDIA ARMONICA</t>
  </si>
  <si>
    <t>PROMEDIO</t>
  </si>
  <si>
    <t>MEDIA GEOMETRICA</t>
  </si>
  <si>
    <t>DESVIACION ESTANDAR</t>
  </si>
  <si>
    <t>COEFICIENTE DE VARIACION</t>
  </si>
  <si>
    <t>METRICA UTILIZADA</t>
  </si>
  <si>
    <t>PRECIO DE REFERENCIA UNITARIO</t>
  </si>
  <si>
    <t>BIJOS</t>
  </si>
  <si>
    <t xml:space="preserve">CANTIDAD TOTAL </t>
  </si>
  <si>
    <t xml:space="preserve">PRECIO DE REFERENCIA </t>
  </si>
  <si>
    <t>CANTIDADES MINIMAS</t>
  </si>
  <si>
    <t>CUBRIMIENTO DE LA NECESIDAD GENERAL</t>
  </si>
  <si>
    <t>CANTIDAD A ADQUIRIR</t>
  </si>
  <si>
    <t>%</t>
  </si>
  <si>
    <t>LIMITACIÓN</t>
  </si>
  <si>
    <t>PRECIO DE REFERENCIA</t>
  </si>
  <si>
    <t>VALOR TOTAL DE ACUERDO A
PRECIO DE REFERENCIA Y
CON LIMITACION DE LA
NECESIDAD</t>
  </si>
  <si>
    <t>CUMPLE</t>
  </si>
  <si>
    <t>NO CUMPLE</t>
  </si>
  <si>
    <t>ARTICULO PRESUPUESTAL</t>
  </si>
  <si>
    <t>REC</t>
  </si>
  <si>
    <t>NOMBRE CÓDIGO</t>
  </si>
  <si>
    <t>TOTAL POR RUBRO</t>
  </si>
  <si>
    <t>PROYECCIÓN ECONÓMICA</t>
  </si>
  <si>
    <t>DIFERENCIA</t>
  </si>
  <si>
    <t>02-02-01-003-03 PRODUCTOS DE HORNOS DE COQUE; PRODUCTOS DE REFINACIÓN DE PETRÓLEO Y COMBUSTIBLE NUCLEAR</t>
  </si>
  <si>
    <t>INGEAUTOS MH SAS</t>
  </si>
  <si>
    <t>HERLAN FERNEY FORERO ORTEGA</t>
  </si>
  <si>
    <t>RIC</t>
  </si>
  <si>
    <t>BATOT10</t>
  </si>
  <si>
    <t>BAACA30</t>
  </si>
  <si>
    <t>BAEEV21</t>
  </si>
  <si>
    <t>BIROV</t>
  </si>
  <si>
    <t>BICON50</t>
  </si>
  <si>
    <t>BAS30</t>
  </si>
  <si>
    <t>GGNSA</t>
  </si>
  <si>
    <t>A-02-02-01-003-003</t>
  </si>
  <si>
    <t>PRODUCTOS DE HORNOS DE COQUE; PRODUCTOS DE REFINACIÓN DE PETRÓLEO Y COMBUSTIBLE NUCLEAR</t>
  </si>
  <si>
    <t>ACEITE PARA ENGRANAJES VALVULINAS 85W/140, INDICE DE VISCOSIDAD ASTM D 2270(105); DENSIDAD ASTM D 4052(0,868) -  GALON</t>
  </si>
  <si>
    <t>ACEITE PARA TRANSMISION  80W 90 Viscosidad, ASTM D 445, cSt @ 40ºC 141, cSt @ 100ºC 14.8, Índice de viscosidad, ASMT D 2270 105, Punto de escurrimiento, ºC, ASTM D 97 -30, Punto de inflamación, ºC, ASTM D 92 230, Densidad @ 15ºC kg/l, ASTM D 4052 0.90. - GALON</t>
  </si>
  <si>
    <t>ACEITE 20W-50 4 Viscosidad, ASTM D445, cSt @ 40ºC 137,9 cSt @ 100ºC 17,1, Cenizas sulfatadas, % peso, ASTM D 874 0,93, Punto de fluidez, °C, ASTM D97 -27, Punto de inflamación, ºC, ASTM D93 212, Densidad @ 15,6ºC g/ml, ASTM D4052 0,89 -  GALON</t>
  </si>
  <si>
    <t>ACEITE 15W-40 Apariencia visual Claro y brillante Viscosidad a 100°C, cSt ASTM D-445 15 Viscosidad a 40°C, cSt ASTM D-445 113 Índice de Viscosidad ASTM D-2270 138 TBN, mg KOH/g ASTM D-2896 10 Cenizas sulfatadas, % peso ASTM D-874 1,0 Punto de Inflamación, °C ASTM D-92 240 Punto de fluidez, °C ASTM D-97 -35 Color Visual Rojo -GALON</t>
  </si>
  <si>
    <t>GRASA- RODAMIENTO PARA TRANSMISIONES, RODAMIENTOS Y ENGRANAJES. bisulfuro de molibdeno, peso %, calculado 5%, Punto de goteo, ºC, ASTM D 2265 280 Viscosidad del aceite, ASTM 445 cSt @ 40 ºC 680, Penetración, trabajada, 25 ºC, ASTM D217, 325, Cambio en la consistencia de penetración, estabilidad de rodillo, ASTM D 1831, mm/10 +10, Penetración 100.000 golpes, cambio tras 60 golpes, ASTM D 217, mm/10 +10, Movilidad a baja temperatura @ 20 ºF, M 1390, gramos/min 11, Prueba de desgaste con método de 4 bolas, ASTM D2266, muesca, mm 0.5, Carga de soldadura con método de 4 bolas, ASTM D2596, Kg 620, Presión extrema con 4 bolas, ASTM D2596, índice de carga de desgaste 91.5, Oxidación en bomba, ASTM D942, caída de la presión a las 100 hrs, kPa 20.7, Prevención de la corrosión, ASTM D1743 Pasa, Separación del aceite, ASTM D1742, % peso. Pérdida 2, Resistencia al agua, DIN 51807, clasificación 0, Corrosión de lámina de cobre, ASTM D 4048, clasificación 1ª, Resistencia al rociado Corrosión de lámina de cobre, ASTM D 4048, clasificación 1ª, Resistencia al rociado con agua, ASTM D 4049, % de rocío 38.7, Lavado con agua, ASTM D 1264, % perdida peso a 79 ºC 2.5. - - LIBRA</t>
  </si>
  <si>
    <t>LIQUIDO REFRIGERANTE DENSIDAD (kg/L) ASTM D-1122 (1.07); PUNTO DE CRISTALIZACION (°C) (°F) ASTM D-3321 &lt; (-35) (-31); Ph ASTM D-1287 (8.5)  - GALON</t>
  </si>
  <si>
    <t>LIQUIDO DE FRENOS DOT 4 presentación de 500 MILILITROS</t>
  </si>
  <si>
    <t>ACEITES HIDRAULICOS ISO 68 INDICE DE VISCOSIDAD, ASTM D2270(145); PUNTO DE CONGELACION º C, ASTM D 97 (-42); PUNTO DE INFLAMACION º C ASTM D 92(198); DENSIDAD @15ºC Kg/l, ASTM D 4052(0,88) (TELLUS 68) - GALON</t>
  </si>
  <si>
    <t xml:space="preserve">ACEITE PARA MOTOR 15W/40 GRAVEDAD ESPÉCIFICA 0.875; PUNTO DE FLUIDEZ. °C (°F) -30(-22); INDICE DE VISCOSIDAD (143) - GALON </t>
  </si>
  <si>
    <t>ACEITE PARA ENGRANAJES VALVULINAS 80W/90 , INDICE DE VISCOSIDAD ASTM D 2270(105);DENSIDAD ASTM D 4052(0,868) GALON</t>
  </si>
  <si>
    <t>GRASA DE LITIO ROJA EP2 DE EXTREMA PRESIÓN Y FRICCIÓN KILO</t>
  </si>
  <si>
    <t>ACEITE 2 TM SUPER 12/0.95L /0,25 USG - 1/4 GALON</t>
  </si>
  <si>
    <t>VALOR CONTRATO 031-2024</t>
  </si>
  <si>
    <t>VALOR HISTORICO INDEXADO IPC 5,20% 2024 CONTRATO 031-2024</t>
  </si>
  <si>
    <t>GRASA DE LITIO ROJA Y/O AZUL EP2 DE EXTREMA PRESIÓN Y FRICCIÓN- BALDE</t>
  </si>
  <si>
    <t>INVERSIONES RD S.A.S.</t>
  </si>
  <si>
    <t>TECNICOMPACTOS DEL ORIENTE LIMITADA</t>
  </si>
  <si>
    <t>GRUPO EMPRESARIAL PATRIFRED S.A.S.</t>
  </si>
  <si>
    <t>BISAN</t>
  </si>
  <si>
    <t>BATOT8</t>
  </si>
  <si>
    <t xml:space="preserve"> Cuando la dispersión de los datos es menor o igual al 20% se establece como criterio la MEDIA ARMONICA DE LOS PRECIOS COTIZADOS Y EL VALOR HISTORICO como una medida de tendencia central. 
 Cuando la dispersión de los datos se encuentre entre 21% al 50% se establece como criterio el MENOR VALOR entre los PRECIOS COTIZADOS Y EL VALOR HISTORICO ya que no existe variaciones sustanciales entre los datos.
 Cuando la dispersión de los datos se encuentre entre 51% al 90% se establece como criterio la MEDIA GEOMETRICA LOS PRECIOS COTIZADOS Y EL VALOR HISTORICOcomo una medida de tendencia central.
 Cuando la dispersión de los datos se superior al 91% se establece como criterio el PROMEDIO LOS PRECIOS COTIZADOS Y EL VALOR HISTORICO como una medida de tendencia central.                                                                                                                                        </t>
  </si>
  <si>
    <t>RIC-BIJOS-BASPC-GGNSA-BATOT8-BATOT10-BISAN-BIROV-BAACA30-BAEEV21-BICON50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</si>
</sst>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  <numFmt numFmtId="165" formatCode="_-* #,##0_-;\-* #,##0_-;_-* &quot;-&quot;??_-;_-@_-"/>
    <numFmt numFmtId="166" formatCode="#,##0_ ;\-#,##0\ "/>
    <numFmt numFmtId="167" formatCode="_-&quot;$&quot;\ * #,##0_-;\-&quot;$&quot;\ * #,##0_-;_-&quot;$&quot;\ * &quot;-&quot;??_-;_-@_-"/>
  </numFmts>
  <fonts count="15" x14ac:knownFonts="1">
    <font>
      <sz val="10"/>
      <color theme="1"/>
      <name val="Arial"/>
      <family val="2"/>
    </font>
    <font>
      <b/>
      <sz val="10"/>
      <color theme="1"/>
      <name val="Verdana"/>
      <family val="2"/>
    </font>
    <font>
      <b/>
      <sz val="10"/>
      <color theme="1"/>
      <name val="Arial"/>
      <family val="2"/>
    </font>
    <font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name val="Arial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10"/>
      <name val="Arial Narrow"/>
      <family val="2"/>
    </font>
    <font>
      <sz val="8"/>
      <color theme="1"/>
      <name val="Arial Narrow"/>
      <family val="2"/>
    </font>
    <font>
      <sz val="8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788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1" fillId="3" borderId="0" applyNumberFormat="0" applyBorder="0" applyProtection="0">
      <alignment horizontal="center" vertical="center"/>
    </xf>
    <xf numFmtId="0" fontId="1" fillId="4" borderId="0" applyNumberFormat="0" applyBorder="0" applyProtection="0">
      <alignment horizontal="center" vertical="center"/>
    </xf>
    <xf numFmtId="0" fontId="1" fillId="2" borderId="0" applyNumberFormat="0" applyBorder="0" applyProtection="0">
      <alignment horizontal="center" vertical="center" wrapText="1"/>
    </xf>
    <xf numFmtId="0" fontId="1" fillId="2" borderId="0" applyNumberFormat="0" applyBorder="0" applyProtection="0">
      <alignment horizontal="right" vertical="center" wrapText="1"/>
    </xf>
    <xf numFmtId="0" fontId="1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1" fillId="0" borderId="0" applyNumberFormat="0" applyFill="0" applyBorder="0" applyProtection="0">
      <alignment horizontal="left" vertical="center"/>
    </xf>
    <xf numFmtId="0" fontId="1" fillId="0" borderId="0" applyNumberFormat="0" applyFill="0" applyBorder="0" applyProtection="0">
      <alignment horizontal="right" vertical="center"/>
    </xf>
    <xf numFmtId="164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4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0" fontId="5" fillId="6" borderId="0" applyNumberFormat="0" applyFont="0" applyBorder="0" applyAlignment="0" applyProtection="0"/>
    <xf numFmtId="0" fontId="5" fillId="7" borderId="0" applyNumberFormat="0" applyFont="0" applyBorder="0" applyProtection="0">
      <alignment horizontal="right"/>
    </xf>
    <xf numFmtId="0" fontId="2" fillId="7" borderId="0" applyNumberFormat="0" applyBorder="0" applyProtection="0">
      <alignment horizontal="right"/>
    </xf>
    <xf numFmtId="0" fontId="5" fillId="8" borderId="0" applyNumberFormat="0" applyFont="0" applyBorder="0" applyProtection="0">
      <alignment horizontal="right"/>
    </xf>
    <xf numFmtId="0" fontId="5" fillId="9" borderId="0" applyNumberFormat="0" applyFont="0" applyBorder="0" applyProtection="0">
      <alignment horizontal="right"/>
    </xf>
    <xf numFmtId="43" fontId="5" fillId="0" borderId="0" applyFont="0" applyFill="0" applyBorder="0" applyAlignment="0" applyProtection="0"/>
    <xf numFmtId="0" fontId="9" fillId="0" borderId="0"/>
    <xf numFmtId="44" fontId="5" fillId="0" borderId="0" applyFont="0" applyFill="0" applyBorder="0" applyAlignment="0" applyProtection="0"/>
  </cellStyleXfs>
  <cellXfs count="89">
    <xf numFmtId="0" fontId="0" fillId="0" borderId="0" xfId="0"/>
    <xf numFmtId="4" fontId="6" fillId="11" borderId="1" xfId="0" applyNumberFormat="1" applyFont="1" applyFill="1" applyBorder="1" applyAlignment="1" applyProtection="1">
      <alignment horizontal="center" vertical="center"/>
      <protection hidden="1"/>
    </xf>
    <xf numFmtId="4" fontId="6" fillId="12" borderId="1" xfId="0" applyNumberFormat="1" applyFont="1" applyFill="1" applyBorder="1" applyAlignment="1" applyProtection="1">
      <alignment horizontal="center" vertical="center" wrapText="1"/>
      <protection hidden="1"/>
    </xf>
    <xf numFmtId="165" fontId="6" fillId="1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17" borderId="1" xfId="0" applyFont="1" applyFill="1" applyBorder="1" applyAlignment="1" applyProtection="1">
      <alignment wrapText="1"/>
      <protection hidden="1"/>
    </xf>
    <xf numFmtId="0" fontId="8" fillId="17" borderId="1" xfId="0" applyFont="1" applyFill="1" applyBorder="1" applyAlignment="1" applyProtection="1">
      <alignment horizontal="center" wrapText="1"/>
      <protection hidden="1"/>
    </xf>
    <xf numFmtId="0" fontId="10" fillId="18" borderId="1" xfId="0" applyFont="1" applyFill="1" applyBorder="1" applyAlignment="1" applyProtection="1">
      <alignment horizontal="center" vertical="center" wrapText="1"/>
      <protection hidden="1"/>
    </xf>
    <xf numFmtId="165" fontId="10" fillId="18" borderId="1" xfId="31" applyNumberFormat="1" applyFont="1" applyFill="1" applyBorder="1" applyAlignment="1" applyProtection="1">
      <alignment horizontal="center" vertical="center" wrapText="1"/>
      <protection hidden="1"/>
    </xf>
    <xf numFmtId="0" fontId="11" fillId="9" borderId="1" xfId="0" applyFont="1" applyFill="1" applyBorder="1" applyAlignment="1" applyProtection="1">
      <alignment horizontal="center" vertical="center" wrapText="1"/>
      <protection hidden="1"/>
    </xf>
    <xf numFmtId="167" fontId="11" fillId="9" borderId="1" xfId="33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1" fontId="2" fillId="3" borderId="1" xfId="0" applyNumberFormat="1" applyFont="1" applyFill="1" applyBorder="1" applyAlignment="1" applyProtection="1">
      <alignment horizontal="center" vertical="center"/>
      <protection hidden="1"/>
    </xf>
    <xf numFmtId="1" fontId="2" fillId="3" borderId="1" xfId="0" applyNumberFormat="1" applyFont="1" applyFill="1" applyBorder="1" applyAlignment="1" applyProtection="1">
      <alignment vertical="center"/>
      <protection hidden="1"/>
    </xf>
    <xf numFmtId="1" fontId="2" fillId="3" borderId="1" xfId="0" applyNumberFormat="1" applyFont="1" applyFill="1" applyBorder="1" applyAlignment="1" applyProtection="1">
      <alignment horizontal="center" wrapText="1"/>
      <protection hidden="1"/>
    </xf>
    <xf numFmtId="1" fontId="2" fillId="14" borderId="1" xfId="0" applyNumberFormat="1" applyFont="1" applyFill="1" applyBorder="1" applyAlignment="1" applyProtection="1">
      <alignment horizontal="center" wrapText="1"/>
      <protection hidden="1"/>
    </xf>
    <xf numFmtId="1" fontId="2" fillId="3" borderId="1" xfId="0" applyNumberFormat="1" applyFont="1" applyFill="1" applyBorder="1" applyProtection="1">
      <protection hidden="1"/>
    </xf>
    <xf numFmtId="1" fontId="2" fillId="3" borderId="1" xfId="0" applyNumberFormat="1" applyFont="1" applyFill="1" applyBorder="1" applyAlignment="1" applyProtection="1">
      <alignment horizontal="center"/>
      <protection hidden="1"/>
    </xf>
    <xf numFmtId="0" fontId="0" fillId="10" borderId="3" xfId="0" applyFill="1" applyBorder="1" applyProtection="1">
      <protection hidden="1"/>
    </xf>
    <xf numFmtId="0" fontId="2" fillId="10" borderId="3" xfId="0" applyFont="1" applyFill="1" applyBorder="1" applyProtection="1">
      <protection hidden="1"/>
    </xf>
    <xf numFmtId="0" fontId="0" fillId="10" borderId="0" xfId="0" applyFill="1" applyProtection="1">
      <protection hidden="1"/>
    </xf>
    <xf numFmtId="0" fontId="0" fillId="10" borderId="2" xfId="0" applyFill="1" applyBorder="1" applyProtection="1">
      <protection hidden="1"/>
    </xf>
    <xf numFmtId="0" fontId="0" fillId="0" borderId="1" xfId="0" applyBorder="1" applyProtection="1">
      <protection hidden="1"/>
    </xf>
    <xf numFmtId="49" fontId="3" fillId="0" borderId="1" xfId="13" applyBorder="1" applyProtection="1">
      <alignment horizontal="left" vertical="center"/>
      <protection hidden="1"/>
    </xf>
    <xf numFmtId="0" fontId="0" fillId="0" borderId="1" xfId="0" applyBorder="1" applyAlignment="1" applyProtection="1">
      <alignment horizontal="center"/>
      <protection hidden="1"/>
    </xf>
    <xf numFmtId="1" fontId="0" fillId="0" borderId="1" xfId="0" applyNumberFormat="1" applyBorder="1" applyProtection="1">
      <protection hidden="1"/>
    </xf>
    <xf numFmtId="165" fontId="0" fillId="0" borderId="1" xfId="31" applyNumberFormat="1" applyFont="1" applyBorder="1" applyProtection="1">
      <protection hidden="1"/>
    </xf>
    <xf numFmtId="166" fontId="0" fillId="0" borderId="1" xfId="31" applyNumberFormat="1" applyFont="1" applyBorder="1" applyProtection="1">
      <protection hidden="1"/>
    </xf>
    <xf numFmtId="165" fontId="0" fillId="0" borderId="1" xfId="31" applyNumberFormat="1" applyFont="1" applyFill="1" applyBorder="1" applyProtection="1">
      <protection hidden="1"/>
    </xf>
    <xf numFmtId="165" fontId="0" fillId="0" borderId="1" xfId="0" applyNumberFormat="1" applyBorder="1" applyProtection="1">
      <protection hidden="1"/>
    </xf>
    <xf numFmtId="166" fontId="0" fillId="0" borderId="1" xfId="0" applyNumberFormat="1" applyBorder="1" applyProtection="1">
      <protection hidden="1"/>
    </xf>
    <xf numFmtId="2" fontId="0" fillId="0" borderId="1" xfId="0" applyNumberFormat="1" applyBorder="1" applyProtection="1">
      <protection hidden="1"/>
    </xf>
    <xf numFmtId="166" fontId="0" fillId="0" borderId="0" xfId="0" applyNumberFormat="1" applyProtection="1">
      <protection hidden="1"/>
    </xf>
    <xf numFmtId="165" fontId="0" fillId="0" borderId="4" xfId="31" applyNumberFormat="1" applyFont="1" applyBorder="1" applyProtection="1">
      <protection hidden="1"/>
    </xf>
    <xf numFmtId="165" fontId="0" fillId="0" borderId="0" xfId="0" applyNumberFormat="1" applyProtection="1">
      <protection hidden="1"/>
    </xf>
    <xf numFmtId="43" fontId="0" fillId="0" borderId="1" xfId="0" applyNumberFormat="1" applyBorder="1" applyProtection="1">
      <protection hidden="1"/>
    </xf>
    <xf numFmtId="165" fontId="0" fillId="15" borderId="1" xfId="31" applyNumberFormat="1" applyFont="1" applyFill="1" applyBorder="1" applyProtection="1">
      <protection hidden="1"/>
    </xf>
    <xf numFmtId="1" fontId="8" fillId="3" borderId="1" xfId="0" applyNumberFormat="1" applyFont="1" applyFill="1" applyBorder="1" applyAlignment="1" applyProtection="1">
      <alignment horizontal="center" vertical="center"/>
      <protection hidden="1"/>
    </xf>
    <xf numFmtId="1" fontId="8" fillId="3" borderId="5" xfId="0" applyNumberFormat="1" applyFont="1" applyFill="1" applyBorder="1" applyAlignment="1" applyProtection="1">
      <alignment vertical="center"/>
      <protection hidden="1"/>
    </xf>
    <xf numFmtId="0" fontId="7" fillId="0" borderId="0" xfId="0" applyFont="1" applyProtection="1">
      <protection hidden="1"/>
    </xf>
    <xf numFmtId="0" fontId="7" fillId="10" borderId="3" xfId="0" applyFont="1" applyFill="1" applyBorder="1" applyAlignment="1" applyProtection="1">
      <alignment horizontal="center"/>
      <protection hidden="1"/>
    </xf>
    <xf numFmtId="0" fontId="7" fillId="10" borderId="0" xfId="0" applyFont="1" applyFill="1" applyProtection="1">
      <protection hidden="1"/>
    </xf>
    <xf numFmtId="0" fontId="7" fillId="10" borderId="1" xfId="0" applyFont="1" applyFill="1" applyBorder="1" applyProtection="1">
      <protection hidden="1"/>
    </xf>
    <xf numFmtId="0" fontId="7" fillId="0" borderId="1" xfId="0" applyFont="1" applyBorder="1" applyProtection="1">
      <protection hidden="1"/>
    </xf>
    <xf numFmtId="165" fontId="7" fillId="0" borderId="1" xfId="0" applyNumberFormat="1" applyFont="1" applyBorder="1" applyProtection="1">
      <protection hidden="1"/>
    </xf>
    <xf numFmtId="49" fontId="7" fillId="0" borderId="1" xfId="13" applyFont="1" applyBorder="1" applyAlignment="1" applyProtection="1">
      <alignment horizontal="center" vertical="center"/>
      <protection hidden="1"/>
    </xf>
    <xf numFmtId="1" fontId="7" fillId="0" borderId="1" xfId="0" applyNumberFormat="1" applyFont="1" applyBorder="1" applyProtection="1">
      <protection hidden="1"/>
    </xf>
    <xf numFmtId="165" fontId="7" fillId="0" borderId="1" xfId="31" applyNumberFormat="1" applyFont="1" applyBorder="1" applyProtection="1">
      <protection hidden="1"/>
    </xf>
    <xf numFmtId="165" fontId="7" fillId="0" borderId="0" xfId="0" applyNumberFormat="1" applyFont="1" applyProtection="1">
      <protection hidden="1"/>
    </xf>
    <xf numFmtId="165" fontId="7" fillId="0" borderId="0" xfId="31" applyNumberFormat="1" applyFont="1" applyProtection="1">
      <protection hidden="1"/>
    </xf>
    <xf numFmtId="1" fontId="8" fillId="3" borderId="5" xfId="0" applyNumberFormat="1" applyFont="1" applyFill="1" applyBorder="1" applyAlignment="1" applyProtection="1">
      <alignment horizontal="center" vertical="center"/>
      <protection hidden="1"/>
    </xf>
    <xf numFmtId="0" fontId="9" fillId="19" borderId="1" xfId="0" applyFont="1" applyFill="1" applyBorder="1" applyAlignment="1">
      <alignment horizontal="justify" vertical="center" wrapText="1"/>
    </xf>
    <xf numFmtId="0" fontId="5" fillId="19" borderId="1" xfId="0" applyFont="1" applyFill="1" applyBorder="1" applyAlignment="1">
      <alignment horizontal="justify" vertical="center" wrapText="1"/>
    </xf>
    <xf numFmtId="0" fontId="5" fillId="19" borderId="1" xfId="0" applyFont="1" applyFill="1" applyBorder="1" applyAlignment="1">
      <alignment horizontal="left" vertical="center" wrapText="1"/>
    </xf>
    <xf numFmtId="0" fontId="0" fillId="19" borderId="1" xfId="0" applyFill="1" applyBorder="1" applyAlignment="1">
      <alignment horizontal="justify" vertical="center"/>
    </xf>
    <xf numFmtId="0" fontId="0" fillId="19" borderId="1" xfId="0" applyFill="1" applyBorder="1" applyAlignment="1">
      <alignment horizontal="justify" vertical="center" wrapText="1"/>
    </xf>
    <xf numFmtId="165" fontId="0" fillId="0" borderId="4" xfId="0" applyNumberFormat="1" applyBorder="1" applyProtection="1">
      <protection hidden="1"/>
    </xf>
    <xf numFmtId="165" fontId="0" fillId="0" borderId="1" xfId="31" applyNumberFormat="1" applyFont="1" applyFill="1" applyBorder="1"/>
    <xf numFmtId="0" fontId="12" fillId="19" borderId="1" xfId="0" applyFont="1" applyFill="1" applyBorder="1" applyAlignment="1">
      <alignment horizontal="justify" vertical="center" wrapText="1"/>
    </xf>
    <xf numFmtId="0" fontId="7" fillId="0" borderId="1" xfId="0" applyFont="1" applyBorder="1" applyAlignment="1" applyProtection="1">
      <alignment horizontal="center"/>
      <protection hidden="1"/>
    </xf>
    <xf numFmtId="0" fontId="7" fillId="19" borderId="1" xfId="0" applyFont="1" applyFill="1" applyBorder="1" applyAlignment="1">
      <alignment horizontal="justify" vertical="center"/>
    </xf>
    <xf numFmtId="0" fontId="7" fillId="19" borderId="1" xfId="0" applyFont="1" applyFill="1" applyBorder="1" applyAlignment="1">
      <alignment horizontal="justify" vertical="center" wrapText="1"/>
    </xf>
    <xf numFmtId="0" fontId="7" fillId="19" borderId="1" xfId="0" applyFont="1" applyFill="1" applyBorder="1" applyAlignment="1">
      <alignment horizontal="left" vertical="center" wrapText="1"/>
    </xf>
    <xf numFmtId="0" fontId="6" fillId="16" borderId="1" xfId="32" applyFont="1" applyFill="1" applyBorder="1" applyAlignment="1" applyProtection="1">
      <alignment horizontal="center" vertical="center" wrapText="1"/>
      <protection hidden="1"/>
    </xf>
    <xf numFmtId="0" fontId="2" fillId="10" borderId="3" xfId="0" applyFont="1" applyFill="1" applyBorder="1" applyAlignment="1" applyProtection="1">
      <alignment wrapText="1"/>
      <protection hidden="1"/>
    </xf>
    <xf numFmtId="43" fontId="7" fillId="0" borderId="0" xfId="0" applyNumberFormat="1" applyFont="1" applyProtection="1">
      <protection hidden="1"/>
    </xf>
    <xf numFmtId="43" fontId="7" fillId="15" borderId="0" xfId="31" applyFont="1" applyFill="1" applyProtection="1">
      <protection hidden="1"/>
    </xf>
    <xf numFmtId="43" fontId="7" fillId="15" borderId="0" xfId="31" applyFont="1" applyFill="1" applyBorder="1" applyProtection="1">
      <protection hidden="1"/>
    </xf>
    <xf numFmtId="0" fontId="7" fillId="10" borderId="3" xfId="0" applyFont="1" applyFill="1" applyBorder="1" applyAlignment="1" applyProtection="1">
      <alignment horizontal="center" vertical="center"/>
      <protection hidden="1"/>
    </xf>
    <xf numFmtId="1" fontId="0" fillId="0" borderId="7" xfId="0" applyNumberFormat="1" applyBorder="1" applyProtection="1">
      <protection hidden="1"/>
    </xf>
    <xf numFmtId="1" fontId="0" fillId="0" borderId="1" xfId="0" applyNumberFormat="1" applyBorder="1"/>
    <xf numFmtId="165" fontId="0" fillId="15" borderId="1" xfId="0" applyNumberFormat="1" applyFill="1" applyBorder="1" applyProtection="1">
      <protection hidden="1"/>
    </xf>
    <xf numFmtId="0" fontId="8" fillId="10" borderId="3" xfId="0" applyFont="1" applyFill="1" applyBorder="1" applyAlignment="1" applyProtection="1">
      <alignment horizontal="left" wrapText="1"/>
      <protection hidden="1"/>
    </xf>
    <xf numFmtId="0" fontId="9" fillId="0" borderId="1" xfId="0" applyFont="1" applyBorder="1" applyAlignment="1">
      <alignment horizontal="center" vertical="center"/>
    </xf>
    <xf numFmtId="0" fontId="9" fillId="19" borderId="1" xfId="0" applyFont="1" applyFill="1" applyBorder="1" applyAlignment="1">
      <alignment horizontal="center" vertical="center"/>
    </xf>
    <xf numFmtId="0" fontId="9" fillId="22" borderId="1" xfId="0" applyFont="1" applyFill="1" applyBorder="1" applyAlignment="1">
      <alignment horizontal="center" vertical="center"/>
    </xf>
    <xf numFmtId="43" fontId="7" fillId="15" borderId="0" xfId="0" applyNumberFormat="1" applyFont="1" applyFill="1" applyProtection="1">
      <protection hidden="1"/>
    </xf>
    <xf numFmtId="8" fontId="13" fillId="0" borderId="1" xfId="0" applyNumberFormat="1" applyFont="1" applyBorder="1" applyAlignment="1">
      <alignment vertical="center"/>
    </xf>
    <xf numFmtId="0" fontId="1" fillId="21" borderId="1" xfId="9" applyFill="1" applyBorder="1">
      <alignment horizontal="center" vertical="center" wrapText="1"/>
    </xf>
    <xf numFmtId="0" fontId="1" fillId="12" borderId="1" xfId="9" applyFill="1" applyBorder="1">
      <alignment horizontal="center" vertical="center" wrapText="1"/>
    </xf>
    <xf numFmtId="0" fontId="1" fillId="11" borderId="1" xfId="9" applyFill="1" applyBorder="1">
      <alignment horizontal="center" vertical="center" wrapText="1"/>
    </xf>
    <xf numFmtId="0" fontId="1" fillId="13" borderId="1" xfId="9" applyFill="1" applyBorder="1">
      <alignment horizontal="center" vertical="center" wrapText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0" fontId="1" fillId="20" borderId="1" xfId="9" applyFill="1" applyBorder="1">
      <alignment horizontal="center" vertical="center" wrapText="1"/>
    </xf>
    <xf numFmtId="0" fontId="6" fillId="16" borderId="5" xfId="32" applyFont="1" applyFill="1" applyBorder="1" applyAlignment="1" applyProtection="1">
      <alignment horizontal="center" vertical="center" wrapText="1"/>
      <protection hidden="1"/>
    </xf>
    <xf numFmtId="0" fontId="6" fillId="16" borderId="6" xfId="32" applyFont="1" applyFill="1" applyBorder="1" applyAlignment="1" applyProtection="1">
      <alignment horizontal="center" vertical="center" wrapText="1"/>
      <protection hidden="1"/>
    </xf>
    <xf numFmtId="0" fontId="6" fillId="16" borderId="7" xfId="32" applyFont="1" applyFill="1" applyBorder="1" applyAlignment="1" applyProtection="1">
      <alignment horizontal="center" vertical="center" wrapText="1"/>
      <protection hidden="1"/>
    </xf>
  </cellXfs>
  <cellStyles count="34">
    <cellStyle name="AnalysisIndexDark" xfId="27" xr:uid="{00000000-0005-0000-0000-000000000000}"/>
    <cellStyle name="AnalysisIndexDarkBold" xfId="28" xr:uid="{00000000-0005-0000-0000-000001000000}"/>
    <cellStyle name="AnalysisIndexLight" xfId="29" xr:uid="{00000000-0005-0000-0000-000002000000}"/>
    <cellStyle name="AnalysisIndexWhite" xfId="30" xr:uid="{00000000-0005-0000-0000-000003000000}"/>
    <cellStyle name="BodyStyle" xfId="13" xr:uid="{00000000-0005-0000-0000-000004000000}"/>
    <cellStyle name="BodyStyleBold" xfId="14" xr:uid="{00000000-0005-0000-0000-000005000000}"/>
    <cellStyle name="BodyStyleBoldRight" xfId="15" xr:uid="{00000000-0005-0000-0000-000006000000}"/>
    <cellStyle name="BodyStyleWithBorder" xfId="21" xr:uid="{00000000-0005-0000-0000-000007000000}"/>
    <cellStyle name="BorderThinBlack" xfId="25" xr:uid="{00000000-0005-0000-0000-000008000000}"/>
    <cellStyle name="Comma" xfId="4" xr:uid="{00000000-0005-0000-0000-000009000000}"/>
    <cellStyle name="Comma [0]" xfId="5" xr:uid="{00000000-0005-0000-0000-00000A000000}"/>
    <cellStyle name="Currency" xfId="2" xr:uid="{00000000-0005-0000-0000-00000B000000}"/>
    <cellStyle name="Currency [0]" xfId="3" xr:uid="{00000000-0005-0000-0000-00000C000000}"/>
    <cellStyle name="DateStyle" xfId="17" xr:uid="{00000000-0005-0000-0000-00000D000000}"/>
    <cellStyle name="DateTimeStyle" xfId="18" xr:uid="{00000000-0005-0000-0000-00000E000000}"/>
    <cellStyle name="Decimal" xfId="20" xr:uid="{00000000-0005-0000-0000-00000F000000}"/>
    <cellStyle name="DecimalWithBorder" xfId="24" xr:uid="{00000000-0005-0000-0000-000010000000}"/>
    <cellStyle name="EuroCurrency" xfId="16" xr:uid="{00000000-0005-0000-0000-000011000000}"/>
    <cellStyle name="EuroCurrencyWithBorder" xfId="22" xr:uid="{00000000-0005-0000-0000-000012000000}"/>
    <cellStyle name="HeaderStyle" xfId="7" xr:uid="{00000000-0005-0000-0000-000013000000}"/>
    <cellStyle name="HeaderSubTop" xfId="11" xr:uid="{00000000-0005-0000-0000-000014000000}"/>
    <cellStyle name="HeaderSubTopNoBold" xfId="12" xr:uid="{00000000-0005-0000-0000-000015000000}"/>
    <cellStyle name="HeaderTopBuyer" xfId="8" xr:uid="{00000000-0005-0000-0000-000016000000}"/>
    <cellStyle name="HeaderTopStyle" xfId="9" xr:uid="{00000000-0005-0000-0000-000017000000}"/>
    <cellStyle name="HeaderTopStyleAlignRight" xfId="10" xr:uid="{00000000-0005-0000-0000-000018000000}"/>
    <cellStyle name="IsSelectedStyle" xfId="26" xr:uid="{00000000-0005-0000-0000-000019000000}"/>
    <cellStyle name="MainTitle" xfId="6" xr:uid="{00000000-0005-0000-0000-00001A000000}"/>
    <cellStyle name="Millares" xfId="31" builtinId="3"/>
    <cellStyle name="Moneda" xfId="33" builtinId="4"/>
    <cellStyle name="Normal" xfId="0" builtinId="0"/>
    <cellStyle name="Normal 2" xfId="32" xr:uid="{00000000-0005-0000-0000-00001E000000}"/>
    <cellStyle name="Numeric" xfId="19" xr:uid="{00000000-0005-0000-0000-00001F000000}"/>
    <cellStyle name="NumericWithBorder" xfId="23" xr:uid="{00000000-0005-0000-0000-000020000000}"/>
    <cellStyle name="Percent" xfId="1" xr:uid="{00000000-0005-0000-0000-000021000000}"/>
  </cellStyles>
  <dxfs count="3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517525</xdr:colOff>
      <xdr:row>21</xdr:row>
      <xdr:rowOff>0</xdr:rowOff>
    </xdr:from>
    <xdr:ext cx="1160690" cy="19050"/>
    <xdr:sp macro="" textlink="">
      <xdr:nvSpPr>
        <xdr:cNvPr id="2" name="Rectangle 24">
          <a:extLst>
            <a:ext uri="{FF2B5EF4-FFF2-40B4-BE49-F238E27FC236}">
              <a16:creationId xmlns:a16="http://schemas.microsoft.com/office/drawing/2014/main" id="{E1E013ED-D187-456F-A77F-1DE4EF09E5D5}"/>
            </a:ext>
          </a:extLst>
        </xdr:cNvPr>
        <xdr:cNvSpPr>
          <a:spLocks noChangeArrowheads="1"/>
        </xdr:cNvSpPr>
      </xdr:nvSpPr>
      <xdr:spPr bwMode="auto">
        <a:xfrm>
          <a:off x="1447165" y="30457140"/>
          <a:ext cx="116069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517525</xdr:colOff>
      <xdr:row>21</xdr:row>
      <xdr:rowOff>0</xdr:rowOff>
    </xdr:from>
    <xdr:ext cx="1778000" cy="19050"/>
    <xdr:sp macro="" textlink="">
      <xdr:nvSpPr>
        <xdr:cNvPr id="3" name="Rectangle 24">
          <a:extLst>
            <a:ext uri="{FF2B5EF4-FFF2-40B4-BE49-F238E27FC236}">
              <a16:creationId xmlns:a16="http://schemas.microsoft.com/office/drawing/2014/main" id="{FC40A48C-A551-492D-87B6-375752EFF24A}"/>
            </a:ext>
          </a:extLst>
        </xdr:cNvPr>
        <xdr:cNvSpPr>
          <a:spLocks noChangeArrowheads="1"/>
        </xdr:cNvSpPr>
      </xdr:nvSpPr>
      <xdr:spPr bwMode="auto">
        <a:xfrm>
          <a:off x="1447165" y="3045714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4" name="Picture 8993">
          <a:extLst>
            <a:ext uri="{FF2B5EF4-FFF2-40B4-BE49-F238E27FC236}">
              <a16:creationId xmlns:a16="http://schemas.microsoft.com/office/drawing/2014/main" id="{4D3B28D4-4BDC-470A-9039-48A3ED7206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5" name="Picture 8994">
          <a:extLst>
            <a:ext uri="{FF2B5EF4-FFF2-40B4-BE49-F238E27FC236}">
              <a16:creationId xmlns:a16="http://schemas.microsoft.com/office/drawing/2014/main" id="{6A536F95-EAE9-45FA-A514-DC6AEEC6FD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6" name="Picture 8995">
          <a:extLst>
            <a:ext uri="{FF2B5EF4-FFF2-40B4-BE49-F238E27FC236}">
              <a16:creationId xmlns:a16="http://schemas.microsoft.com/office/drawing/2014/main" id="{A1FA52D6-1630-4D6B-BA38-0D738C989E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7" name="Picture 8996">
          <a:extLst>
            <a:ext uri="{FF2B5EF4-FFF2-40B4-BE49-F238E27FC236}">
              <a16:creationId xmlns:a16="http://schemas.microsoft.com/office/drawing/2014/main" id="{381B9E8F-E738-4936-B86E-370DBD5AB5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8" name="Picture 8997">
          <a:extLst>
            <a:ext uri="{FF2B5EF4-FFF2-40B4-BE49-F238E27FC236}">
              <a16:creationId xmlns:a16="http://schemas.microsoft.com/office/drawing/2014/main" id="{60894B4D-8990-43BF-8089-153F13E3F7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9" name="Picture 8998">
          <a:extLst>
            <a:ext uri="{FF2B5EF4-FFF2-40B4-BE49-F238E27FC236}">
              <a16:creationId xmlns:a16="http://schemas.microsoft.com/office/drawing/2014/main" id="{C3F8A675-6DEC-4B02-A571-79B905B90A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0" name="Picture 8999">
          <a:extLst>
            <a:ext uri="{FF2B5EF4-FFF2-40B4-BE49-F238E27FC236}">
              <a16:creationId xmlns:a16="http://schemas.microsoft.com/office/drawing/2014/main" id="{3B95606E-5AA7-4455-8DC6-DCDFB03E9A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1" name="Picture 9000">
          <a:extLst>
            <a:ext uri="{FF2B5EF4-FFF2-40B4-BE49-F238E27FC236}">
              <a16:creationId xmlns:a16="http://schemas.microsoft.com/office/drawing/2014/main" id="{1ED6C1E7-0730-41B1-A4B3-40ADC5F07A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2" name="Picture 9001">
          <a:extLst>
            <a:ext uri="{FF2B5EF4-FFF2-40B4-BE49-F238E27FC236}">
              <a16:creationId xmlns:a16="http://schemas.microsoft.com/office/drawing/2014/main" id="{CD3026A4-BCC0-43BC-8FB0-EEA74F84A7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3" name="Picture 9002">
          <a:extLst>
            <a:ext uri="{FF2B5EF4-FFF2-40B4-BE49-F238E27FC236}">
              <a16:creationId xmlns:a16="http://schemas.microsoft.com/office/drawing/2014/main" id="{6E9BE15F-BC62-469E-8259-9B240EA3B1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4" name="Picture 9003">
          <a:extLst>
            <a:ext uri="{FF2B5EF4-FFF2-40B4-BE49-F238E27FC236}">
              <a16:creationId xmlns:a16="http://schemas.microsoft.com/office/drawing/2014/main" id="{B8601133-11ED-4085-831C-6B4048D186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5" name="Picture 9004">
          <a:extLst>
            <a:ext uri="{FF2B5EF4-FFF2-40B4-BE49-F238E27FC236}">
              <a16:creationId xmlns:a16="http://schemas.microsoft.com/office/drawing/2014/main" id="{BAF0D3AF-FBF4-448B-BB4A-04591072DD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6" name="Picture 9065">
          <a:extLst>
            <a:ext uri="{FF2B5EF4-FFF2-40B4-BE49-F238E27FC236}">
              <a16:creationId xmlns:a16="http://schemas.microsoft.com/office/drawing/2014/main" id="{C9D3D0D8-DC58-4FC6-973E-1AAA4AB013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7" name="Picture 9066">
          <a:extLst>
            <a:ext uri="{FF2B5EF4-FFF2-40B4-BE49-F238E27FC236}">
              <a16:creationId xmlns:a16="http://schemas.microsoft.com/office/drawing/2014/main" id="{DE24E747-CD69-4687-8DF7-D93583539A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8" name="Picture 9067">
          <a:extLst>
            <a:ext uri="{FF2B5EF4-FFF2-40B4-BE49-F238E27FC236}">
              <a16:creationId xmlns:a16="http://schemas.microsoft.com/office/drawing/2014/main" id="{A52580BD-B9CD-468C-BBF7-C26ED70E42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9" name="Picture 9068">
          <a:extLst>
            <a:ext uri="{FF2B5EF4-FFF2-40B4-BE49-F238E27FC236}">
              <a16:creationId xmlns:a16="http://schemas.microsoft.com/office/drawing/2014/main" id="{4C45F1EA-D21C-4747-8C41-0E40F7B427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20" name="Picture 9069">
          <a:extLst>
            <a:ext uri="{FF2B5EF4-FFF2-40B4-BE49-F238E27FC236}">
              <a16:creationId xmlns:a16="http://schemas.microsoft.com/office/drawing/2014/main" id="{824DA372-98D1-46CE-B70E-4C123CA095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21" name="Picture 9070">
          <a:extLst>
            <a:ext uri="{FF2B5EF4-FFF2-40B4-BE49-F238E27FC236}">
              <a16:creationId xmlns:a16="http://schemas.microsoft.com/office/drawing/2014/main" id="{388E76DB-FDB7-4226-89ED-9300625C68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22" name="Picture 9071">
          <a:extLst>
            <a:ext uri="{FF2B5EF4-FFF2-40B4-BE49-F238E27FC236}">
              <a16:creationId xmlns:a16="http://schemas.microsoft.com/office/drawing/2014/main" id="{A01D9DF1-76A8-4612-A7AE-67CFDFD0ED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23" name="Picture 9072">
          <a:extLst>
            <a:ext uri="{FF2B5EF4-FFF2-40B4-BE49-F238E27FC236}">
              <a16:creationId xmlns:a16="http://schemas.microsoft.com/office/drawing/2014/main" id="{B8FBC8C0-2E32-43A8-87B4-CC137013E6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24" name="Picture 9073">
          <a:extLst>
            <a:ext uri="{FF2B5EF4-FFF2-40B4-BE49-F238E27FC236}">
              <a16:creationId xmlns:a16="http://schemas.microsoft.com/office/drawing/2014/main" id="{466E88A4-E4F8-427B-8110-77D929A758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25" name="Picture 9074">
          <a:extLst>
            <a:ext uri="{FF2B5EF4-FFF2-40B4-BE49-F238E27FC236}">
              <a16:creationId xmlns:a16="http://schemas.microsoft.com/office/drawing/2014/main" id="{39B4BAA4-D0EC-4BC0-A2AF-44C0C1FD8D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26" name="Picture 9075">
          <a:extLst>
            <a:ext uri="{FF2B5EF4-FFF2-40B4-BE49-F238E27FC236}">
              <a16:creationId xmlns:a16="http://schemas.microsoft.com/office/drawing/2014/main" id="{8456E893-524B-4FEA-AA10-B73A54488E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27" name="Picture 9076">
          <a:extLst>
            <a:ext uri="{FF2B5EF4-FFF2-40B4-BE49-F238E27FC236}">
              <a16:creationId xmlns:a16="http://schemas.microsoft.com/office/drawing/2014/main" id="{AC1D6833-E051-4A66-8FD9-6EE8F29A66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28" name="Picture 8993">
          <a:extLst>
            <a:ext uri="{FF2B5EF4-FFF2-40B4-BE49-F238E27FC236}">
              <a16:creationId xmlns:a16="http://schemas.microsoft.com/office/drawing/2014/main" id="{01D8A027-5B42-4EE3-B197-50C2989642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29" name="Picture 8994">
          <a:extLst>
            <a:ext uri="{FF2B5EF4-FFF2-40B4-BE49-F238E27FC236}">
              <a16:creationId xmlns:a16="http://schemas.microsoft.com/office/drawing/2014/main" id="{FE97B835-1B23-4165-9D6C-070E1F55FB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30" name="Picture 8995">
          <a:extLst>
            <a:ext uri="{FF2B5EF4-FFF2-40B4-BE49-F238E27FC236}">
              <a16:creationId xmlns:a16="http://schemas.microsoft.com/office/drawing/2014/main" id="{67F04557-D696-4249-BFA3-9A11F19657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31" name="Picture 8996">
          <a:extLst>
            <a:ext uri="{FF2B5EF4-FFF2-40B4-BE49-F238E27FC236}">
              <a16:creationId xmlns:a16="http://schemas.microsoft.com/office/drawing/2014/main" id="{9783F301-C50B-463B-B96E-80BA79091D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32" name="Picture 8997">
          <a:extLst>
            <a:ext uri="{FF2B5EF4-FFF2-40B4-BE49-F238E27FC236}">
              <a16:creationId xmlns:a16="http://schemas.microsoft.com/office/drawing/2014/main" id="{6A884C8B-1310-4049-B66D-B194FD235D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33" name="Picture 8998">
          <a:extLst>
            <a:ext uri="{FF2B5EF4-FFF2-40B4-BE49-F238E27FC236}">
              <a16:creationId xmlns:a16="http://schemas.microsoft.com/office/drawing/2014/main" id="{B91C3C0E-44A4-4044-8ECB-070F6F03D5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34" name="Picture 8999">
          <a:extLst>
            <a:ext uri="{FF2B5EF4-FFF2-40B4-BE49-F238E27FC236}">
              <a16:creationId xmlns:a16="http://schemas.microsoft.com/office/drawing/2014/main" id="{0438A0F0-67D0-48E7-AAE0-6C4E957E2B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35" name="Picture 9000">
          <a:extLst>
            <a:ext uri="{FF2B5EF4-FFF2-40B4-BE49-F238E27FC236}">
              <a16:creationId xmlns:a16="http://schemas.microsoft.com/office/drawing/2014/main" id="{35452ADB-119B-40BA-A33E-40F52FD353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36" name="Picture 9001">
          <a:extLst>
            <a:ext uri="{FF2B5EF4-FFF2-40B4-BE49-F238E27FC236}">
              <a16:creationId xmlns:a16="http://schemas.microsoft.com/office/drawing/2014/main" id="{A02749D4-CAC3-430E-85AA-DAC7C78C66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37" name="Picture 9002">
          <a:extLst>
            <a:ext uri="{FF2B5EF4-FFF2-40B4-BE49-F238E27FC236}">
              <a16:creationId xmlns:a16="http://schemas.microsoft.com/office/drawing/2014/main" id="{1452623A-3870-47AE-B74E-5073085F15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38" name="Picture 9003">
          <a:extLst>
            <a:ext uri="{FF2B5EF4-FFF2-40B4-BE49-F238E27FC236}">
              <a16:creationId xmlns:a16="http://schemas.microsoft.com/office/drawing/2014/main" id="{87842E38-86C6-45A3-BC92-FD2CB1F13E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39" name="Picture 9004">
          <a:extLst>
            <a:ext uri="{FF2B5EF4-FFF2-40B4-BE49-F238E27FC236}">
              <a16:creationId xmlns:a16="http://schemas.microsoft.com/office/drawing/2014/main" id="{165DBF6F-CB90-44B9-820B-20BDEA5166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40" name="Picture 9065">
          <a:extLst>
            <a:ext uri="{FF2B5EF4-FFF2-40B4-BE49-F238E27FC236}">
              <a16:creationId xmlns:a16="http://schemas.microsoft.com/office/drawing/2014/main" id="{C42543D4-A0D1-4830-922A-F0531B6AE8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41" name="Picture 9066">
          <a:extLst>
            <a:ext uri="{FF2B5EF4-FFF2-40B4-BE49-F238E27FC236}">
              <a16:creationId xmlns:a16="http://schemas.microsoft.com/office/drawing/2014/main" id="{0D500662-EB77-4D9B-90AF-3F3E1E8399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42" name="Picture 9067">
          <a:extLst>
            <a:ext uri="{FF2B5EF4-FFF2-40B4-BE49-F238E27FC236}">
              <a16:creationId xmlns:a16="http://schemas.microsoft.com/office/drawing/2014/main" id="{23D90C23-21FD-4AB7-B39B-DC9F285C87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43" name="Picture 9068">
          <a:extLst>
            <a:ext uri="{FF2B5EF4-FFF2-40B4-BE49-F238E27FC236}">
              <a16:creationId xmlns:a16="http://schemas.microsoft.com/office/drawing/2014/main" id="{B4CD0A55-A17C-4069-BE38-102D87F412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44" name="Picture 9069">
          <a:extLst>
            <a:ext uri="{FF2B5EF4-FFF2-40B4-BE49-F238E27FC236}">
              <a16:creationId xmlns:a16="http://schemas.microsoft.com/office/drawing/2014/main" id="{6C315F68-84AA-49AE-A871-40937AF6AC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45" name="Picture 9070">
          <a:extLst>
            <a:ext uri="{FF2B5EF4-FFF2-40B4-BE49-F238E27FC236}">
              <a16:creationId xmlns:a16="http://schemas.microsoft.com/office/drawing/2014/main" id="{B2755F98-4C4F-4060-9DA0-DAF4FE2163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46" name="Picture 9071">
          <a:extLst>
            <a:ext uri="{FF2B5EF4-FFF2-40B4-BE49-F238E27FC236}">
              <a16:creationId xmlns:a16="http://schemas.microsoft.com/office/drawing/2014/main" id="{7DA30EFF-A56E-4993-9E0C-C86B22CDC5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47" name="Picture 9072">
          <a:extLst>
            <a:ext uri="{FF2B5EF4-FFF2-40B4-BE49-F238E27FC236}">
              <a16:creationId xmlns:a16="http://schemas.microsoft.com/office/drawing/2014/main" id="{CF6A2F3D-F0B4-4714-B358-722DC7529E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48" name="Picture 9073">
          <a:extLst>
            <a:ext uri="{FF2B5EF4-FFF2-40B4-BE49-F238E27FC236}">
              <a16:creationId xmlns:a16="http://schemas.microsoft.com/office/drawing/2014/main" id="{265D170D-69B8-4323-8B49-12C098A7D3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49" name="Picture 9074">
          <a:extLst>
            <a:ext uri="{FF2B5EF4-FFF2-40B4-BE49-F238E27FC236}">
              <a16:creationId xmlns:a16="http://schemas.microsoft.com/office/drawing/2014/main" id="{FAED3680-E5AF-43ED-A9F5-EA93F478E1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50" name="Picture 9075">
          <a:extLst>
            <a:ext uri="{FF2B5EF4-FFF2-40B4-BE49-F238E27FC236}">
              <a16:creationId xmlns:a16="http://schemas.microsoft.com/office/drawing/2014/main" id="{786F7784-895B-4F01-8B34-B31D98B261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51" name="Picture 9076">
          <a:extLst>
            <a:ext uri="{FF2B5EF4-FFF2-40B4-BE49-F238E27FC236}">
              <a16:creationId xmlns:a16="http://schemas.microsoft.com/office/drawing/2014/main" id="{DFA9A715-925D-46F2-9321-BDCF97174A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52" name="Picture 8993">
          <a:extLst>
            <a:ext uri="{FF2B5EF4-FFF2-40B4-BE49-F238E27FC236}">
              <a16:creationId xmlns:a16="http://schemas.microsoft.com/office/drawing/2014/main" id="{30E80ABB-1393-482D-BAB1-F5A2110593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53" name="Picture 8994">
          <a:extLst>
            <a:ext uri="{FF2B5EF4-FFF2-40B4-BE49-F238E27FC236}">
              <a16:creationId xmlns:a16="http://schemas.microsoft.com/office/drawing/2014/main" id="{FAFE093A-E767-4FA7-9E1E-0933358C85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54" name="Picture 8995">
          <a:extLst>
            <a:ext uri="{FF2B5EF4-FFF2-40B4-BE49-F238E27FC236}">
              <a16:creationId xmlns:a16="http://schemas.microsoft.com/office/drawing/2014/main" id="{F984D4EA-C0A5-41CB-8409-69703EC875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55" name="Picture 8996">
          <a:extLst>
            <a:ext uri="{FF2B5EF4-FFF2-40B4-BE49-F238E27FC236}">
              <a16:creationId xmlns:a16="http://schemas.microsoft.com/office/drawing/2014/main" id="{4566BFEA-D0B3-4EB2-8588-7CE079B4A6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56" name="Picture 8997">
          <a:extLst>
            <a:ext uri="{FF2B5EF4-FFF2-40B4-BE49-F238E27FC236}">
              <a16:creationId xmlns:a16="http://schemas.microsoft.com/office/drawing/2014/main" id="{DB5FD5D1-27D3-4DAA-A373-4564E49324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57" name="Picture 8998">
          <a:extLst>
            <a:ext uri="{FF2B5EF4-FFF2-40B4-BE49-F238E27FC236}">
              <a16:creationId xmlns:a16="http://schemas.microsoft.com/office/drawing/2014/main" id="{11570B44-4B81-4E67-8A04-32029BE415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58" name="Picture 8999">
          <a:extLst>
            <a:ext uri="{FF2B5EF4-FFF2-40B4-BE49-F238E27FC236}">
              <a16:creationId xmlns:a16="http://schemas.microsoft.com/office/drawing/2014/main" id="{F22836B4-6101-4A8E-AB7E-B8B425904C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59" name="Picture 9000">
          <a:extLst>
            <a:ext uri="{FF2B5EF4-FFF2-40B4-BE49-F238E27FC236}">
              <a16:creationId xmlns:a16="http://schemas.microsoft.com/office/drawing/2014/main" id="{99961356-EC06-4FB0-ADEE-33842D0105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60" name="Picture 9001">
          <a:extLst>
            <a:ext uri="{FF2B5EF4-FFF2-40B4-BE49-F238E27FC236}">
              <a16:creationId xmlns:a16="http://schemas.microsoft.com/office/drawing/2014/main" id="{323C7075-0710-483E-BC95-4985ABF5FB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61" name="Picture 9002">
          <a:extLst>
            <a:ext uri="{FF2B5EF4-FFF2-40B4-BE49-F238E27FC236}">
              <a16:creationId xmlns:a16="http://schemas.microsoft.com/office/drawing/2014/main" id="{8C6E9DD8-7B4A-435C-8A0E-8D2E9D778A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62" name="Picture 9003">
          <a:extLst>
            <a:ext uri="{FF2B5EF4-FFF2-40B4-BE49-F238E27FC236}">
              <a16:creationId xmlns:a16="http://schemas.microsoft.com/office/drawing/2014/main" id="{F7109309-BC17-444B-B0A9-F254CF51A8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63" name="Picture 9004">
          <a:extLst>
            <a:ext uri="{FF2B5EF4-FFF2-40B4-BE49-F238E27FC236}">
              <a16:creationId xmlns:a16="http://schemas.microsoft.com/office/drawing/2014/main" id="{5DB289B6-86EB-489F-AB3C-3E53F0EAFA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64" name="Picture 9065">
          <a:extLst>
            <a:ext uri="{FF2B5EF4-FFF2-40B4-BE49-F238E27FC236}">
              <a16:creationId xmlns:a16="http://schemas.microsoft.com/office/drawing/2014/main" id="{2575AFB8-2575-4299-A083-765BD987DB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65" name="Picture 9066">
          <a:extLst>
            <a:ext uri="{FF2B5EF4-FFF2-40B4-BE49-F238E27FC236}">
              <a16:creationId xmlns:a16="http://schemas.microsoft.com/office/drawing/2014/main" id="{E2E2C981-E0ED-4011-BC9C-1E117BF709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66" name="Picture 9067">
          <a:extLst>
            <a:ext uri="{FF2B5EF4-FFF2-40B4-BE49-F238E27FC236}">
              <a16:creationId xmlns:a16="http://schemas.microsoft.com/office/drawing/2014/main" id="{8E17BF82-D42C-4C66-AFDB-59A4F483C0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67" name="Picture 9068">
          <a:extLst>
            <a:ext uri="{FF2B5EF4-FFF2-40B4-BE49-F238E27FC236}">
              <a16:creationId xmlns:a16="http://schemas.microsoft.com/office/drawing/2014/main" id="{35AB6431-DC84-435B-84EC-CC9ADA7EC7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68" name="Picture 9069">
          <a:extLst>
            <a:ext uri="{FF2B5EF4-FFF2-40B4-BE49-F238E27FC236}">
              <a16:creationId xmlns:a16="http://schemas.microsoft.com/office/drawing/2014/main" id="{D234CC22-301D-4528-B9E4-156D6B5BFD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69" name="Picture 9070">
          <a:extLst>
            <a:ext uri="{FF2B5EF4-FFF2-40B4-BE49-F238E27FC236}">
              <a16:creationId xmlns:a16="http://schemas.microsoft.com/office/drawing/2014/main" id="{E81F4279-F2A2-43F1-AE80-ADFBB1979C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70" name="Picture 9071">
          <a:extLst>
            <a:ext uri="{FF2B5EF4-FFF2-40B4-BE49-F238E27FC236}">
              <a16:creationId xmlns:a16="http://schemas.microsoft.com/office/drawing/2014/main" id="{579A1CCE-FAEE-4A09-A40E-355EDB6230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71" name="Picture 9072">
          <a:extLst>
            <a:ext uri="{FF2B5EF4-FFF2-40B4-BE49-F238E27FC236}">
              <a16:creationId xmlns:a16="http://schemas.microsoft.com/office/drawing/2014/main" id="{2E357083-96D4-4EDD-9F2D-3DC82F4F10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72" name="Picture 9073">
          <a:extLst>
            <a:ext uri="{FF2B5EF4-FFF2-40B4-BE49-F238E27FC236}">
              <a16:creationId xmlns:a16="http://schemas.microsoft.com/office/drawing/2014/main" id="{A087E482-0C4B-4662-A016-002DEC70A5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73" name="Picture 9074">
          <a:extLst>
            <a:ext uri="{FF2B5EF4-FFF2-40B4-BE49-F238E27FC236}">
              <a16:creationId xmlns:a16="http://schemas.microsoft.com/office/drawing/2014/main" id="{011B77DB-7712-4D60-B82A-4B17418DF4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74" name="Picture 9075">
          <a:extLst>
            <a:ext uri="{FF2B5EF4-FFF2-40B4-BE49-F238E27FC236}">
              <a16:creationId xmlns:a16="http://schemas.microsoft.com/office/drawing/2014/main" id="{1C901074-4B5A-4099-91F8-A3A94338CF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75" name="Picture 9076">
          <a:extLst>
            <a:ext uri="{FF2B5EF4-FFF2-40B4-BE49-F238E27FC236}">
              <a16:creationId xmlns:a16="http://schemas.microsoft.com/office/drawing/2014/main" id="{005A7666-85A4-474B-9DCA-A71E7648C8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76" name="Picture 8993">
          <a:extLst>
            <a:ext uri="{FF2B5EF4-FFF2-40B4-BE49-F238E27FC236}">
              <a16:creationId xmlns:a16="http://schemas.microsoft.com/office/drawing/2014/main" id="{95DA384E-3582-4E5C-9B42-A30CA2F18B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77" name="Picture 8994">
          <a:extLst>
            <a:ext uri="{FF2B5EF4-FFF2-40B4-BE49-F238E27FC236}">
              <a16:creationId xmlns:a16="http://schemas.microsoft.com/office/drawing/2014/main" id="{43E6B706-217D-41DD-893F-8B19CD8489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78" name="Picture 8995">
          <a:extLst>
            <a:ext uri="{FF2B5EF4-FFF2-40B4-BE49-F238E27FC236}">
              <a16:creationId xmlns:a16="http://schemas.microsoft.com/office/drawing/2014/main" id="{DFBB961C-7708-414C-93E4-459A750965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79" name="Picture 8996">
          <a:extLst>
            <a:ext uri="{FF2B5EF4-FFF2-40B4-BE49-F238E27FC236}">
              <a16:creationId xmlns:a16="http://schemas.microsoft.com/office/drawing/2014/main" id="{5F6BC45A-FE10-4F1F-B583-9CF63670ED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80" name="Picture 8997">
          <a:extLst>
            <a:ext uri="{FF2B5EF4-FFF2-40B4-BE49-F238E27FC236}">
              <a16:creationId xmlns:a16="http://schemas.microsoft.com/office/drawing/2014/main" id="{8598BE30-E98B-4A62-B0CA-71493C5075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81" name="Picture 8998">
          <a:extLst>
            <a:ext uri="{FF2B5EF4-FFF2-40B4-BE49-F238E27FC236}">
              <a16:creationId xmlns:a16="http://schemas.microsoft.com/office/drawing/2014/main" id="{37C1E075-5EE7-4A3F-A5AD-704DAA4925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82" name="Picture 8999">
          <a:extLst>
            <a:ext uri="{FF2B5EF4-FFF2-40B4-BE49-F238E27FC236}">
              <a16:creationId xmlns:a16="http://schemas.microsoft.com/office/drawing/2014/main" id="{DD2ABAEE-7443-4E47-A470-12D81D3E4B5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83" name="Picture 9000">
          <a:extLst>
            <a:ext uri="{FF2B5EF4-FFF2-40B4-BE49-F238E27FC236}">
              <a16:creationId xmlns:a16="http://schemas.microsoft.com/office/drawing/2014/main" id="{A437C846-2F79-4161-A85A-EB3063850F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84" name="Picture 9001">
          <a:extLst>
            <a:ext uri="{FF2B5EF4-FFF2-40B4-BE49-F238E27FC236}">
              <a16:creationId xmlns:a16="http://schemas.microsoft.com/office/drawing/2014/main" id="{B7E13CE1-BAFC-429F-80DF-B21BD0F760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85" name="Picture 9002">
          <a:extLst>
            <a:ext uri="{FF2B5EF4-FFF2-40B4-BE49-F238E27FC236}">
              <a16:creationId xmlns:a16="http://schemas.microsoft.com/office/drawing/2014/main" id="{61BC62D6-CBD7-4ADF-AAD9-736BC83AF1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86" name="Picture 9003">
          <a:extLst>
            <a:ext uri="{FF2B5EF4-FFF2-40B4-BE49-F238E27FC236}">
              <a16:creationId xmlns:a16="http://schemas.microsoft.com/office/drawing/2014/main" id="{34174B1B-307F-42AE-BDD6-3298A20DDB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87" name="Picture 9004">
          <a:extLst>
            <a:ext uri="{FF2B5EF4-FFF2-40B4-BE49-F238E27FC236}">
              <a16:creationId xmlns:a16="http://schemas.microsoft.com/office/drawing/2014/main" id="{6C7A46C6-0AA8-4945-AA13-66027BD920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88" name="Picture 9065">
          <a:extLst>
            <a:ext uri="{FF2B5EF4-FFF2-40B4-BE49-F238E27FC236}">
              <a16:creationId xmlns:a16="http://schemas.microsoft.com/office/drawing/2014/main" id="{F88B20A4-4F97-49D3-950E-EF69FC6A42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89" name="Picture 9066">
          <a:extLst>
            <a:ext uri="{FF2B5EF4-FFF2-40B4-BE49-F238E27FC236}">
              <a16:creationId xmlns:a16="http://schemas.microsoft.com/office/drawing/2014/main" id="{80A0B6E3-D762-4227-97D6-D6F9C8CBA5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90" name="Picture 9067">
          <a:extLst>
            <a:ext uri="{FF2B5EF4-FFF2-40B4-BE49-F238E27FC236}">
              <a16:creationId xmlns:a16="http://schemas.microsoft.com/office/drawing/2014/main" id="{3E5F1890-2064-4388-A76D-4F5DAE704B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91" name="Picture 9068">
          <a:extLst>
            <a:ext uri="{FF2B5EF4-FFF2-40B4-BE49-F238E27FC236}">
              <a16:creationId xmlns:a16="http://schemas.microsoft.com/office/drawing/2014/main" id="{85D270B8-ED5F-46A1-8800-80B859FA3D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92" name="Picture 9069">
          <a:extLst>
            <a:ext uri="{FF2B5EF4-FFF2-40B4-BE49-F238E27FC236}">
              <a16:creationId xmlns:a16="http://schemas.microsoft.com/office/drawing/2014/main" id="{A4E051E9-3F3F-47B5-A6AC-1FC62A4661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93" name="Picture 9070">
          <a:extLst>
            <a:ext uri="{FF2B5EF4-FFF2-40B4-BE49-F238E27FC236}">
              <a16:creationId xmlns:a16="http://schemas.microsoft.com/office/drawing/2014/main" id="{BA716394-3740-46E4-800E-AC776F955A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94" name="Picture 9071">
          <a:extLst>
            <a:ext uri="{FF2B5EF4-FFF2-40B4-BE49-F238E27FC236}">
              <a16:creationId xmlns:a16="http://schemas.microsoft.com/office/drawing/2014/main" id="{D3FDC6ED-CF76-4AC2-8C88-6758409B48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95" name="Picture 9072">
          <a:extLst>
            <a:ext uri="{FF2B5EF4-FFF2-40B4-BE49-F238E27FC236}">
              <a16:creationId xmlns:a16="http://schemas.microsoft.com/office/drawing/2014/main" id="{DF3C098C-67F7-429D-973D-3B18368D82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96" name="Picture 9073">
          <a:extLst>
            <a:ext uri="{FF2B5EF4-FFF2-40B4-BE49-F238E27FC236}">
              <a16:creationId xmlns:a16="http://schemas.microsoft.com/office/drawing/2014/main" id="{FB51861F-430E-411E-BB5C-DFABC833DD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97" name="Picture 9074">
          <a:extLst>
            <a:ext uri="{FF2B5EF4-FFF2-40B4-BE49-F238E27FC236}">
              <a16:creationId xmlns:a16="http://schemas.microsoft.com/office/drawing/2014/main" id="{A7064799-0A1D-4F7C-8E66-81EA212A4C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98" name="Picture 9075">
          <a:extLst>
            <a:ext uri="{FF2B5EF4-FFF2-40B4-BE49-F238E27FC236}">
              <a16:creationId xmlns:a16="http://schemas.microsoft.com/office/drawing/2014/main" id="{DC9B4A74-21B5-43FD-8F47-DDCB791DD4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99" name="Picture 9076">
          <a:extLst>
            <a:ext uri="{FF2B5EF4-FFF2-40B4-BE49-F238E27FC236}">
              <a16:creationId xmlns:a16="http://schemas.microsoft.com/office/drawing/2014/main" id="{EF1DF9EB-E69B-4986-ADFD-B84CE73BF0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517525</xdr:colOff>
      <xdr:row>21</xdr:row>
      <xdr:rowOff>0</xdr:rowOff>
    </xdr:from>
    <xdr:ext cx="1162051" cy="19050"/>
    <xdr:sp macro="" textlink="">
      <xdr:nvSpPr>
        <xdr:cNvPr id="100" name="Rectangle 24">
          <a:extLst>
            <a:ext uri="{FF2B5EF4-FFF2-40B4-BE49-F238E27FC236}">
              <a16:creationId xmlns:a16="http://schemas.microsoft.com/office/drawing/2014/main" id="{B1E0054F-40F1-4D39-B904-DB28BB14C802}"/>
            </a:ext>
          </a:extLst>
        </xdr:cNvPr>
        <xdr:cNvSpPr>
          <a:spLocks noChangeArrowheads="1"/>
        </xdr:cNvSpPr>
      </xdr:nvSpPr>
      <xdr:spPr bwMode="auto">
        <a:xfrm>
          <a:off x="1447165" y="30457140"/>
          <a:ext cx="1162051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517525</xdr:colOff>
      <xdr:row>21</xdr:row>
      <xdr:rowOff>0</xdr:rowOff>
    </xdr:from>
    <xdr:ext cx="1778000" cy="19050"/>
    <xdr:sp macro="" textlink="">
      <xdr:nvSpPr>
        <xdr:cNvPr id="101" name="Rectangle 24">
          <a:extLst>
            <a:ext uri="{FF2B5EF4-FFF2-40B4-BE49-F238E27FC236}">
              <a16:creationId xmlns:a16="http://schemas.microsoft.com/office/drawing/2014/main" id="{B1332EFB-6F1D-4369-A86B-60C8EE42D137}"/>
            </a:ext>
          </a:extLst>
        </xdr:cNvPr>
        <xdr:cNvSpPr>
          <a:spLocks noChangeArrowheads="1"/>
        </xdr:cNvSpPr>
      </xdr:nvSpPr>
      <xdr:spPr bwMode="auto">
        <a:xfrm>
          <a:off x="1447165" y="3045714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02" name="Picture 8993">
          <a:extLst>
            <a:ext uri="{FF2B5EF4-FFF2-40B4-BE49-F238E27FC236}">
              <a16:creationId xmlns:a16="http://schemas.microsoft.com/office/drawing/2014/main" id="{112E6200-9593-41C0-A0CA-608F442844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03" name="Picture 8994">
          <a:extLst>
            <a:ext uri="{FF2B5EF4-FFF2-40B4-BE49-F238E27FC236}">
              <a16:creationId xmlns:a16="http://schemas.microsoft.com/office/drawing/2014/main" id="{A2C50A9E-5A69-4409-80E6-6B4347C2C4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04" name="Picture 8995">
          <a:extLst>
            <a:ext uri="{FF2B5EF4-FFF2-40B4-BE49-F238E27FC236}">
              <a16:creationId xmlns:a16="http://schemas.microsoft.com/office/drawing/2014/main" id="{F98A7F69-D093-465B-812A-7E3AF22B7A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05" name="Picture 8996">
          <a:extLst>
            <a:ext uri="{FF2B5EF4-FFF2-40B4-BE49-F238E27FC236}">
              <a16:creationId xmlns:a16="http://schemas.microsoft.com/office/drawing/2014/main" id="{54DF6595-1A98-4809-99AF-7F14D6BE88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06" name="Picture 8997">
          <a:extLst>
            <a:ext uri="{FF2B5EF4-FFF2-40B4-BE49-F238E27FC236}">
              <a16:creationId xmlns:a16="http://schemas.microsoft.com/office/drawing/2014/main" id="{98DC56B2-A9D5-4CDD-AF62-92D32FB578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07" name="Picture 8998">
          <a:extLst>
            <a:ext uri="{FF2B5EF4-FFF2-40B4-BE49-F238E27FC236}">
              <a16:creationId xmlns:a16="http://schemas.microsoft.com/office/drawing/2014/main" id="{78889057-1C2C-4296-A118-0D196F890D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08" name="Picture 8999">
          <a:extLst>
            <a:ext uri="{FF2B5EF4-FFF2-40B4-BE49-F238E27FC236}">
              <a16:creationId xmlns:a16="http://schemas.microsoft.com/office/drawing/2014/main" id="{E72576F2-3256-4E06-BABE-98CC3D82F7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09" name="Picture 9000">
          <a:extLst>
            <a:ext uri="{FF2B5EF4-FFF2-40B4-BE49-F238E27FC236}">
              <a16:creationId xmlns:a16="http://schemas.microsoft.com/office/drawing/2014/main" id="{CA5F5C6E-2AD5-4DCF-8140-9564475203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10" name="Picture 9001">
          <a:extLst>
            <a:ext uri="{FF2B5EF4-FFF2-40B4-BE49-F238E27FC236}">
              <a16:creationId xmlns:a16="http://schemas.microsoft.com/office/drawing/2014/main" id="{6690099F-47DE-4994-BC9B-71461181528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11" name="Picture 9002">
          <a:extLst>
            <a:ext uri="{FF2B5EF4-FFF2-40B4-BE49-F238E27FC236}">
              <a16:creationId xmlns:a16="http://schemas.microsoft.com/office/drawing/2014/main" id="{A37CCD2E-801A-45A4-99AE-00F53C0A82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12" name="Picture 9003">
          <a:extLst>
            <a:ext uri="{FF2B5EF4-FFF2-40B4-BE49-F238E27FC236}">
              <a16:creationId xmlns:a16="http://schemas.microsoft.com/office/drawing/2014/main" id="{64E94EF4-2E5A-4DC9-8475-58427C0DE7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13" name="Picture 9004">
          <a:extLst>
            <a:ext uri="{FF2B5EF4-FFF2-40B4-BE49-F238E27FC236}">
              <a16:creationId xmlns:a16="http://schemas.microsoft.com/office/drawing/2014/main" id="{C1F8A5A4-8D19-4B6C-A30F-B569F496D0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14" name="Picture 9065">
          <a:extLst>
            <a:ext uri="{FF2B5EF4-FFF2-40B4-BE49-F238E27FC236}">
              <a16:creationId xmlns:a16="http://schemas.microsoft.com/office/drawing/2014/main" id="{C4CFF95C-236D-4E6C-87AC-AA37510006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15" name="Picture 9066">
          <a:extLst>
            <a:ext uri="{FF2B5EF4-FFF2-40B4-BE49-F238E27FC236}">
              <a16:creationId xmlns:a16="http://schemas.microsoft.com/office/drawing/2014/main" id="{06142C26-F0EB-4FE2-82C4-02894575DE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16" name="Picture 9067">
          <a:extLst>
            <a:ext uri="{FF2B5EF4-FFF2-40B4-BE49-F238E27FC236}">
              <a16:creationId xmlns:a16="http://schemas.microsoft.com/office/drawing/2014/main" id="{E905CC05-A100-4A33-A10F-49B3D15F5C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17" name="Picture 9068">
          <a:extLst>
            <a:ext uri="{FF2B5EF4-FFF2-40B4-BE49-F238E27FC236}">
              <a16:creationId xmlns:a16="http://schemas.microsoft.com/office/drawing/2014/main" id="{D5C37BF9-41AC-4460-8037-8202B45F0E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18" name="Picture 9069">
          <a:extLst>
            <a:ext uri="{FF2B5EF4-FFF2-40B4-BE49-F238E27FC236}">
              <a16:creationId xmlns:a16="http://schemas.microsoft.com/office/drawing/2014/main" id="{ED88B123-449F-4609-A7A4-7639DACB9A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19" name="Picture 9070">
          <a:extLst>
            <a:ext uri="{FF2B5EF4-FFF2-40B4-BE49-F238E27FC236}">
              <a16:creationId xmlns:a16="http://schemas.microsoft.com/office/drawing/2014/main" id="{FC3ACEED-EC1B-432D-9B85-01F126F3BA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20" name="Picture 9071">
          <a:extLst>
            <a:ext uri="{FF2B5EF4-FFF2-40B4-BE49-F238E27FC236}">
              <a16:creationId xmlns:a16="http://schemas.microsoft.com/office/drawing/2014/main" id="{BEC2CC2B-BA95-4443-AF88-0E76C6FBD2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21" name="Picture 9072">
          <a:extLst>
            <a:ext uri="{FF2B5EF4-FFF2-40B4-BE49-F238E27FC236}">
              <a16:creationId xmlns:a16="http://schemas.microsoft.com/office/drawing/2014/main" id="{1D17F89F-E168-4F3F-8B1F-AFE180A8F2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22" name="Picture 9073">
          <a:extLst>
            <a:ext uri="{FF2B5EF4-FFF2-40B4-BE49-F238E27FC236}">
              <a16:creationId xmlns:a16="http://schemas.microsoft.com/office/drawing/2014/main" id="{E9122E14-D2F5-4CF8-A1EB-C2C2D8318D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23" name="Picture 9074">
          <a:extLst>
            <a:ext uri="{FF2B5EF4-FFF2-40B4-BE49-F238E27FC236}">
              <a16:creationId xmlns:a16="http://schemas.microsoft.com/office/drawing/2014/main" id="{E4FB8B43-32DD-4549-BEF3-23E575ACBD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24" name="Picture 9075">
          <a:extLst>
            <a:ext uri="{FF2B5EF4-FFF2-40B4-BE49-F238E27FC236}">
              <a16:creationId xmlns:a16="http://schemas.microsoft.com/office/drawing/2014/main" id="{6B50A974-604D-403C-B722-DD2075551F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25" name="Picture 9076">
          <a:extLst>
            <a:ext uri="{FF2B5EF4-FFF2-40B4-BE49-F238E27FC236}">
              <a16:creationId xmlns:a16="http://schemas.microsoft.com/office/drawing/2014/main" id="{7BEB8CE4-3320-4D29-93D4-F3BA17C163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26" name="Picture 8993">
          <a:extLst>
            <a:ext uri="{FF2B5EF4-FFF2-40B4-BE49-F238E27FC236}">
              <a16:creationId xmlns:a16="http://schemas.microsoft.com/office/drawing/2014/main" id="{57D5C559-97C0-4164-96E6-171E19E9E4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27" name="Picture 8994">
          <a:extLst>
            <a:ext uri="{FF2B5EF4-FFF2-40B4-BE49-F238E27FC236}">
              <a16:creationId xmlns:a16="http://schemas.microsoft.com/office/drawing/2014/main" id="{67789C92-44C5-4CF6-B8BE-AE737AF098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28" name="Picture 8995">
          <a:extLst>
            <a:ext uri="{FF2B5EF4-FFF2-40B4-BE49-F238E27FC236}">
              <a16:creationId xmlns:a16="http://schemas.microsoft.com/office/drawing/2014/main" id="{FDCA9A00-E00A-4D7A-A0F5-7AB5DFD379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29" name="Picture 8996">
          <a:extLst>
            <a:ext uri="{FF2B5EF4-FFF2-40B4-BE49-F238E27FC236}">
              <a16:creationId xmlns:a16="http://schemas.microsoft.com/office/drawing/2014/main" id="{B6A61C87-29AD-430C-978A-D3CA6A27B3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30" name="Picture 8997">
          <a:extLst>
            <a:ext uri="{FF2B5EF4-FFF2-40B4-BE49-F238E27FC236}">
              <a16:creationId xmlns:a16="http://schemas.microsoft.com/office/drawing/2014/main" id="{8A367E77-B95D-47A8-BED8-DC4555FDA3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31" name="Picture 8998">
          <a:extLst>
            <a:ext uri="{FF2B5EF4-FFF2-40B4-BE49-F238E27FC236}">
              <a16:creationId xmlns:a16="http://schemas.microsoft.com/office/drawing/2014/main" id="{8D52C65A-138B-42F0-AF37-2257230E4A7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32" name="Picture 8999">
          <a:extLst>
            <a:ext uri="{FF2B5EF4-FFF2-40B4-BE49-F238E27FC236}">
              <a16:creationId xmlns:a16="http://schemas.microsoft.com/office/drawing/2014/main" id="{FFB6585A-F8CF-4D45-B52A-C1B101797A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33" name="Picture 9000">
          <a:extLst>
            <a:ext uri="{FF2B5EF4-FFF2-40B4-BE49-F238E27FC236}">
              <a16:creationId xmlns:a16="http://schemas.microsoft.com/office/drawing/2014/main" id="{CAD81233-2D86-4154-B465-970BA92BA6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34" name="Picture 9001">
          <a:extLst>
            <a:ext uri="{FF2B5EF4-FFF2-40B4-BE49-F238E27FC236}">
              <a16:creationId xmlns:a16="http://schemas.microsoft.com/office/drawing/2014/main" id="{6357E9C6-F20C-4DED-9D54-04AF89E98F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35" name="Picture 9002">
          <a:extLst>
            <a:ext uri="{FF2B5EF4-FFF2-40B4-BE49-F238E27FC236}">
              <a16:creationId xmlns:a16="http://schemas.microsoft.com/office/drawing/2014/main" id="{846ABB76-9CB8-4246-B082-72CC9472AE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36" name="Picture 9003">
          <a:extLst>
            <a:ext uri="{FF2B5EF4-FFF2-40B4-BE49-F238E27FC236}">
              <a16:creationId xmlns:a16="http://schemas.microsoft.com/office/drawing/2014/main" id="{AB9348D0-4E2B-4B53-9C41-961D42799A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37" name="Picture 9004">
          <a:extLst>
            <a:ext uri="{FF2B5EF4-FFF2-40B4-BE49-F238E27FC236}">
              <a16:creationId xmlns:a16="http://schemas.microsoft.com/office/drawing/2014/main" id="{9273BA6B-3B65-4B77-BA6A-C1FE35D24E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38" name="Picture 9065">
          <a:extLst>
            <a:ext uri="{FF2B5EF4-FFF2-40B4-BE49-F238E27FC236}">
              <a16:creationId xmlns:a16="http://schemas.microsoft.com/office/drawing/2014/main" id="{BCC705AB-B625-41F2-ADBA-583095CD57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39" name="Picture 9066">
          <a:extLst>
            <a:ext uri="{FF2B5EF4-FFF2-40B4-BE49-F238E27FC236}">
              <a16:creationId xmlns:a16="http://schemas.microsoft.com/office/drawing/2014/main" id="{D330E900-B9D9-4241-8E55-5A8673CEAE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40" name="Picture 9067">
          <a:extLst>
            <a:ext uri="{FF2B5EF4-FFF2-40B4-BE49-F238E27FC236}">
              <a16:creationId xmlns:a16="http://schemas.microsoft.com/office/drawing/2014/main" id="{5F28EDB5-4112-464D-B493-863D3F3BD0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41" name="Picture 9068">
          <a:extLst>
            <a:ext uri="{FF2B5EF4-FFF2-40B4-BE49-F238E27FC236}">
              <a16:creationId xmlns:a16="http://schemas.microsoft.com/office/drawing/2014/main" id="{E00B274E-091E-4A67-994B-86C03EA642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42" name="Picture 9069">
          <a:extLst>
            <a:ext uri="{FF2B5EF4-FFF2-40B4-BE49-F238E27FC236}">
              <a16:creationId xmlns:a16="http://schemas.microsoft.com/office/drawing/2014/main" id="{6401A3E9-1850-4FF6-83A7-55544EC22C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43" name="Picture 9070">
          <a:extLst>
            <a:ext uri="{FF2B5EF4-FFF2-40B4-BE49-F238E27FC236}">
              <a16:creationId xmlns:a16="http://schemas.microsoft.com/office/drawing/2014/main" id="{63FB9CFB-A96A-4CD7-812C-58E683C830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44" name="Picture 9071">
          <a:extLst>
            <a:ext uri="{FF2B5EF4-FFF2-40B4-BE49-F238E27FC236}">
              <a16:creationId xmlns:a16="http://schemas.microsoft.com/office/drawing/2014/main" id="{A2F248B5-5C10-4BE5-AD8A-739285EC2C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45" name="Picture 9072">
          <a:extLst>
            <a:ext uri="{FF2B5EF4-FFF2-40B4-BE49-F238E27FC236}">
              <a16:creationId xmlns:a16="http://schemas.microsoft.com/office/drawing/2014/main" id="{32E39104-E810-4424-9992-253A432384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46" name="Picture 9073">
          <a:extLst>
            <a:ext uri="{FF2B5EF4-FFF2-40B4-BE49-F238E27FC236}">
              <a16:creationId xmlns:a16="http://schemas.microsoft.com/office/drawing/2014/main" id="{8AC90B45-22DE-4159-8C6C-FF3698F699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47" name="Picture 9074">
          <a:extLst>
            <a:ext uri="{FF2B5EF4-FFF2-40B4-BE49-F238E27FC236}">
              <a16:creationId xmlns:a16="http://schemas.microsoft.com/office/drawing/2014/main" id="{18549A93-A205-4916-B5A6-F7E6FC40D4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48" name="Picture 9075">
          <a:extLst>
            <a:ext uri="{FF2B5EF4-FFF2-40B4-BE49-F238E27FC236}">
              <a16:creationId xmlns:a16="http://schemas.microsoft.com/office/drawing/2014/main" id="{67CD0F21-B6A2-4EE2-9A5D-97EEB39F8C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49" name="Picture 9076">
          <a:extLst>
            <a:ext uri="{FF2B5EF4-FFF2-40B4-BE49-F238E27FC236}">
              <a16:creationId xmlns:a16="http://schemas.microsoft.com/office/drawing/2014/main" id="{BE5644A7-6236-4EA9-BC83-463A817AE6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50" name="Picture 8993">
          <a:extLst>
            <a:ext uri="{FF2B5EF4-FFF2-40B4-BE49-F238E27FC236}">
              <a16:creationId xmlns:a16="http://schemas.microsoft.com/office/drawing/2014/main" id="{C06405FD-689E-405C-8FAA-9320BE4898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51" name="Picture 8994">
          <a:extLst>
            <a:ext uri="{FF2B5EF4-FFF2-40B4-BE49-F238E27FC236}">
              <a16:creationId xmlns:a16="http://schemas.microsoft.com/office/drawing/2014/main" id="{12364627-41EA-49E2-A47E-B70B654319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52" name="Picture 8995">
          <a:extLst>
            <a:ext uri="{FF2B5EF4-FFF2-40B4-BE49-F238E27FC236}">
              <a16:creationId xmlns:a16="http://schemas.microsoft.com/office/drawing/2014/main" id="{7C123EA3-B362-470F-9C76-1A3192408B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53" name="Picture 8996">
          <a:extLst>
            <a:ext uri="{FF2B5EF4-FFF2-40B4-BE49-F238E27FC236}">
              <a16:creationId xmlns:a16="http://schemas.microsoft.com/office/drawing/2014/main" id="{5E8457BD-08E7-48ED-AD23-AF48768C5E3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54" name="Picture 8997">
          <a:extLst>
            <a:ext uri="{FF2B5EF4-FFF2-40B4-BE49-F238E27FC236}">
              <a16:creationId xmlns:a16="http://schemas.microsoft.com/office/drawing/2014/main" id="{78BDEA7E-DDC1-41CE-983A-ADA30C8C3F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55" name="Picture 8998">
          <a:extLst>
            <a:ext uri="{FF2B5EF4-FFF2-40B4-BE49-F238E27FC236}">
              <a16:creationId xmlns:a16="http://schemas.microsoft.com/office/drawing/2014/main" id="{B0ECF16E-408D-45D8-A955-C8DF7140EE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56" name="Picture 8999">
          <a:extLst>
            <a:ext uri="{FF2B5EF4-FFF2-40B4-BE49-F238E27FC236}">
              <a16:creationId xmlns:a16="http://schemas.microsoft.com/office/drawing/2014/main" id="{09A4C6D5-0BCF-49B8-8EE1-FC8686A15E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57" name="Picture 9000">
          <a:extLst>
            <a:ext uri="{FF2B5EF4-FFF2-40B4-BE49-F238E27FC236}">
              <a16:creationId xmlns:a16="http://schemas.microsoft.com/office/drawing/2014/main" id="{4C370BC4-24C3-4FC6-9183-B365319365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58" name="Picture 9001">
          <a:extLst>
            <a:ext uri="{FF2B5EF4-FFF2-40B4-BE49-F238E27FC236}">
              <a16:creationId xmlns:a16="http://schemas.microsoft.com/office/drawing/2014/main" id="{9ECC46B9-5406-4B78-8D89-71501722D1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59" name="Picture 9002">
          <a:extLst>
            <a:ext uri="{FF2B5EF4-FFF2-40B4-BE49-F238E27FC236}">
              <a16:creationId xmlns:a16="http://schemas.microsoft.com/office/drawing/2014/main" id="{39AE2082-EBF3-4CAA-9911-A079175D81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60" name="Picture 9003">
          <a:extLst>
            <a:ext uri="{FF2B5EF4-FFF2-40B4-BE49-F238E27FC236}">
              <a16:creationId xmlns:a16="http://schemas.microsoft.com/office/drawing/2014/main" id="{1AACB736-B490-48BE-ACBE-CD5DE7BA8B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61" name="Picture 9004">
          <a:extLst>
            <a:ext uri="{FF2B5EF4-FFF2-40B4-BE49-F238E27FC236}">
              <a16:creationId xmlns:a16="http://schemas.microsoft.com/office/drawing/2014/main" id="{F0AA0CF9-31F4-4B54-85BC-FA5FA81CBC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62" name="Picture 9065">
          <a:extLst>
            <a:ext uri="{FF2B5EF4-FFF2-40B4-BE49-F238E27FC236}">
              <a16:creationId xmlns:a16="http://schemas.microsoft.com/office/drawing/2014/main" id="{8A2BF3CE-FB82-4FD1-A8BB-4112CC719D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63" name="Picture 9066">
          <a:extLst>
            <a:ext uri="{FF2B5EF4-FFF2-40B4-BE49-F238E27FC236}">
              <a16:creationId xmlns:a16="http://schemas.microsoft.com/office/drawing/2014/main" id="{30D9D5F6-3D11-4D85-A7E9-BF507C93CF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64" name="Picture 9067">
          <a:extLst>
            <a:ext uri="{FF2B5EF4-FFF2-40B4-BE49-F238E27FC236}">
              <a16:creationId xmlns:a16="http://schemas.microsoft.com/office/drawing/2014/main" id="{4C94E730-3B1D-4BC5-AF98-79F1C73366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65" name="Picture 9068">
          <a:extLst>
            <a:ext uri="{FF2B5EF4-FFF2-40B4-BE49-F238E27FC236}">
              <a16:creationId xmlns:a16="http://schemas.microsoft.com/office/drawing/2014/main" id="{1126B274-25D2-4E25-9258-0EBED63607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66" name="Picture 9069">
          <a:extLst>
            <a:ext uri="{FF2B5EF4-FFF2-40B4-BE49-F238E27FC236}">
              <a16:creationId xmlns:a16="http://schemas.microsoft.com/office/drawing/2014/main" id="{156AA49A-AAE5-4AA2-9C9C-F22A55AB35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67" name="Picture 9070">
          <a:extLst>
            <a:ext uri="{FF2B5EF4-FFF2-40B4-BE49-F238E27FC236}">
              <a16:creationId xmlns:a16="http://schemas.microsoft.com/office/drawing/2014/main" id="{DAB4ED38-A51D-4067-8029-683FA51B9D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68" name="Picture 9071">
          <a:extLst>
            <a:ext uri="{FF2B5EF4-FFF2-40B4-BE49-F238E27FC236}">
              <a16:creationId xmlns:a16="http://schemas.microsoft.com/office/drawing/2014/main" id="{81B915FA-A264-4F40-9F96-B6280D1DE4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69" name="Picture 9072">
          <a:extLst>
            <a:ext uri="{FF2B5EF4-FFF2-40B4-BE49-F238E27FC236}">
              <a16:creationId xmlns:a16="http://schemas.microsoft.com/office/drawing/2014/main" id="{353D42AD-6B9F-4307-9B3E-57C9B690EE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70" name="Picture 9073">
          <a:extLst>
            <a:ext uri="{FF2B5EF4-FFF2-40B4-BE49-F238E27FC236}">
              <a16:creationId xmlns:a16="http://schemas.microsoft.com/office/drawing/2014/main" id="{D906F4D2-6AA8-45AD-8A65-AC78E2E441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71" name="Picture 9074">
          <a:extLst>
            <a:ext uri="{FF2B5EF4-FFF2-40B4-BE49-F238E27FC236}">
              <a16:creationId xmlns:a16="http://schemas.microsoft.com/office/drawing/2014/main" id="{E7F925EB-2BC2-40E3-8399-35D459E976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72" name="Picture 9075">
          <a:extLst>
            <a:ext uri="{FF2B5EF4-FFF2-40B4-BE49-F238E27FC236}">
              <a16:creationId xmlns:a16="http://schemas.microsoft.com/office/drawing/2014/main" id="{96B9C109-578F-4270-94A0-00CC168896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73" name="Picture 9076">
          <a:extLst>
            <a:ext uri="{FF2B5EF4-FFF2-40B4-BE49-F238E27FC236}">
              <a16:creationId xmlns:a16="http://schemas.microsoft.com/office/drawing/2014/main" id="{F4AAAA96-2BBE-44E8-8035-FBDF0421DE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74" name="Picture 8993">
          <a:extLst>
            <a:ext uri="{FF2B5EF4-FFF2-40B4-BE49-F238E27FC236}">
              <a16:creationId xmlns:a16="http://schemas.microsoft.com/office/drawing/2014/main" id="{2C299EAA-405B-462C-A16F-88D3FE95EC7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75" name="Picture 8994">
          <a:extLst>
            <a:ext uri="{FF2B5EF4-FFF2-40B4-BE49-F238E27FC236}">
              <a16:creationId xmlns:a16="http://schemas.microsoft.com/office/drawing/2014/main" id="{C590EC3D-64DA-4FC9-9DBE-686F5B2BB5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76" name="Picture 8995">
          <a:extLst>
            <a:ext uri="{FF2B5EF4-FFF2-40B4-BE49-F238E27FC236}">
              <a16:creationId xmlns:a16="http://schemas.microsoft.com/office/drawing/2014/main" id="{DC38109D-37B5-4518-A07B-774E9784E4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77" name="Picture 8996">
          <a:extLst>
            <a:ext uri="{FF2B5EF4-FFF2-40B4-BE49-F238E27FC236}">
              <a16:creationId xmlns:a16="http://schemas.microsoft.com/office/drawing/2014/main" id="{862FE0EE-3C7C-41F5-A820-5BD6B61E0C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78" name="Picture 8997">
          <a:extLst>
            <a:ext uri="{FF2B5EF4-FFF2-40B4-BE49-F238E27FC236}">
              <a16:creationId xmlns:a16="http://schemas.microsoft.com/office/drawing/2014/main" id="{EDE451B1-6BA8-4FA5-A4A5-23BD0A03DC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79" name="Picture 8998">
          <a:extLst>
            <a:ext uri="{FF2B5EF4-FFF2-40B4-BE49-F238E27FC236}">
              <a16:creationId xmlns:a16="http://schemas.microsoft.com/office/drawing/2014/main" id="{65CDC620-1C75-4A67-B2F2-271FA9E05B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80" name="Picture 8999">
          <a:extLst>
            <a:ext uri="{FF2B5EF4-FFF2-40B4-BE49-F238E27FC236}">
              <a16:creationId xmlns:a16="http://schemas.microsoft.com/office/drawing/2014/main" id="{784443C7-44D0-41E7-8980-9074BC38FD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81" name="Picture 9000">
          <a:extLst>
            <a:ext uri="{FF2B5EF4-FFF2-40B4-BE49-F238E27FC236}">
              <a16:creationId xmlns:a16="http://schemas.microsoft.com/office/drawing/2014/main" id="{50DA1959-4BF4-4ABF-A299-33B28E9B33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82" name="Picture 9001">
          <a:extLst>
            <a:ext uri="{FF2B5EF4-FFF2-40B4-BE49-F238E27FC236}">
              <a16:creationId xmlns:a16="http://schemas.microsoft.com/office/drawing/2014/main" id="{C60CC623-23F5-44AC-A833-3F52F6007B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83" name="Picture 9002">
          <a:extLst>
            <a:ext uri="{FF2B5EF4-FFF2-40B4-BE49-F238E27FC236}">
              <a16:creationId xmlns:a16="http://schemas.microsoft.com/office/drawing/2014/main" id="{3181AEA2-EF05-40D1-A239-3F0C151470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84" name="Picture 9003">
          <a:extLst>
            <a:ext uri="{FF2B5EF4-FFF2-40B4-BE49-F238E27FC236}">
              <a16:creationId xmlns:a16="http://schemas.microsoft.com/office/drawing/2014/main" id="{0938572E-8F03-4F43-A7D5-00ACF12938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85" name="Picture 9004">
          <a:extLst>
            <a:ext uri="{FF2B5EF4-FFF2-40B4-BE49-F238E27FC236}">
              <a16:creationId xmlns:a16="http://schemas.microsoft.com/office/drawing/2014/main" id="{AC50C499-4417-4EF9-8BFF-62F911BA57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86" name="Picture 9065">
          <a:extLst>
            <a:ext uri="{FF2B5EF4-FFF2-40B4-BE49-F238E27FC236}">
              <a16:creationId xmlns:a16="http://schemas.microsoft.com/office/drawing/2014/main" id="{80BC2629-67FC-430D-9F0E-B6BF0AB78B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87" name="Picture 9066">
          <a:extLst>
            <a:ext uri="{FF2B5EF4-FFF2-40B4-BE49-F238E27FC236}">
              <a16:creationId xmlns:a16="http://schemas.microsoft.com/office/drawing/2014/main" id="{08532723-A0BB-4C33-8787-F8DA9F5959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88" name="Picture 9067">
          <a:extLst>
            <a:ext uri="{FF2B5EF4-FFF2-40B4-BE49-F238E27FC236}">
              <a16:creationId xmlns:a16="http://schemas.microsoft.com/office/drawing/2014/main" id="{E4A9F548-8253-4F00-A1FF-C48A3FF298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89" name="Picture 9068">
          <a:extLst>
            <a:ext uri="{FF2B5EF4-FFF2-40B4-BE49-F238E27FC236}">
              <a16:creationId xmlns:a16="http://schemas.microsoft.com/office/drawing/2014/main" id="{EDD1C7F7-C332-495E-B0F3-EFF58CD737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90" name="Picture 9069">
          <a:extLst>
            <a:ext uri="{FF2B5EF4-FFF2-40B4-BE49-F238E27FC236}">
              <a16:creationId xmlns:a16="http://schemas.microsoft.com/office/drawing/2014/main" id="{AE8D9636-877C-47DD-B158-A8A536750D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91" name="Picture 9070">
          <a:extLst>
            <a:ext uri="{FF2B5EF4-FFF2-40B4-BE49-F238E27FC236}">
              <a16:creationId xmlns:a16="http://schemas.microsoft.com/office/drawing/2014/main" id="{06F17F19-BA8A-4227-AC1B-298AA6D48D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92" name="Picture 9071">
          <a:extLst>
            <a:ext uri="{FF2B5EF4-FFF2-40B4-BE49-F238E27FC236}">
              <a16:creationId xmlns:a16="http://schemas.microsoft.com/office/drawing/2014/main" id="{322E6A26-6648-4789-A0C6-16D9B98BB3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93" name="Picture 9072">
          <a:extLst>
            <a:ext uri="{FF2B5EF4-FFF2-40B4-BE49-F238E27FC236}">
              <a16:creationId xmlns:a16="http://schemas.microsoft.com/office/drawing/2014/main" id="{5BF8D6AA-EE9C-4707-84DD-FAFBFF882C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94" name="Picture 9073">
          <a:extLst>
            <a:ext uri="{FF2B5EF4-FFF2-40B4-BE49-F238E27FC236}">
              <a16:creationId xmlns:a16="http://schemas.microsoft.com/office/drawing/2014/main" id="{C99E7D9B-4FD6-4FB1-BBC6-9025CEC98E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95" name="Picture 9074">
          <a:extLst>
            <a:ext uri="{FF2B5EF4-FFF2-40B4-BE49-F238E27FC236}">
              <a16:creationId xmlns:a16="http://schemas.microsoft.com/office/drawing/2014/main" id="{44D3F78A-D6DB-4012-A0A9-756D80518F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96" name="Picture 9075">
          <a:extLst>
            <a:ext uri="{FF2B5EF4-FFF2-40B4-BE49-F238E27FC236}">
              <a16:creationId xmlns:a16="http://schemas.microsoft.com/office/drawing/2014/main" id="{0A04D19D-BAE8-46DD-9F15-5E71DD16A1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76200</xdr:colOff>
      <xdr:row>21</xdr:row>
      <xdr:rowOff>67310</xdr:rowOff>
    </xdr:to>
    <xdr:pic>
      <xdr:nvPicPr>
        <xdr:cNvPr id="197" name="Picture 9076">
          <a:extLst>
            <a:ext uri="{FF2B5EF4-FFF2-40B4-BE49-F238E27FC236}">
              <a16:creationId xmlns:a16="http://schemas.microsoft.com/office/drawing/2014/main" id="{F960C824-F6F5-4A0B-9D7D-85921D9CB8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30457140"/>
          <a:ext cx="76200" cy="6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517525</xdr:colOff>
      <xdr:row>21</xdr:row>
      <xdr:rowOff>0</xdr:rowOff>
    </xdr:from>
    <xdr:ext cx="1162051" cy="19050"/>
    <xdr:sp macro="" textlink="">
      <xdr:nvSpPr>
        <xdr:cNvPr id="198" name="Rectangle 24">
          <a:extLst>
            <a:ext uri="{FF2B5EF4-FFF2-40B4-BE49-F238E27FC236}">
              <a16:creationId xmlns:a16="http://schemas.microsoft.com/office/drawing/2014/main" id="{08F8925E-0E57-4D8D-A1F6-00BA26AC0885}"/>
            </a:ext>
          </a:extLst>
        </xdr:cNvPr>
        <xdr:cNvSpPr>
          <a:spLocks noChangeArrowheads="1"/>
        </xdr:cNvSpPr>
      </xdr:nvSpPr>
      <xdr:spPr bwMode="auto">
        <a:xfrm>
          <a:off x="1447165" y="30457140"/>
          <a:ext cx="1162051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517525</xdr:colOff>
      <xdr:row>21</xdr:row>
      <xdr:rowOff>0</xdr:rowOff>
    </xdr:from>
    <xdr:ext cx="1778000" cy="19050"/>
    <xdr:sp macro="" textlink="">
      <xdr:nvSpPr>
        <xdr:cNvPr id="199" name="Rectangle 24">
          <a:extLst>
            <a:ext uri="{FF2B5EF4-FFF2-40B4-BE49-F238E27FC236}">
              <a16:creationId xmlns:a16="http://schemas.microsoft.com/office/drawing/2014/main" id="{533EE5FD-0683-4263-BB57-30C3BE93D8CA}"/>
            </a:ext>
          </a:extLst>
        </xdr:cNvPr>
        <xdr:cNvSpPr>
          <a:spLocks noChangeArrowheads="1"/>
        </xdr:cNvSpPr>
      </xdr:nvSpPr>
      <xdr:spPr bwMode="auto">
        <a:xfrm>
          <a:off x="1447165" y="3045714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B22"/>
  <sheetViews>
    <sheetView zoomScale="70" zoomScaleNormal="70" workbookViewId="0">
      <selection activeCell="D32" sqref="D32"/>
    </sheetView>
  </sheetViews>
  <sheetFormatPr baseColWidth="10" defaultColWidth="9.109375" defaultRowHeight="13.2" x14ac:dyDescent="0.25"/>
  <cols>
    <col min="1" max="1" width="2.5546875" style="11" customWidth="1"/>
    <col min="2" max="2" width="5.33203125" style="11" bestFit="1" customWidth="1"/>
    <col min="3" max="3" width="81.88671875" style="11" customWidth="1"/>
    <col min="4" max="4" width="7.88671875" style="11" bestFit="1" customWidth="1"/>
    <col min="5" max="5" width="7.88671875" style="11" customWidth="1"/>
    <col min="6" max="6" width="15.6640625" style="11" customWidth="1"/>
    <col min="7" max="7" width="7.88671875" style="11" hidden="1" customWidth="1"/>
    <col min="8" max="8" width="24.6640625" style="11" customWidth="1"/>
    <col min="9" max="9" width="16.88671875" style="11" customWidth="1"/>
    <col min="10" max="10" width="15" style="11" customWidth="1"/>
    <col min="11" max="11" width="16.88671875" style="11" customWidth="1"/>
    <col min="12" max="12" width="16.33203125" style="11" customWidth="1"/>
    <col min="13" max="13" width="16.88671875" style="11" customWidth="1"/>
    <col min="14" max="14" width="15.33203125" style="11" customWidth="1"/>
    <col min="15" max="15" width="16.6640625" style="11" customWidth="1"/>
    <col min="16" max="18" width="15.33203125" style="11" customWidth="1"/>
    <col min="19" max="19" width="14.88671875" style="11" bestFit="1" customWidth="1"/>
    <col min="20" max="20" width="12.109375" style="11" customWidth="1"/>
    <col min="21" max="21" width="11.33203125" style="11" bestFit="1" customWidth="1"/>
    <col min="22" max="22" width="17.33203125" style="11" customWidth="1"/>
    <col min="23" max="23" width="15.109375" style="11" customWidth="1"/>
    <col min="24" max="24" width="14.5546875" style="11" customWidth="1"/>
    <col min="25" max="25" width="19.33203125" style="11" customWidth="1"/>
    <col min="26" max="26" width="19.88671875" style="11" bestFit="1" customWidth="1"/>
    <col min="27" max="27" width="9.109375" style="11"/>
    <col min="28" max="28" width="9.109375" style="11" customWidth="1"/>
    <col min="29" max="16384" width="9.109375" style="11"/>
  </cols>
  <sheetData>
    <row r="1" spans="2:28" ht="18.75" customHeight="1" x14ac:dyDescent="0.25">
      <c r="B1" s="82" t="s">
        <v>79</v>
      </c>
      <c r="C1" s="83"/>
      <c r="D1" s="83"/>
      <c r="E1" s="83"/>
      <c r="F1" s="84"/>
      <c r="G1" s="84"/>
      <c r="H1" s="83"/>
      <c r="I1" s="83"/>
      <c r="J1" s="83"/>
      <c r="K1" s="83"/>
      <c r="L1" s="83"/>
      <c r="M1" s="83"/>
      <c r="N1" s="83"/>
      <c r="O1" s="10"/>
      <c r="P1" s="10"/>
      <c r="Q1" s="10"/>
      <c r="R1" s="10"/>
    </row>
    <row r="2" spans="2:28" ht="19.5" customHeight="1" x14ac:dyDescent="0.25">
      <c r="B2" s="83"/>
      <c r="C2" s="83"/>
      <c r="D2" s="83"/>
      <c r="E2" s="83"/>
      <c r="F2" s="84"/>
      <c r="G2" s="84"/>
      <c r="H2" s="83"/>
      <c r="I2" s="83"/>
      <c r="J2" s="83"/>
      <c r="K2" s="83"/>
      <c r="L2" s="83"/>
      <c r="M2" s="83"/>
      <c r="N2" s="83"/>
      <c r="O2" s="10"/>
      <c r="P2" s="10"/>
      <c r="Q2" s="10"/>
      <c r="R2" s="10"/>
    </row>
    <row r="3" spans="2:28" ht="21" customHeight="1" x14ac:dyDescent="0.25">
      <c r="B3" s="83"/>
      <c r="C3" s="83"/>
      <c r="D3" s="83"/>
      <c r="E3" s="83"/>
      <c r="F3" s="84"/>
      <c r="G3" s="84"/>
      <c r="H3" s="83"/>
      <c r="I3" s="83"/>
      <c r="J3" s="83"/>
      <c r="K3" s="83"/>
      <c r="L3" s="83"/>
      <c r="M3" s="83"/>
      <c r="N3" s="83"/>
      <c r="O3" s="10"/>
      <c r="P3" s="10"/>
      <c r="Q3" s="10"/>
      <c r="R3" s="10"/>
    </row>
    <row r="4" spans="2:28" ht="31.5" customHeight="1" x14ac:dyDescent="0.25">
      <c r="B4" s="83"/>
      <c r="C4" s="83"/>
      <c r="D4" s="83"/>
      <c r="E4" s="83"/>
      <c r="F4" s="84"/>
      <c r="G4" s="84"/>
      <c r="H4" s="83"/>
      <c r="I4" s="83"/>
      <c r="J4" s="83"/>
      <c r="K4" s="83"/>
      <c r="L4" s="83"/>
      <c r="M4" s="83"/>
      <c r="N4" s="83"/>
      <c r="O4" s="10"/>
      <c r="P4" s="10"/>
      <c r="Q4" s="10"/>
      <c r="R4" s="10"/>
    </row>
    <row r="6" spans="2:28" ht="27.75" customHeight="1" x14ac:dyDescent="0.25">
      <c r="I6" s="79" t="s">
        <v>74</v>
      </c>
      <c r="J6" s="79"/>
      <c r="K6" s="80" t="s">
        <v>75</v>
      </c>
      <c r="L6" s="80"/>
      <c r="M6" s="81" t="s">
        <v>47</v>
      </c>
      <c r="N6" s="81"/>
      <c r="O6" s="85" t="s">
        <v>48</v>
      </c>
      <c r="P6" s="85"/>
      <c r="Q6" s="78" t="s">
        <v>76</v>
      </c>
      <c r="R6" s="78"/>
    </row>
    <row r="7" spans="2:28" ht="62.25" customHeight="1" x14ac:dyDescent="0.25">
      <c r="B7" s="12" t="s">
        <v>15</v>
      </c>
      <c r="C7" s="12" t="s">
        <v>14</v>
      </c>
      <c r="D7" s="13" t="s">
        <v>16</v>
      </c>
      <c r="E7" s="12" t="s">
        <v>17</v>
      </c>
      <c r="F7" s="14" t="s">
        <v>71</v>
      </c>
      <c r="G7" s="17"/>
      <c r="H7" s="15" t="s">
        <v>72</v>
      </c>
      <c r="I7" s="16" t="s">
        <v>18</v>
      </c>
      <c r="J7" s="16" t="s">
        <v>19</v>
      </c>
      <c r="K7" s="17" t="s">
        <v>18</v>
      </c>
      <c r="L7" s="17" t="s">
        <v>19</v>
      </c>
      <c r="M7" s="17" t="s">
        <v>18</v>
      </c>
      <c r="N7" s="17" t="s">
        <v>19</v>
      </c>
      <c r="O7" s="17" t="s">
        <v>18</v>
      </c>
      <c r="P7" s="17" t="s">
        <v>19</v>
      </c>
      <c r="Q7" s="17" t="s">
        <v>18</v>
      </c>
      <c r="R7" s="17" t="s">
        <v>19</v>
      </c>
      <c r="S7" s="14" t="s">
        <v>20</v>
      </c>
      <c r="T7" s="14" t="s">
        <v>21</v>
      </c>
      <c r="U7" s="14" t="s">
        <v>22</v>
      </c>
      <c r="V7" s="14" t="s">
        <v>23</v>
      </c>
      <c r="W7" s="14" t="s">
        <v>24</v>
      </c>
      <c r="X7" s="14" t="s">
        <v>25</v>
      </c>
      <c r="Y7" s="14" t="s">
        <v>27</v>
      </c>
      <c r="Z7" s="14" t="s">
        <v>26</v>
      </c>
    </row>
    <row r="8" spans="2:28" ht="12.75" customHeight="1" x14ac:dyDescent="0.25">
      <c r="B8" s="18" t="s">
        <v>0</v>
      </c>
      <c r="C8" s="19" t="s">
        <v>46</v>
      </c>
      <c r="D8" s="20"/>
      <c r="E8" s="20"/>
      <c r="F8" s="20"/>
      <c r="G8" s="20"/>
      <c r="H8" s="20"/>
      <c r="I8" s="20"/>
      <c r="J8" s="21"/>
      <c r="K8" s="20"/>
      <c r="L8" s="21"/>
      <c r="M8" s="21"/>
      <c r="N8" s="21"/>
      <c r="O8" s="21"/>
      <c r="P8" s="21"/>
      <c r="Q8" s="21"/>
      <c r="R8" s="21"/>
      <c r="S8" s="22"/>
      <c r="T8" s="22"/>
      <c r="U8" s="22"/>
      <c r="V8" s="22"/>
      <c r="W8" s="22"/>
      <c r="X8" s="22"/>
      <c r="Z8" s="22"/>
    </row>
    <row r="9" spans="2:28" ht="40.5" customHeight="1" x14ac:dyDescent="0.25">
      <c r="B9" s="23" t="s">
        <v>0</v>
      </c>
      <c r="C9" s="51" t="s">
        <v>59</v>
      </c>
      <c r="D9" s="24" t="s">
        <v>1</v>
      </c>
      <c r="E9" s="70">
        <v>56</v>
      </c>
      <c r="F9" s="57">
        <v>141000</v>
      </c>
      <c r="G9" s="69">
        <f>F9*5.2%</f>
        <v>7332.0000000000009</v>
      </c>
      <c r="H9" s="27">
        <f>F9+G9</f>
        <v>148332</v>
      </c>
      <c r="I9" s="28">
        <v>133469</v>
      </c>
      <c r="J9" s="28">
        <f>I9*E9</f>
        <v>7474264</v>
      </c>
      <c r="K9" s="28">
        <v>165000</v>
      </c>
      <c r="L9" s="28">
        <f>K9*E9</f>
        <v>9240000</v>
      </c>
      <c r="M9" s="28">
        <v>158000</v>
      </c>
      <c r="N9" s="29">
        <f>M9*E9</f>
        <v>8848000</v>
      </c>
      <c r="O9" s="29">
        <v>154000</v>
      </c>
      <c r="P9" s="29">
        <f>O9*E9</f>
        <v>8624000</v>
      </c>
      <c r="Q9" s="29">
        <v>159000</v>
      </c>
      <c r="R9" s="29">
        <f t="shared" ref="R9:R21" si="0">Q9*E9</f>
        <v>8904000</v>
      </c>
      <c r="S9" s="30">
        <f>MIN(H9,I9,K9,M9,O9,Q9)</f>
        <v>133469</v>
      </c>
      <c r="T9" s="26">
        <f>HARMEAN(H9,I9,K9,M9,O9,Q9)</f>
        <v>152258.97199034441</v>
      </c>
      <c r="U9" s="30">
        <f>AVERAGE(H9,I9,K9,M9,O9,Q9)</f>
        <v>152966.83333333334</v>
      </c>
      <c r="V9" s="26">
        <f>GEOMEAN(H9,I9,K9,M9,O9,Q9)</f>
        <v>152620.31862571181</v>
      </c>
      <c r="W9" s="25">
        <f>STDEVA(H9,I9,K9,M9,O9,Q9)</f>
        <v>11038.510631723224</v>
      </c>
      <c r="X9" s="31">
        <f>W9/U9</f>
        <v>7.2162771439930162E-2</v>
      </c>
      <c r="Y9" s="30">
        <f>ROUND(T9,0)</f>
        <v>152259</v>
      </c>
      <c r="Z9" s="22" t="s">
        <v>21</v>
      </c>
      <c r="AB9" s="32"/>
    </row>
    <row r="10" spans="2:28" ht="28.5" customHeight="1" x14ac:dyDescent="0.25">
      <c r="B10" s="23" t="s">
        <v>2</v>
      </c>
      <c r="C10" s="54" t="s">
        <v>73</v>
      </c>
      <c r="D10" s="24" t="s">
        <v>1</v>
      </c>
      <c r="E10" s="70">
        <v>12</v>
      </c>
      <c r="F10" s="57">
        <v>594000</v>
      </c>
      <c r="G10" s="69">
        <f t="shared" ref="G10:G21" si="1">F10*5.2%</f>
        <v>30888.000000000004</v>
      </c>
      <c r="H10" s="27">
        <f t="shared" ref="H10:H21" si="2">F10+G10</f>
        <v>624888</v>
      </c>
      <c r="I10" s="28">
        <v>815948</v>
      </c>
      <c r="J10" s="28">
        <f t="shared" ref="J10:J21" si="3">I10*E10</f>
        <v>9791376</v>
      </c>
      <c r="K10" s="28">
        <v>695000</v>
      </c>
      <c r="L10" s="28">
        <f t="shared" ref="L10:L21" si="4">K10*E10</f>
        <v>8340000</v>
      </c>
      <c r="M10" s="28">
        <v>665000</v>
      </c>
      <c r="N10" s="29">
        <f t="shared" ref="N10:N21" si="5">M10*E10</f>
        <v>7980000</v>
      </c>
      <c r="O10" s="29">
        <v>647000</v>
      </c>
      <c r="P10" s="29">
        <f t="shared" ref="P10:P21" si="6">O10*E10</f>
        <v>7764000</v>
      </c>
      <c r="Q10" s="29">
        <v>520000</v>
      </c>
      <c r="R10" s="29">
        <f t="shared" si="0"/>
        <v>6240000</v>
      </c>
      <c r="S10" s="30">
        <f>MIN(H10,I10,K10,M10,O10,Q10)</f>
        <v>520000</v>
      </c>
      <c r="T10" s="26">
        <f>HARMEAN(H10,I10,K10,M10,O10,Q10)</f>
        <v>649552.0270735079</v>
      </c>
      <c r="U10" s="30">
        <f>AVERAGE(H10,I10,K10,M10,O10,Q10)</f>
        <v>661306</v>
      </c>
      <c r="V10" s="26">
        <f>GEOMEAN(H10,I10,K10,M10,O10,Q10)</f>
        <v>655435.2435347517</v>
      </c>
      <c r="W10" s="25">
        <f>STDEVA(H10,I10,K10,M10,O10,Q10)</f>
        <v>96500.152779153665</v>
      </c>
      <c r="X10" s="31">
        <f t="shared" ref="X10:X19" si="7">W10/U10</f>
        <v>0.14592360084310996</v>
      </c>
      <c r="Y10" s="30">
        <f t="shared" ref="Y10:Y21" si="8">ROUND(T10,0)</f>
        <v>649552</v>
      </c>
      <c r="Z10" s="22" t="s">
        <v>21</v>
      </c>
      <c r="AB10" s="32"/>
    </row>
    <row r="11" spans="2:28" ht="61.5" customHeight="1" x14ac:dyDescent="0.25">
      <c r="B11" s="23" t="s">
        <v>3</v>
      </c>
      <c r="C11" s="55" t="s">
        <v>60</v>
      </c>
      <c r="D11" s="24" t="s">
        <v>1</v>
      </c>
      <c r="E11" s="70">
        <v>21</v>
      </c>
      <c r="F11" s="57">
        <v>139000</v>
      </c>
      <c r="G11" s="69">
        <f t="shared" si="1"/>
        <v>7228.0000000000009</v>
      </c>
      <c r="H11" s="27">
        <f t="shared" si="2"/>
        <v>146228</v>
      </c>
      <c r="I11" s="28">
        <v>132089</v>
      </c>
      <c r="J11" s="28">
        <f t="shared" si="3"/>
        <v>2773869</v>
      </c>
      <c r="K11" s="28">
        <v>163000</v>
      </c>
      <c r="L11" s="28">
        <f t="shared" si="4"/>
        <v>3423000</v>
      </c>
      <c r="M11" s="28">
        <v>156000</v>
      </c>
      <c r="N11" s="29">
        <f t="shared" si="5"/>
        <v>3276000</v>
      </c>
      <c r="O11" s="29">
        <v>152000</v>
      </c>
      <c r="P11" s="29">
        <f t="shared" si="6"/>
        <v>3192000</v>
      </c>
      <c r="Q11" s="29">
        <v>140000</v>
      </c>
      <c r="R11" s="29">
        <f t="shared" si="0"/>
        <v>2940000</v>
      </c>
      <c r="S11" s="30">
        <f>MIN(H11,I11,K11,M11,O11,Q11)</f>
        <v>132089</v>
      </c>
      <c r="T11" s="26">
        <f>HARMEAN(H11,I11,K11,M11,O11,Q11)</f>
        <v>147505.97298274175</v>
      </c>
      <c r="U11" s="30">
        <f>AVERAGE(H11,I11,K11,M11,O11,Q11)</f>
        <v>148219.5</v>
      </c>
      <c r="V11" s="26">
        <f>GEOMEAN(H11,I11,K11,M11,O11,Q11)</f>
        <v>147864.35838548699</v>
      </c>
      <c r="W11" s="25">
        <f>STDEVA(H11,I11,K11,M11,O11,Q11)</f>
        <v>11180.436695406848</v>
      </c>
      <c r="X11" s="31">
        <f t="shared" si="7"/>
        <v>7.5431617941005391E-2</v>
      </c>
      <c r="Y11" s="30">
        <f t="shared" si="8"/>
        <v>147506</v>
      </c>
      <c r="Z11" s="22" t="s">
        <v>21</v>
      </c>
      <c r="AB11" s="32"/>
    </row>
    <row r="12" spans="2:28" ht="45" customHeight="1" x14ac:dyDescent="0.25">
      <c r="B12" s="23" t="s">
        <v>4</v>
      </c>
      <c r="C12" s="55" t="s">
        <v>61</v>
      </c>
      <c r="D12" s="24" t="s">
        <v>1</v>
      </c>
      <c r="E12" s="70">
        <v>145</v>
      </c>
      <c r="F12" s="57">
        <v>106000</v>
      </c>
      <c r="G12" s="69">
        <f t="shared" si="1"/>
        <v>5512.0000000000009</v>
      </c>
      <c r="H12" s="27">
        <f t="shared" si="2"/>
        <v>111512</v>
      </c>
      <c r="I12" s="28">
        <v>115321</v>
      </c>
      <c r="J12" s="28">
        <f t="shared" si="3"/>
        <v>16721545</v>
      </c>
      <c r="K12" s="28">
        <v>124000</v>
      </c>
      <c r="L12" s="28">
        <f t="shared" si="4"/>
        <v>17980000</v>
      </c>
      <c r="M12" s="28">
        <v>119000</v>
      </c>
      <c r="N12" s="29">
        <f t="shared" si="5"/>
        <v>17255000</v>
      </c>
      <c r="O12" s="56">
        <v>116000</v>
      </c>
      <c r="P12" s="29">
        <f t="shared" si="6"/>
        <v>16820000</v>
      </c>
      <c r="Q12" s="56">
        <v>205000</v>
      </c>
      <c r="R12" s="29">
        <f t="shared" si="0"/>
        <v>29725000</v>
      </c>
      <c r="S12" s="33">
        <f>MIN(I12,K12,M12,O12)</f>
        <v>115321</v>
      </c>
      <c r="T12" s="33">
        <f>HARMEAN(I12,K12,M12,O12)</f>
        <v>118483.36089474829</v>
      </c>
      <c r="U12" s="33">
        <f>AVERAGE(I12,K12,M12,O12)</f>
        <v>118580.25</v>
      </c>
      <c r="V12" s="33">
        <f>GEOMEAN(I12,K12,M12,O12)</f>
        <v>118531.49413081621</v>
      </c>
      <c r="W12" s="33">
        <f>STDEVA(I12,K12,M12,O12)</f>
        <v>3950.9610961553817</v>
      </c>
      <c r="X12" s="35">
        <f t="shared" si="7"/>
        <v>3.3318879797903794E-2</v>
      </c>
      <c r="Y12" s="30">
        <f t="shared" si="8"/>
        <v>118483</v>
      </c>
      <c r="Z12" s="22" t="s">
        <v>21</v>
      </c>
      <c r="AB12" s="34"/>
    </row>
    <row r="13" spans="2:28" ht="55.5" customHeight="1" x14ac:dyDescent="0.25">
      <c r="B13" s="23" t="s">
        <v>5</v>
      </c>
      <c r="C13" s="55" t="s">
        <v>62</v>
      </c>
      <c r="D13" s="24" t="s">
        <v>1</v>
      </c>
      <c r="E13" s="70">
        <v>363</v>
      </c>
      <c r="F13" s="57">
        <v>141000</v>
      </c>
      <c r="G13" s="69">
        <f t="shared" si="1"/>
        <v>7332.0000000000009</v>
      </c>
      <c r="H13" s="27">
        <f t="shared" si="2"/>
        <v>148332</v>
      </c>
      <c r="I13" s="28">
        <v>119198</v>
      </c>
      <c r="J13" s="28">
        <f t="shared" si="3"/>
        <v>43268874</v>
      </c>
      <c r="K13" s="28">
        <v>165000</v>
      </c>
      <c r="L13" s="28">
        <f t="shared" si="4"/>
        <v>59895000</v>
      </c>
      <c r="M13" s="28">
        <v>158000</v>
      </c>
      <c r="N13" s="29">
        <f t="shared" si="5"/>
        <v>57354000</v>
      </c>
      <c r="O13" s="29">
        <v>154000</v>
      </c>
      <c r="P13" s="29">
        <f t="shared" si="6"/>
        <v>55902000</v>
      </c>
      <c r="Q13" s="29">
        <v>185000</v>
      </c>
      <c r="R13" s="29">
        <f t="shared" si="0"/>
        <v>67155000</v>
      </c>
      <c r="S13" s="30">
        <f>MIN(H13,I13,K13,M13,O13,Q13)</f>
        <v>119198</v>
      </c>
      <c r="T13" s="26">
        <f>HARMEAN(H13,I13,K13,M13,O13,Q13)</f>
        <v>152208.28334986625</v>
      </c>
      <c r="U13" s="30">
        <f>AVERAGE(H13,I13,K13,M13,O13,Q13)</f>
        <v>154921.66666666666</v>
      </c>
      <c r="V13" s="26">
        <f>GEOMEAN(H13,I13,K13,M13,O13,Q13)</f>
        <v>153599.41096557758</v>
      </c>
      <c r="W13" s="25">
        <f>STDEVA(H13,I13,K13,M13,O13,Q13)</f>
        <v>21615.774847704826</v>
      </c>
      <c r="X13" s="31">
        <f t="shared" si="7"/>
        <v>0.13952712562932768</v>
      </c>
      <c r="Y13" s="30">
        <f t="shared" si="8"/>
        <v>152208</v>
      </c>
      <c r="Z13" s="22" t="s">
        <v>21</v>
      </c>
      <c r="AB13" s="32"/>
    </row>
    <row r="14" spans="2:28" ht="190.95" customHeight="1" x14ac:dyDescent="0.25">
      <c r="B14" s="23" t="s">
        <v>6</v>
      </c>
      <c r="C14" s="55" t="s">
        <v>63</v>
      </c>
      <c r="D14" s="24" t="s">
        <v>1</v>
      </c>
      <c r="E14" s="70">
        <v>106</v>
      </c>
      <c r="F14" s="57">
        <v>26000</v>
      </c>
      <c r="G14" s="69">
        <f t="shared" si="1"/>
        <v>1352.0000000000002</v>
      </c>
      <c r="H14" s="27">
        <f t="shared" si="2"/>
        <v>27352</v>
      </c>
      <c r="I14" s="36">
        <v>55303</v>
      </c>
      <c r="J14" s="28">
        <f t="shared" si="3"/>
        <v>5862118</v>
      </c>
      <c r="K14" s="28">
        <v>30000</v>
      </c>
      <c r="L14" s="28">
        <f t="shared" si="4"/>
        <v>3180000</v>
      </c>
      <c r="M14" s="28">
        <v>29000</v>
      </c>
      <c r="N14" s="29">
        <f t="shared" si="5"/>
        <v>3074000</v>
      </c>
      <c r="O14" s="29">
        <v>28000</v>
      </c>
      <c r="P14" s="29">
        <f t="shared" si="6"/>
        <v>2968000</v>
      </c>
      <c r="Q14" s="71">
        <v>65000</v>
      </c>
      <c r="R14" s="29">
        <f t="shared" si="0"/>
        <v>6890000</v>
      </c>
      <c r="S14" s="30">
        <f>MIN(H14,K14,M14,O14)</f>
        <v>27352</v>
      </c>
      <c r="T14" s="26">
        <f>HARMEAN(H14,K14,M14,O14)</f>
        <v>28552.914974462012</v>
      </c>
      <c r="U14" s="30">
        <f>AVERAGE(H14,K14,M14,O14)</f>
        <v>28588</v>
      </c>
      <c r="V14" s="26">
        <f>GEOMEAN(H14,K14,M14,O14)</f>
        <v>28570.417904946738</v>
      </c>
      <c r="W14" s="25">
        <f>STDEVA(H14,K14,M14,O14)</f>
        <v>1160.0183906588147</v>
      </c>
      <c r="X14" s="31">
        <f t="shared" si="7"/>
        <v>4.0577108949867595E-2</v>
      </c>
      <c r="Y14" s="30">
        <f t="shared" si="8"/>
        <v>28553</v>
      </c>
      <c r="Z14" s="22" t="s">
        <v>21</v>
      </c>
      <c r="AB14" s="32"/>
    </row>
    <row r="15" spans="2:28" ht="36.6" customHeight="1" x14ac:dyDescent="0.25">
      <c r="B15" s="23" t="s">
        <v>7</v>
      </c>
      <c r="C15" s="55" t="s">
        <v>64</v>
      </c>
      <c r="D15" s="24" t="s">
        <v>1</v>
      </c>
      <c r="E15" s="70">
        <v>109</v>
      </c>
      <c r="F15" s="57">
        <v>71000</v>
      </c>
      <c r="G15" s="69">
        <f t="shared" si="1"/>
        <v>3692.0000000000005</v>
      </c>
      <c r="H15" s="27">
        <f t="shared" si="2"/>
        <v>74692</v>
      </c>
      <c r="I15" s="36">
        <v>29700</v>
      </c>
      <c r="J15" s="28">
        <f t="shared" si="3"/>
        <v>3237300</v>
      </c>
      <c r="K15" s="28">
        <v>83000</v>
      </c>
      <c r="L15" s="28">
        <f t="shared" si="4"/>
        <v>9047000</v>
      </c>
      <c r="M15" s="28">
        <v>80000</v>
      </c>
      <c r="N15" s="29">
        <f t="shared" si="5"/>
        <v>8720000</v>
      </c>
      <c r="O15" s="29">
        <v>77000</v>
      </c>
      <c r="P15" s="29">
        <f t="shared" si="6"/>
        <v>8393000</v>
      </c>
      <c r="Q15" s="71">
        <v>49000</v>
      </c>
      <c r="R15" s="29">
        <f t="shared" si="0"/>
        <v>5341000</v>
      </c>
      <c r="S15" s="30">
        <f>MIN(H15,K15,M15,O15)</f>
        <v>74692</v>
      </c>
      <c r="T15" s="26">
        <f>HARMEAN(H15,K15,M15,O15)</f>
        <v>78549.164819526181</v>
      </c>
      <c r="U15" s="30">
        <f>AVERAGE(H15,K15,M15,O15)</f>
        <v>78673</v>
      </c>
      <c r="V15" s="26">
        <f>GEOMEAN(H15,K15,M15,O15)</f>
        <v>78610.982325705074</v>
      </c>
      <c r="W15" s="25">
        <f>STDEVA(H15,K15,M15,O15)</f>
        <v>3611.6085059153352</v>
      </c>
      <c r="X15" s="31">
        <f t="shared" ref="X15" si="9">W15/U15</f>
        <v>4.5906581748698223E-2</v>
      </c>
      <c r="Y15" s="30">
        <f t="shared" si="8"/>
        <v>78549</v>
      </c>
      <c r="Z15" s="22" t="s">
        <v>21</v>
      </c>
      <c r="AB15" s="32"/>
    </row>
    <row r="16" spans="2:28" ht="49.5" customHeight="1" x14ac:dyDescent="0.25">
      <c r="B16" s="23" t="s">
        <v>8</v>
      </c>
      <c r="C16" s="52" t="s">
        <v>65</v>
      </c>
      <c r="D16" s="24" t="s">
        <v>1</v>
      </c>
      <c r="E16" s="70">
        <v>11</v>
      </c>
      <c r="F16" s="57">
        <v>37000</v>
      </c>
      <c r="G16" s="69">
        <f t="shared" si="1"/>
        <v>1924.0000000000002</v>
      </c>
      <c r="H16" s="27">
        <f t="shared" si="2"/>
        <v>38924</v>
      </c>
      <c r="I16" s="36">
        <v>60640</v>
      </c>
      <c r="J16" s="28">
        <f t="shared" si="3"/>
        <v>667040</v>
      </c>
      <c r="K16" s="28">
        <v>43000</v>
      </c>
      <c r="L16" s="28">
        <f t="shared" si="4"/>
        <v>473000</v>
      </c>
      <c r="M16" s="28">
        <v>41000</v>
      </c>
      <c r="N16" s="29">
        <f t="shared" si="5"/>
        <v>451000</v>
      </c>
      <c r="O16" s="29">
        <v>40000</v>
      </c>
      <c r="P16" s="29">
        <f t="shared" si="6"/>
        <v>440000</v>
      </c>
      <c r="Q16" s="71">
        <v>78000</v>
      </c>
      <c r="R16" s="29">
        <f t="shared" si="0"/>
        <v>858000</v>
      </c>
      <c r="S16" s="30">
        <f>MIN(H16,K16,M16,O16)</f>
        <v>38924</v>
      </c>
      <c r="T16" s="26">
        <f>HARMEAN(H16,K16,M16,O16)</f>
        <v>40676.38805675233</v>
      </c>
      <c r="U16" s="30">
        <f>AVERAGE(H16,K16,M16,O16)</f>
        <v>40731</v>
      </c>
      <c r="V16" s="26">
        <f>GEOMEAN(H16,K16,M16,O16)</f>
        <v>40703.564394237874</v>
      </c>
      <c r="W16" s="25">
        <f>STDEVA(H16,K16,M16,O16)</f>
        <v>1734.0061514692886</v>
      </c>
      <c r="X16" s="31">
        <f t="shared" si="7"/>
        <v>4.2572147785944085E-2</v>
      </c>
      <c r="Y16" s="30">
        <f t="shared" si="8"/>
        <v>40676</v>
      </c>
      <c r="Z16" s="22" t="s">
        <v>21</v>
      </c>
      <c r="AB16" s="32"/>
    </row>
    <row r="17" spans="2:28" ht="69" customHeight="1" x14ac:dyDescent="0.25">
      <c r="B17" s="23" t="s">
        <v>9</v>
      </c>
      <c r="C17" s="55" t="s">
        <v>66</v>
      </c>
      <c r="D17" s="24" t="s">
        <v>1</v>
      </c>
      <c r="E17" s="70">
        <v>221</v>
      </c>
      <c r="F17" s="57">
        <v>114000</v>
      </c>
      <c r="G17" s="69">
        <f t="shared" si="1"/>
        <v>5928.0000000000009</v>
      </c>
      <c r="H17" s="27">
        <f t="shared" si="2"/>
        <v>119928</v>
      </c>
      <c r="I17" s="28">
        <v>85883</v>
      </c>
      <c r="J17" s="28">
        <f t="shared" si="3"/>
        <v>18980143</v>
      </c>
      <c r="K17" s="28">
        <v>133000</v>
      </c>
      <c r="L17" s="28">
        <f t="shared" si="4"/>
        <v>29393000</v>
      </c>
      <c r="M17" s="28">
        <v>128000</v>
      </c>
      <c r="N17" s="29">
        <f t="shared" si="5"/>
        <v>28288000</v>
      </c>
      <c r="O17" s="56">
        <v>124000</v>
      </c>
      <c r="P17" s="29">
        <f t="shared" si="6"/>
        <v>27404000</v>
      </c>
      <c r="Q17" s="56">
        <v>120000</v>
      </c>
      <c r="R17" s="29">
        <f t="shared" si="0"/>
        <v>26520000</v>
      </c>
      <c r="S17" s="33">
        <f>MIN(I17,K17,M17,O17,Q17)</f>
        <v>85883</v>
      </c>
      <c r="T17" s="33">
        <f>HARMEAN(I17,K17,M17,O17,Q17)</f>
        <v>115279.37149630295</v>
      </c>
      <c r="U17" s="33">
        <f>AVERAGE(I17,K17,M17,O17,Q17)</f>
        <v>118176.6</v>
      </c>
      <c r="V17" s="33">
        <f>GEOMEAN(I17,K17,M17,O17,Q17)</f>
        <v>116819.23278324412</v>
      </c>
      <c r="W17" s="33">
        <f>STDEVA(I17,K17,M17,O17,Q17)</f>
        <v>18683.855003719098</v>
      </c>
      <c r="X17" s="35">
        <f t="shared" si="7"/>
        <v>0.15810113849712293</v>
      </c>
      <c r="Y17" s="30">
        <f t="shared" si="8"/>
        <v>115279</v>
      </c>
      <c r="Z17" s="22" t="s">
        <v>21</v>
      </c>
      <c r="AB17" s="34"/>
    </row>
    <row r="18" spans="2:28" ht="78" customHeight="1" x14ac:dyDescent="0.25">
      <c r="B18" s="23" t="s">
        <v>10</v>
      </c>
      <c r="C18" s="55" t="s">
        <v>67</v>
      </c>
      <c r="D18" s="24" t="s">
        <v>1</v>
      </c>
      <c r="E18" s="70">
        <v>1</v>
      </c>
      <c r="F18" s="57">
        <v>130000</v>
      </c>
      <c r="G18" s="69">
        <f t="shared" si="1"/>
        <v>6760.0000000000009</v>
      </c>
      <c r="H18" s="27">
        <f t="shared" si="2"/>
        <v>136760</v>
      </c>
      <c r="I18" s="28">
        <v>119198</v>
      </c>
      <c r="J18" s="28">
        <f t="shared" si="3"/>
        <v>119198</v>
      </c>
      <c r="K18" s="28">
        <v>152000</v>
      </c>
      <c r="L18" s="28">
        <f t="shared" si="4"/>
        <v>152000</v>
      </c>
      <c r="M18" s="28">
        <v>146000</v>
      </c>
      <c r="N18" s="29">
        <f t="shared" si="5"/>
        <v>146000</v>
      </c>
      <c r="O18" s="29">
        <v>142000</v>
      </c>
      <c r="P18" s="29">
        <f t="shared" si="6"/>
        <v>142000</v>
      </c>
      <c r="Q18" s="29">
        <v>185000</v>
      </c>
      <c r="R18" s="29">
        <f>Q18*E18</f>
        <v>185000</v>
      </c>
      <c r="S18" s="30">
        <f>MIN(H18,I18,K18,M18,O18,Q18)</f>
        <v>119198</v>
      </c>
      <c r="T18" s="26">
        <f>HARMEAN(H18,I18,K18,M18,O18,Q18)</f>
        <v>144309.15607158912</v>
      </c>
      <c r="U18" s="30">
        <f>AVERAGE(H18,I18,K18,M18,O18,Q18)</f>
        <v>146826.33333333334</v>
      </c>
      <c r="V18" s="26">
        <f>GEOMEAN(H18,I18,K18,M18,O18,Q18)</f>
        <v>145539.46122304272</v>
      </c>
      <c r="W18" s="25">
        <f>STDEVA(H18,I18,K18,M18,O18,Q18)</f>
        <v>21783.607797301753</v>
      </c>
      <c r="X18" s="31">
        <f t="shared" si="7"/>
        <v>0.14836308516843086</v>
      </c>
      <c r="Y18" s="30">
        <f t="shared" si="8"/>
        <v>144309</v>
      </c>
      <c r="Z18" s="22" t="s">
        <v>21</v>
      </c>
      <c r="AB18" s="32"/>
    </row>
    <row r="19" spans="2:28" ht="28.5" customHeight="1" x14ac:dyDescent="0.25">
      <c r="B19" s="23" t="s">
        <v>11</v>
      </c>
      <c r="C19" s="55" t="s">
        <v>68</v>
      </c>
      <c r="D19" s="24" t="s">
        <v>1</v>
      </c>
      <c r="E19" s="70">
        <v>21</v>
      </c>
      <c r="F19" s="57">
        <v>140000</v>
      </c>
      <c r="G19" s="69">
        <f t="shared" si="1"/>
        <v>7280.0000000000009</v>
      </c>
      <c r="H19" s="27">
        <f t="shared" si="2"/>
        <v>147280</v>
      </c>
      <c r="I19" s="28">
        <v>132089</v>
      </c>
      <c r="J19" s="28">
        <f t="shared" si="3"/>
        <v>2773869</v>
      </c>
      <c r="K19" s="28">
        <v>164000</v>
      </c>
      <c r="L19" s="28">
        <f t="shared" si="4"/>
        <v>3444000</v>
      </c>
      <c r="M19" s="28">
        <v>157000</v>
      </c>
      <c r="N19" s="29">
        <f t="shared" si="5"/>
        <v>3297000</v>
      </c>
      <c r="O19" s="29">
        <v>153000</v>
      </c>
      <c r="P19" s="29">
        <f t="shared" si="6"/>
        <v>3213000</v>
      </c>
      <c r="Q19" s="29">
        <v>140000</v>
      </c>
      <c r="R19" s="29">
        <f t="shared" si="0"/>
        <v>2940000</v>
      </c>
      <c r="S19" s="30">
        <f>MIN(H19,I19,K19,M19,O19,Q19)</f>
        <v>132089</v>
      </c>
      <c r="T19" s="26">
        <f>HARMEAN(H19,I19,K19,M19,O19,Q19)</f>
        <v>148125.34832392199</v>
      </c>
      <c r="U19" s="30">
        <f>AVERAGE(H19,I19,K19,M19,O19,Q19)</f>
        <v>148894.83333333334</v>
      </c>
      <c r="V19" s="26">
        <f>GEOMEAN(H19,I19,K19,M19,O19,Q19)</f>
        <v>148512.23448968743</v>
      </c>
      <c r="W19" s="25">
        <f>STDEVA(H19,I19,K19,M19,O19,Q19)</f>
        <v>11617.86521554914</v>
      </c>
      <c r="X19" s="31">
        <f t="shared" si="7"/>
        <v>7.8027322744907021E-2</v>
      </c>
      <c r="Y19" s="30">
        <f t="shared" si="8"/>
        <v>148125</v>
      </c>
      <c r="Z19" s="22" t="s">
        <v>21</v>
      </c>
      <c r="AB19" s="32"/>
    </row>
    <row r="20" spans="2:28" ht="28.5" customHeight="1" x14ac:dyDescent="0.25">
      <c r="B20" s="23" t="s">
        <v>12</v>
      </c>
      <c r="C20" s="55" t="s">
        <v>69</v>
      </c>
      <c r="D20" s="24" t="s">
        <v>1</v>
      </c>
      <c r="E20" s="70">
        <v>1</v>
      </c>
      <c r="F20" s="57">
        <v>58000</v>
      </c>
      <c r="G20" s="69">
        <f t="shared" si="1"/>
        <v>3016.0000000000005</v>
      </c>
      <c r="H20" s="27">
        <f t="shared" si="2"/>
        <v>61016</v>
      </c>
      <c r="I20" s="28">
        <v>91005</v>
      </c>
      <c r="J20" s="28">
        <f t="shared" si="3"/>
        <v>91005</v>
      </c>
      <c r="K20" s="28">
        <v>68000</v>
      </c>
      <c r="L20" s="28">
        <f t="shared" si="4"/>
        <v>68000</v>
      </c>
      <c r="M20" s="28">
        <v>65000</v>
      </c>
      <c r="N20" s="29">
        <f t="shared" si="5"/>
        <v>65000</v>
      </c>
      <c r="O20" s="56">
        <v>63000</v>
      </c>
      <c r="P20" s="29">
        <f t="shared" si="6"/>
        <v>63000</v>
      </c>
      <c r="Q20" s="56">
        <v>85000</v>
      </c>
      <c r="R20" s="29">
        <f t="shared" si="0"/>
        <v>85000</v>
      </c>
      <c r="S20" s="33">
        <f>MIN(K20,M20,O20,Q20,H20)</f>
        <v>61016</v>
      </c>
      <c r="T20" s="33">
        <f>HARMEAN(K20,M20,O20,Q20,H20)</f>
        <v>67460.575710704798</v>
      </c>
      <c r="U20" s="33">
        <f>AVERAGE(F20,M20,O20,Q20)</f>
        <v>67750</v>
      </c>
      <c r="V20" s="33">
        <f>GEOMEAN(M20,O20,Q20,K20,H20)</f>
        <v>67908.649788597118</v>
      </c>
      <c r="W20" s="33">
        <f>STDEVA(K20,M20,O20,Q20,H20)</f>
        <v>9630.2051483859796</v>
      </c>
      <c r="X20" s="35">
        <f t="shared" ref="X20:X21" si="10">W20/U20</f>
        <v>0.14214324942267129</v>
      </c>
      <c r="Y20" s="30">
        <f t="shared" si="8"/>
        <v>67461</v>
      </c>
      <c r="Z20" s="22" t="s">
        <v>21</v>
      </c>
      <c r="AB20" s="34"/>
    </row>
    <row r="21" spans="2:28" ht="53.25" customHeight="1" x14ac:dyDescent="0.25">
      <c r="B21" s="23" t="s">
        <v>13</v>
      </c>
      <c r="C21" s="53" t="s">
        <v>70</v>
      </c>
      <c r="D21" s="24" t="s">
        <v>1</v>
      </c>
      <c r="E21" s="70">
        <v>250</v>
      </c>
      <c r="F21" s="57">
        <v>38000</v>
      </c>
      <c r="G21" s="69">
        <f t="shared" si="1"/>
        <v>1976.0000000000002</v>
      </c>
      <c r="H21" s="27">
        <f t="shared" si="2"/>
        <v>39976</v>
      </c>
      <c r="I21" s="36">
        <v>115617</v>
      </c>
      <c r="J21" s="28">
        <f t="shared" si="3"/>
        <v>28904250</v>
      </c>
      <c r="K21" s="57">
        <v>44000</v>
      </c>
      <c r="L21" s="28">
        <f t="shared" si="4"/>
        <v>11000000</v>
      </c>
      <c r="M21" s="28">
        <v>43000</v>
      </c>
      <c r="N21" s="29">
        <f t="shared" si="5"/>
        <v>10750000</v>
      </c>
      <c r="O21" s="29">
        <v>41000</v>
      </c>
      <c r="P21" s="29">
        <f t="shared" si="6"/>
        <v>10250000</v>
      </c>
      <c r="Q21" s="71">
        <v>75000</v>
      </c>
      <c r="R21" s="29">
        <f t="shared" si="0"/>
        <v>18750000</v>
      </c>
      <c r="S21" s="30">
        <f>MIN(H21,K21,M21,O21)</f>
        <v>39976</v>
      </c>
      <c r="T21" s="26">
        <f>HARMEAN(H21,K21,M21,O21)</f>
        <v>41933.846602755046</v>
      </c>
      <c r="U21" s="30">
        <f>AVERAGE(H21,K21,M21,O21)</f>
        <v>41994</v>
      </c>
      <c r="V21" s="26">
        <f>GEOMEAN(H21,K21,M21,O21)</f>
        <v>41963.922984392069</v>
      </c>
      <c r="W21" s="25">
        <f>STDEVA(H21,K21,M21,O21)</f>
        <v>1834.5237347424354</v>
      </c>
      <c r="X21" s="31">
        <f t="shared" si="10"/>
        <v>4.3685377309673652E-2</v>
      </c>
      <c r="Y21" s="30">
        <f t="shared" si="8"/>
        <v>41934</v>
      </c>
      <c r="Z21" s="22" t="s">
        <v>21</v>
      </c>
      <c r="AB21" s="34"/>
    </row>
    <row r="22" spans="2:28" x14ac:dyDescent="0.25">
      <c r="J22" s="34">
        <f>SUM(J9:J21)</f>
        <v>140664851</v>
      </c>
      <c r="L22" s="34">
        <f>SUM(L9:L21)</f>
        <v>155635000</v>
      </c>
      <c r="N22" s="34">
        <f>SUM(N9:N21)</f>
        <v>149504000</v>
      </c>
      <c r="P22" s="34">
        <f>SUM(P9:P21)</f>
        <v>145175000</v>
      </c>
      <c r="R22" s="34">
        <f>SUM(R9:R21)</f>
        <v>176533000</v>
      </c>
    </row>
  </sheetData>
  <protectedRanges>
    <protectedRange sqref="C9:C10" name="Rango1_8_1_1_1_1"/>
  </protectedRanges>
  <autoFilter ref="B7:X22" xr:uid="{00000000-0009-0000-0000-000000000000}"/>
  <mergeCells count="6">
    <mergeCell ref="Q6:R6"/>
    <mergeCell ref="I6:J6"/>
    <mergeCell ref="K6:L6"/>
    <mergeCell ref="M6:N6"/>
    <mergeCell ref="B1:N4"/>
    <mergeCell ref="O6:P6"/>
  </mergeCells>
  <conditionalFormatting sqref="C9">
    <cfRule type="duplicateValues" dxfId="29" priority="11"/>
  </conditionalFormatting>
  <conditionalFormatting sqref="C10">
    <cfRule type="duplicateValues" dxfId="28" priority="12"/>
  </conditionalFormatting>
  <conditionalFormatting sqref="C11">
    <cfRule type="duplicateValues" dxfId="27" priority="13"/>
  </conditionalFormatting>
  <conditionalFormatting sqref="C12 C15 C18">
    <cfRule type="duplicateValues" dxfId="26" priority="14"/>
  </conditionalFormatting>
  <conditionalFormatting sqref="C13:C14">
    <cfRule type="duplicateValues" dxfId="25" priority="17"/>
  </conditionalFormatting>
  <conditionalFormatting sqref="C16">
    <cfRule type="duplicateValues" dxfId="24" priority="18"/>
  </conditionalFormatting>
  <conditionalFormatting sqref="C17">
    <cfRule type="duplicateValues" dxfId="23" priority="19"/>
  </conditionalFormatting>
  <conditionalFormatting sqref="C19">
    <cfRule type="duplicateValues" dxfId="22" priority="20"/>
  </conditionalFormatting>
  <conditionalFormatting sqref="C20">
    <cfRule type="duplicateValues" dxfId="21" priority="21"/>
  </conditionalFormatting>
  <conditionalFormatting sqref="C21">
    <cfRule type="duplicateValues" dxfId="20" priority="22"/>
  </conditionalFormatting>
  <pageMargins left="0.75" right="0.75" top="1" bottom="1" header="0.5" footer="0.5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T30"/>
  <sheetViews>
    <sheetView topLeftCell="C1" zoomScaleNormal="100" workbookViewId="0">
      <selection activeCell="Q4" sqref="Q4:Q16"/>
    </sheetView>
  </sheetViews>
  <sheetFormatPr baseColWidth="10" defaultColWidth="11.44140625" defaultRowHeight="13.8" x14ac:dyDescent="0.3"/>
  <cols>
    <col min="1" max="1" width="5.109375" style="39" customWidth="1"/>
    <col min="2" max="2" width="6.44140625" style="39" customWidth="1"/>
    <col min="3" max="3" width="63.33203125" style="39" customWidth="1"/>
    <col min="4" max="4" width="9.33203125" style="39" customWidth="1"/>
    <col min="5" max="5" width="11.44140625" style="39" customWidth="1"/>
    <col min="6" max="16" width="9.33203125" style="39" customWidth="1"/>
    <col min="17" max="17" width="11.44140625" style="39" customWidth="1"/>
    <col min="18" max="18" width="11.44140625" style="48" customWidth="1"/>
    <col min="19" max="19" width="8.88671875" style="39" customWidth="1"/>
    <col min="20" max="20" width="11.44140625" style="39" customWidth="1"/>
    <col min="21" max="21" width="8.109375" style="39" customWidth="1"/>
    <col min="22" max="22" width="12.88671875" style="39" customWidth="1"/>
    <col min="23" max="23" width="9.44140625" style="39" customWidth="1"/>
    <col min="24" max="24" width="11.44140625" style="39" customWidth="1"/>
    <col min="25" max="25" width="8.6640625" style="39" customWidth="1"/>
    <col min="26" max="26" width="11.88671875" style="39" customWidth="1"/>
    <col min="27" max="27" width="11.109375" style="39" customWidth="1"/>
    <col min="28" max="28" width="12" style="39" customWidth="1"/>
    <col min="29" max="29" width="12.88671875" style="39" customWidth="1"/>
    <col min="30" max="30" width="13" style="39" customWidth="1"/>
    <col min="31" max="31" width="11.109375" style="39" customWidth="1"/>
    <col min="32" max="32" width="13.88671875" style="39" customWidth="1"/>
    <col min="33" max="33" width="11.109375" style="39" customWidth="1"/>
    <col min="34" max="34" width="12.5546875" style="39" customWidth="1"/>
    <col min="35" max="35" width="11.109375" style="39" customWidth="1"/>
    <col min="36" max="36" width="13.109375" style="39" customWidth="1"/>
    <col min="37" max="37" width="11.109375" style="39" customWidth="1"/>
    <col min="38" max="38" width="13.6640625" style="39" customWidth="1"/>
    <col min="39" max="39" width="11.109375" style="39" customWidth="1"/>
    <col min="40" max="40" width="13" style="39" customWidth="1"/>
    <col min="41" max="41" width="12.33203125" style="39" customWidth="1"/>
    <col min="42" max="42" width="13" style="39" customWidth="1"/>
    <col min="43" max="43" width="11.44140625" style="39"/>
    <col min="44" max="44" width="5.33203125" style="39" customWidth="1"/>
    <col min="45" max="45" width="11.44140625" style="39"/>
    <col min="46" max="46" width="5.5546875" style="39" customWidth="1"/>
    <col min="47" max="16384" width="11.44140625" style="39"/>
  </cols>
  <sheetData>
    <row r="2" spans="2:46" ht="27.6" x14ac:dyDescent="0.3">
      <c r="B2" s="37" t="s">
        <v>15</v>
      </c>
      <c r="C2" s="37" t="s">
        <v>14</v>
      </c>
      <c r="D2" s="38" t="s">
        <v>16</v>
      </c>
      <c r="E2" s="37" t="s">
        <v>17</v>
      </c>
      <c r="F2" s="1" t="s">
        <v>51</v>
      </c>
      <c r="G2" s="1" t="s">
        <v>52</v>
      </c>
      <c r="H2" s="1" t="s">
        <v>55</v>
      </c>
      <c r="I2" s="1" t="s">
        <v>50</v>
      </c>
      <c r="J2" s="1" t="s">
        <v>78</v>
      </c>
      <c r="K2" s="1" t="s">
        <v>54</v>
      </c>
      <c r="L2" s="1" t="s">
        <v>28</v>
      </c>
      <c r="M2" s="1" t="s">
        <v>53</v>
      </c>
      <c r="N2" s="1" t="s">
        <v>77</v>
      </c>
      <c r="O2" s="1" t="s">
        <v>49</v>
      </c>
      <c r="P2" s="1" t="s">
        <v>56</v>
      </c>
      <c r="Q2" s="2" t="s">
        <v>29</v>
      </c>
      <c r="R2" s="3" t="s">
        <v>30</v>
      </c>
      <c r="S2" s="1" t="s">
        <v>51</v>
      </c>
      <c r="T2" s="1"/>
      <c r="U2" s="1" t="s">
        <v>52</v>
      </c>
      <c r="V2" s="1"/>
      <c r="W2" s="1" t="s">
        <v>55</v>
      </c>
      <c r="X2" s="1"/>
      <c r="Y2" s="1" t="s">
        <v>50</v>
      </c>
      <c r="Z2" s="1"/>
      <c r="AA2" s="1" t="s">
        <v>78</v>
      </c>
      <c r="AB2" s="1"/>
      <c r="AC2" s="1" t="s">
        <v>54</v>
      </c>
      <c r="AD2" s="1"/>
      <c r="AE2" s="1" t="s">
        <v>28</v>
      </c>
      <c r="AF2" s="1"/>
      <c r="AG2" s="1" t="s">
        <v>53</v>
      </c>
      <c r="AH2" s="1"/>
      <c r="AI2" s="1" t="s">
        <v>77</v>
      </c>
      <c r="AJ2" s="1"/>
      <c r="AK2" s="1" t="s">
        <v>49</v>
      </c>
      <c r="AL2" s="1"/>
      <c r="AM2" s="1" t="s">
        <v>56</v>
      </c>
      <c r="AN2" s="1"/>
      <c r="AO2" s="2" t="s">
        <v>31</v>
      </c>
      <c r="AQ2" s="86" t="s">
        <v>32</v>
      </c>
      <c r="AR2" s="87"/>
      <c r="AS2" s="87"/>
      <c r="AT2" s="88"/>
    </row>
    <row r="3" spans="2:46" ht="27.6" x14ac:dyDescent="0.3">
      <c r="B3" s="40" t="s">
        <v>0</v>
      </c>
      <c r="C3" s="72" t="s">
        <v>46</v>
      </c>
      <c r="D3" s="41"/>
      <c r="E3" s="42"/>
      <c r="F3" s="43"/>
      <c r="G3" s="59"/>
      <c r="H3" s="43"/>
      <c r="I3" s="43"/>
      <c r="J3" s="43"/>
      <c r="K3" s="43"/>
      <c r="L3" s="43"/>
      <c r="M3" s="43"/>
      <c r="N3" s="43"/>
      <c r="O3" s="43"/>
      <c r="P3" s="43"/>
      <c r="Q3" s="43"/>
      <c r="R3" s="44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Q3" s="63" t="s">
        <v>33</v>
      </c>
      <c r="AR3" s="63" t="s">
        <v>34</v>
      </c>
      <c r="AS3" s="63" t="s">
        <v>35</v>
      </c>
      <c r="AT3" s="63" t="s">
        <v>34</v>
      </c>
    </row>
    <row r="4" spans="2:46" ht="27.6" x14ac:dyDescent="0.3">
      <c r="B4" s="45" t="s">
        <v>0</v>
      </c>
      <c r="C4" s="58" t="s">
        <v>59</v>
      </c>
      <c r="D4" s="59" t="s">
        <v>1</v>
      </c>
      <c r="E4" s="70">
        <f>Q4</f>
        <v>56</v>
      </c>
      <c r="F4" s="73">
        <v>0</v>
      </c>
      <c r="G4" s="73">
        <v>0</v>
      </c>
      <c r="H4" s="73">
        <v>0</v>
      </c>
      <c r="I4" s="73">
        <v>0</v>
      </c>
      <c r="J4" s="73">
        <v>0</v>
      </c>
      <c r="K4" s="73">
        <v>55</v>
      </c>
      <c r="L4" s="73">
        <v>0</v>
      </c>
      <c r="M4" s="73">
        <v>0</v>
      </c>
      <c r="N4" s="73">
        <v>1</v>
      </c>
      <c r="O4" s="73">
        <v>0</v>
      </c>
      <c r="P4" s="73">
        <v>0</v>
      </c>
      <c r="Q4" s="43">
        <f>F4+G4+H4+I4+J4+K4+L4+M4+N4+O4+P4</f>
        <v>56</v>
      </c>
      <c r="R4" s="47">
        <v>152259</v>
      </c>
      <c r="S4" s="44">
        <f>F4</f>
        <v>0</v>
      </c>
      <c r="T4" s="44">
        <f>S4*R4</f>
        <v>0</v>
      </c>
      <c r="U4" s="44">
        <f>G4</f>
        <v>0</v>
      </c>
      <c r="V4" s="44">
        <f>U4*R4</f>
        <v>0</v>
      </c>
      <c r="W4" s="44">
        <f>H4</f>
        <v>0</v>
      </c>
      <c r="X4" s="44">
        <f>W4*R4</f>
        <v>0</v>
      </c>
      <c r="Y4" s="44">
        <f>I4</f>
        <v>0</v>
      </c>
      <c r="Z4" s="44">
        <f>Y4*R4</f>
        <v>0</v>
      </c>
      <c r="AA4" s="44">
        <f>J4</f>
        <v>0</v>
      </c>
      <c r="AB4" s="44">
        <f>AA4*R4</f>
        <v>0</v>
      </c>
      <c r="AC4" s="44">
        <v>16</v>
      </c>
      <c r="AD4" s="44">
        <f>AC4*R4</f>
        <v>2436144</v>
      </c>
      <c r="AE4" s="44">
        <f>L4</f>
        <v>0</v>
      </c>
      <c r="AF4" s="44">
        <f>AE4*R4</f>
        <v>0</v>
      </c>
      <c r="AG4" s="44">
        <f>M4</f>
        <v>0</v>
      </c>
      <c r="AH4" s="44">
        <f>AG4*R4</f>
        <v>0</v>
      </c>
      <c r="AI4" s="44">
        <f>N4</f>
        <v>1</v>
      </c>
      <c r="AJ4" s="44">
        <f>AI4*R4</f>
        <v>152259</v>
      </c>
      <c r="AK4" s="44">
        <f>O4</f>
        <v>0</v>
      </c>
      <c r="AL4" s="44">
        <f>AK4*R4</f>
        <v>0</v>
      </c>
      <c r="AM4" s="44">
        <f>P4</f>
        <v>0</v>
      </c>
      <c r="AN4" s="44">
        <f>AM4*R4</f>
        <v>0</v>
      </c>
      <c r="AO4" s="44">
        <f>(S4+U4+W4+Y4+AA4+AC4+AE4+AG4+AM4+AK4+AI4)</f>
        <v>17</v>
      </c>
      <c r="AP4" s="47">
        <f>AO4*R4</f>
        <v>2588403</v>
      </c>
      <c r="AQ4" s="44">
        <f>AO4</f>
        <v>17</v>
      </c>
      <c r="AR4" s="44">
        <f>+(AQ4*100)/(AQ4+AS4)</f>
        <v>30.357142857142858</v>
      </c>
      <c r="AS4" s="46">
        <f>+Q4-AO4</f>
        <v>39</v>
      </c>
      <c r="AT4" s="44">
        <f>100-AR4</f>
        <v>69.642857142857139</v>
      </c>
    </row>
    <row r="5" spans="2:46" ht="39" customHeight="1" x14ac:dyDescent="0.3">
      <c r="B5" s="45" t="s">
        <v>2</v>
      </c>
      <c r="C5" s="60" t="s">
        <v>73</v>
      </c>
      <c r="D5" s="59" t="s">
        <v>1</v>
      </c>
      <c r="E5" s="70">
        <f t="shared" ref="E5:E16" si="0">Q5</f>
        <v>12</v>
      </c>
      <c r="F5" s="74">
        <v>0</v>
      </c>
      <c r="G5" s="74">
        <v>0</v>
      </c>
      <c r="H5" s="73">
        <v>0</v>
      </c>
      <c r="I5" s="73">
        <v>0</v>
      </c>
      <c r="J5" s="73">
        <v>0</v>
      </c>
      <c r="K5" s="74">
        <v>4</v>
      </c>
      <c r="L5" s="74">
        <v>4</v>
      </c>
      <c r="M5" s="74">
        <v>3</v>
      </c>
      <c r="N5" s="74">
        <v>1</v>
      </c>
      <c r="O5" s="74">
        <v>0</v>
      </c>
      <c r="P5" s="74">
        <v>0</v>
      </c>
      <c r="Q5" s="43">
        <f t="shared" ref="Q5:Q16" si="1">F5+G5+H5+I5+J5+K5+L5+M5+N5+O5+P5</f>
        <v>12</v>
      </c>
      <c r="R5" s="47">
        <v>649552</v>
      </c>
      <c r="S5" s="44">
        <f t="shared" ref="S5:S15" si="2">F5</f>
        <v>0</v>
      </c>
      <c r="T5" s="44">
        <f t="shared" ref="T5:T16" si="3">S5*R5</f>
        <v>0</v>
      </c>
      <c r="U5" s="44">
        <f t="shared" ref="U5:U15" si="4">G5</f>
        <v>0</v>
      </c>
      <c r="V5" s="44">
        <f t="shared" ref="V5:V16" si="5">U5*R5</f>
        <v>0</v>
      </c>
      <c r="W5" s="44">
        <f t="shared" ref="W5:W15" si="6">H5</f>
        <v>0</v>
      </c>
      <c r="X5" s="44">
        <f t="shared" ref="X5:X16" si="7">W5*R5</f>
        <v>0</v>
      </c>
      <c r="Y5" s="44">
        <f t="shared" ref="Y5:Y15" si="8">I5</f>
        <v>0</v>
      </c>
      <c r="Z5" s="44">
        <f t="shared" ref="Z5:Z16" si="9">Y5*R5</f>
        <v>0</v>
      </c>
      <c r="AA5" s="44">
        <f t="shared" ref="AA5:AA15" si="10">J5</f>
        <v>0</v>
      </c>
      <c r="AB5" s="44">
        <f t="shared" ref="AB5:AB16" si="11">AA5*R5</f>
        <v>0</v>
      </c>
      <c r="AC5" s="44">
        <v>2</v>
      </c>
      <c r="AD5" s="44">
        <f t="shared" ref="AD5:AD16" si="12">AC5*R5</f>
        <v>1299104</v>
      </c>
      <c r="AE5" s="44">
        <v>3</v>
      </c>
      <c r="AF5" s="44">
        <f t="shared" ref="AF5:AF16" si="13">AE5*R5</f>
        <v>1948656</v>
      </c>
      <c r="AG5" s="44">
        <v>2</v>
      </c>
      <c r="AH5" s="44">
        <f t="shared" ref="AH5:AH16" si="14">AG5*R5</f>
        <v>1299104</v>
      </c>
      <c r="AI5" s="44"/>
      <c r="AJ5" s="44">
        <f t="shared" ref="AJ5:AJ16" si="15">AI5*R5</f>
        <v>0</v>
      </c>
      <c r="AK5" s="44">
        <f t="shared" ref="AK5:AK16" si="16">O5</f>
        <v>0</v>
      </c>
      <c r="AL5" s="44">
        <f t="shared" ref="AL5:AL16" si="17">AK5*R5</f>
        <v>0</v>
      </c>
      <c r="AM5" s="44">
        <f t="shared" ref="AM5:AM16" si="18">P5</f>
        <v>0</v>
      </c>
      <c r="AN5" s="44">
        <f t="shared" ref="AN5:AN16" si="19">AM5*R5</f>
        <v>0</v>
      </c>
      <c r="AO5" s="44">
        <f t="shared" ref="AO5:AO16" si="20">(S5+U5+W5+Y5+AA5+AC5+AE5+AG5+AM5+AK5+AI5)</f>
        <v>7</v>
      </c>
      <c r="AP5" s="47">
        <f t="shared" ref="AP5:AP16" si="21">AO5*R5</f>
        <v>4546864</v>
      </c>
      <c r="AQ5" s="44">
        <f t="shared" ref="AQ5:AQ16" si="22">AO5</f>
        <v>7</v>
      </c>
      <c r="AR5" s="44">
        <f t="shared" ref="AR5:AR16" si="23">+(AQ5*100)/(AQ5+AS5)</f>
        <v>58.333333333333336</v>
      </c>
      <c r="AS5" s="46">
        <f t="shared" ref="AS5:AS16" si="24">+Q5-AO5</f>
        <v>5</v>
      </c>
      <c r="AT5" s="44">
        <f t="shared" ref="AT5:AT16" si="25">100-AR5</f>
        <v>41.666666666666664</v>
      </c>
    </row>
    <row r="6" spans="2:46" ht="55.2" x14ac:dyDescent="0.3">
      <c r="B6" s="45" t="s">
        <v>3</v>
      </c>
      <c r="C6" s="61" t="s">
        <v>60</v>
      </c>
      <c r="D6" s="59" t="s">
        <v>1</v>
      </c>
      <c r="E6" s="70">
        <f t="shared" si="0"/>
        <v>21</v>
      </c>
      <c r="F6" s="73">
        <v>0</v>
      </c>
      <c r="G6" s="73">
        <v>0</v>
      </c>
      <c r="H6" s="73">
        <v>0</v>
      </c>
      <c r="I6" s="73">
        <v>0</v>
      </c>
      <c r="J6" s="73">
        <v>0</v>
      </c>
      <c r="K6" s="73">
        <v>20</v>
      </c>
      <c r="L6" s="73">
        <v>0</v>
      </c>
      <c r="M6" s="73">
        <v>0</v>
      </c>
      <c r="N6" s="73">
        <v>1</v>
      </c>
      <c r="O6" s="73">
        <v>0</v>
      </c>
      <c r="P6" s="73">
        <v>0</v>
      </c>
      <c r="Q6" s="43">
        <f t="shared" si="1"/>
        <v>21</v>
      </c>
      <c r="R6" s="47">
        <v>147506</v>
      </c>
      <c r="S6" s="44">
        <f t="shared" si="2"/>
        <v>0</v>
      </c>
      <c r="T6" s="44">
        <f t="shared" si="3"/>
        <v>0</v>
      </c>
      <c r="U6" s="44">
        <f t="shared" si="4"/>
        <v>0</v>
      </c>
      <c r="V6" s="44">
        <f t="shared" si="5"/>
        <v>0</v>
      </c>
      <c r="W6" s="44">
        <f t="shared" si="6"/>
        <v>0</v>
      </c>
      <c r="X6" s="44">
        <f t="shared" si="7"/>
        <v>0</v>
      </c>
      <c r="Y6" s="44">
        <f t="shared" si="8"/>
        <v>0</v>
      </c>
      <c r="Z6" s="44">
        <f t="shared" si="9"/>
        <v>0</v>
      </c>
      <c r="AA6" s="44">
        <f t="shared" si="10"/>
        <v>0</v>
      </c>
      <c r="AB6" s="44">
        <f t="shared" si="11"/>
        <v>0</v>
      </c>
      <c r="AC6" s="44">
        <v>10</v>
      </c>
      <c r="AD6" s="44">
        <f t="shared" si="12"/>
        <v>1475060</v>
      </c>
      <c r="AE6" s="44">
        <f t="shared" ref="AE6:AE16" si="26">L6</f>
        <v>0</v>
      </c>
      <c r="AF6" s="44">
        <f t="shared" si="13"/>
        <v>0</v>
      </c>
      <c r="AG6" s="44">
        <f t="shared" ref="AG6:AG15" si="27">M6</f>
        <v>0</v>
      </c>
      <c r="AH6" s="44">
        <f t="shared" si="14"/>
        <v>0</v>
      </c>
      <c r="AI6" s="44"/>
      <c r="AJ6" s="44">
        <f t="shared" si="15"/>
        <v>0</v>
      </c>
      <c r="AK6" s="44">
        <f t="shared" si="16"/>
        <v>0</v>
      </c>
      <c r="AL6" s="44">
        <f t="shared" si="17"/>
        <v>0</v>
      </c>
      <c r="AM6" s="44">
        <f t="shared" si="18"/>
        <v>0</v>
      </c>
      <c r="AN6" s="44">
        <f t="shared" si="19"/>
        <v>0</v>
      </c>
      <c r="AO6" s="44">
        <f t="shared" si="20"/>
        <v>10</v>
      </c>
      <c r="AP6" s="47">
        <f t="shared" si="21"/>
        <v>1475060</v>
      </c>
      <c r="AQ6" s="44">
        <f t="shared" si="22"/>
        <v>10</v>
      </c>
      <c r="AR6" s="44">
        <f t="shared" si="23"/>
        <v>47.61904761904762</v>
      </c>
      <c r="AS6" s="46">
        <f t="shared" si="24"/>
        <v>11</v>
      </c>
      <c r="AT6" s="44">
        <f t="shared" si="25"/>
        <v>52.38095238095238</v>
      </c>
    </row>
    <row r="7" spans="2:46" ht="57.75" customHeight="1" x14ac:dyDescent="0.3">
      <c r="B7" s="45" t="s">
        <v>4</v>
      </c>
      <c r="C7" s="61" t="s">
        <v>61</v>
      </c>
      <c r="D7" s="59" t="s">
        <v>1</v>
      </c>
      <c r="E7" s="70">
        <f t="shared" si="0"/>
        <v>145</v>
      </c>
      <c r="F7" s="73">
        <v>20</v>
      </c>
      <c r="G7" s="75">
        <v>4</v>
      </c>
      <c r="H7" s="73">
        <v>0</v>
      </c>
      <c r="I7" s="73">
        <v>0</v>
      </c>
      <c r="J7" s="73">
        <v>0</v>
      </c>
      <c r="K7" s="73">
        <v>0</v>
      </c>
      <c r="L7" s="73">
        <v>0</v>
      </c>
      <c r="M7" s="73">
        <v>0</v>
      </c>
      <c r="N7" s="73">
        <v>1</v>
      </c>
      <c r="O7" s="73">
        <v>0</v>
      </c>
      <c r="P7" s="73">
        <v>120</v>
      </c>
      <c r="Q7" s="43">
        <f t="shared" si="1"/>
        <v>145</v>
      </c>
      <c r="R7" s="47">
        <v>118483</v>
      </c>
      <c r="S7" s="44">
        <v>3</v>
      </c>
      <c r="T7" s="44">
        <f t="shared" si="3"/>
        <v>355449</v>
      </c>
      <c r="U7" s="44">
        <f t="shared" si="4"/>
        <v>4</v>
      </c>
      <c r="V7" s="44">
        <f t="shared" si="5"/>
        <v>473932</v>
      </c>
      <c r="W7" s="44">
        <f t="shared" si="6"/>
        <v>0</v>
      </c>
      <c r="X7" s="44">
        <f t="shared" si="7"/>
        <v>0</v>
      </c>
      <c r="Y7" s="44">
        <f t="shared" si="8"/>
        <v>0</v>
      </c>
      <c r="Z7" s="44">
        <f t="shared" si="9"/>
        <v>0</v>
      </c>
      <c r="AA7" s="44">
        <f t="shared" si="10"/>
        <v>0</v>
      </c>
      <c r="AB7" s="44">
        <f t="shared" si="11"/>
        <v>0</v>
      </c>
      <c r="AC7" s="44">
        <f t="shared" ref="AC7:AC16" si="28">K7</f>
        <v>0</v>
      </c>
      <c r="AD7" s="44">
        <f t="shared" si="12"/>
        <v>0</v>
      </c>
      <c r="AE7" s="44">
        <f t="shared" si="26"/>
        <v>0</v>
      </c>
      <c r="AF7" s="44">
        <f t="shared" si="13"/>
        <v>0</v>
      </c>
      <c r="AG7" s="44">
        <f t="shared" si="27"/>
        <v>0</v>
      </c>
      <c r="AH7" s="44">
        <f t="shared" si="14"/>
        <v>0</v>
      </c>
      <c r="AI7" s="44"/>
      <c r="AJ7" s="44">
        <f t="shared" si="15"/>
        <v>0</v>
      </c>
      <c r="AK7" s="44">
        <f t="shared" si="16"/>
        <v>0</v>
      </c>
      <c r="AL7" s="44">
        <f t="shared" si="17"/>
        <v>0</v>
      </c>
      <c r="AM7" s="44">
        <v>18</v>
      </c>
      <c r="AN7" s="44">
        <f t="shared" si="19"/>
        <v>2132694</v>
      </c>
      <c r="AO7" s="44">
        <f t="shared" si="20"/>
        <v>25</v>
      </c>
      <c r="AP7" s="47">
        <f t="shared" si="21"/>
        <v>2962075</v>
      </c>
      <c r="AQ7" s="44">
        <f t="shared" si="22"/>
        <v>25</v>
      </c>
      <c r="AR7" s="44">
        <f t="shared" si="23"/>
        <v>17.241379310344829</v>
      </c>
      <c r="AS7" s="46">
        <f t="shared" si="24"/>
        <v>120</v>
      </c>
      <c r="AT7" s="44">
        <f t="shared" si="25"/>
        <v>82.758620689655174</v>
      </c>
    </row>
    <row r="8" spans="2:46" ht="69" x14ac:dyDescent="0.3">
      <c r="B8" s="45" t="s">
        <v>5</v>
      </c>
      <c r="C8" s="61" t="s">
        <v>62</v>
      </c>
      <c r="D8" s="59" t="s">
        <v>1</v>
      </c>
      <c r="E8" s="70">
        <f t="shared" si="0"/>
        <v>363</v>
      </c>
      <c r="F8" s="73">
        <v>0</v>
      </c>
      <c r="G8" s="73">
        <v>0</v>
      </c>
      <c r="H8" s="73">
        <v>0</v>
      </c>
      <c r="I8" s="73">
        <v>2</v>
      </c>
      <c r="J8" s="73">
        <v>0</v>
      </c>
      <c r="K8" s="73">
        <v>120</v>
      </c>
      <c r="L8" s="73">
        <v>150</v>
      </c>
      <c r="M8" s="73">
        <v>0</v>
      </c>
      <c r="N8" s="73">
        <v>1</v>
      </c>
      <c r="O8" s="75">
        <v>30</v>
      </c>
      <c r="P8" s="73">
        <v>60</v>
      </c>
      <c r="Q8" s="43">
        <f t="shared" si="1"/>
        <v>363</v>
      </c>
      <c r="R8" s="47">
        <v>152208</v>
      </c>
      <c r="S8" s="44">
        <f t="shared" si="2"/>
        <v>0</v>
      </c>
      <c r="T8" s="44">
        <f t="shared" si="3"/>
        <v>0</v>
      </c>
      <c r="U8" s="44">
        <f t="shared" si="4"/>
        <v>0</v>
      </c>
      <c r="V8" s="44">
        <f t="shared" si="5"/>
        <v>0</v>
      </c>
      <c r="W8" s="44">
        <f t="shared" si="6"/>
        <v>0</v>
      </c>
      <c r="X8" s="44">
        <f t="shared" si="7"/>
        <v>0</v>
      </c>
      <c r="Y8" s="44">
        <f t="shared" si="8"/>
        <v>2</v>
      </c>
      <c r="Z8" s="44">
        <f t="shared" si="9"/>
        <v>304416</v>
      </c>
      <c r="AA8" s="44">
        <f t="shared" si="10"/>
        <v>0</v>
      </c>
      <c r="AB8" s="44">
        <f t="shared" si="11"/>
        <v>0</v>
      </c>
      <c r="AC8" s="44">
        <v>60</v>
      </c>
      <c r="AD8" s="44">
        <f t="shared" si="12"/>
        <v>9132480</v>
      </c>
      <c r="AE8" s="44">
        <v>50</v>
      </c>
      <c r="AF8" s="44">
        <f t="shared" si="13"/>
        <v>7610400</v>
      </c>
      <c r="AG8" s="44">
        <f t="shared" si="27"/>
        <v>0</v>
      </c>
      <c r="AH8" s="44">
        <f t="shared" si="14"/>
        <v>0</v>
      </c>
      <c r="AI8" s="44"/>
      <c r="AJ8" s="44">
        <f t="shared" si="15"/>
        <v>0</v>
      </c>
      <c r="AK8" s="44">
        <v>26</v>
      </c>
      <c r="AL8" s="44">
        <f t="shared" si="17"/>
        <v>3957408</v>
      </c>
      <c r="AM8" s="44">
        <v>20</v>
      </c>
      <c r="AN8" s="44">
        <f t="shared" si="19"/>
        <v>3044160</v>
      </c>
      <c r="AO8" s="44">
        <f t="shared" si="20"/>
        <v>158</v>
      </c>
      <c r="AP8" s="47">
        <f t="shared" si="21"/>
        <v>24048864</v>
      </c>
      <c r="AQ8" s="44">
        <f t="shared" si="22"/>
        <v>158</v>
      </c>
      <c r="AR8" s="44">
        <f t="shared" si="23"/>
        <v>43.526170798898072</v>
      </c>
      <c r="AS8" s="46">
        <f t="shared" si="24"/>
        <v>205</v>
      </c>
      <c r="AT8" s="44">
        <f t="shared" si="25"/>
        <v>56.473829201101928</v>
      </c>
    </row>
    <row r="9" spans="2:46" ht="54.75" customHeight="1" x14ac:dyDescent="0.3">
      <c r="B9" s="45" t="s">
        <v>6</v>
      </c>
      <c r="C9" s="61" t="s">
        <v>63</v>
      </c>
      <c r="D9" s="59" t="s">
        <v>1</v>
      </c>
      <c r="E9" s="70">
        <f t="shared" si="0"/>
        <v>106</v>
      </c>
      <c r="F9" s="73">
        <v>20</v>
      </c>
      <c r="G9" s="75">
        <v>3</v>
      </c>
      <c r="H9" s="73">
        <v>0</v>
      </c>
      <c r="I9" s="73">
        <v>24</v>
      </c>
      <c r="J9" s="73">
        <v>8</v>
      </c>
      <c r="K9" s="73">
        <v>50</v>
      </c>
      <c r="L9" s="73">
        <v>0</v>
      </c>
      <c r="M9" s="73">
        <v>0</v>
      </c>
      <c r="N9" s="73">
        <v>1</v>
      </c>
      <c r="O9" s="73">
        <v>0</v>
      </c>
      <c r="P9" s="73">
        <v>0</v>
      </c>
      <c r="Q9" s="43">
        <f t="shared" si="1"/>
        <v>106</v>
      </c>
      <c r="R9" s="47">
        <v>28553</v>
      </c>
      <c r="S9" s="44">
        <v>2</v>
      </c>
      <c r="T9" s="44">
        <f t="shared" si="3"/>
        <v>57106</v>
      </c>
      <c r="U9" s="44">
        <f t="shared" si="4"/>
        <v>3</v>
      </c>
      <c r="V9" s="44">
        <f t="shared" si="5"/>
        <v>85659</v>
      </c>
      <c r="W9" s="44">
        <f t="shared" si="6"/>
        <v>0</v>
      </c>
      <c r="X9" s="44">
        <f t="shared" si="7"/>
        <v>0</v>
      </c>
      <c r="Y9" s="44">
        <v>10</v>
      </c>
      <c r="Z9" s="44">
        <f t="shared" si="9"/>
        <v>285530</v>
      </c>
      <c r="AA9" s="44">
        <v>3</v>
      </c>
      <c r="AB9" s="44">
        <f t="shared" si="11"/>
        <v>85659</v>
      </c>
      <c r="AC9" s="44">
        <v>25</v>
      </c>
      <c r="AD9" s="44">
        <f t="shared" si="12"/>
        <v>713825</v>
      </c>
      <c r="AE9" s="44">
        <f t="shared" si="26"/>
        <v>0</v>
      </c>
      <c r="AF9" s="44">
        <f t="shared" si="13"/>
        <v>0</v>
      </c>
      <c r="AG9" s="44">
        <f t="shared" si="27"/>
        <v>0</v>
      </c>
      <c r="AH9" s="44">
        <f t="shared" si="14"/>
        <v>0</v>
      </c>
      <c r="AI9" s="44">
        <f t="shared" ref="AI9:AI15" si="29">N9</f>
        <v>1</v>
      </c>
      <c r="AJ9" s="44">
        <f t="shared" si="15"/>
        <v>28553</v>
      </c>
      <c r="AK9" s="44">
        <f t="shared" si="16"/>
        <v>0</v>
      </c>
      <c r="AL9" s="44">
        <f t="shared" si="17"/>
        <v>0</v>
      </c>
      <c r="AM9" s="44">
        <f t="shared" si="18"/>
        <v>0</v>
      </c>
      <c r="AN9" s="44">
        <f t="shared" si="19"/>
        <v>0</v>
      </c>
      <c r="AO9" s="44">
        <f t="shared" si="20"/>
        <v>44</v>
      </c>
      <c r="AP9" s="47">
        <f t="shared" si="21"/>
        <v>1256332</v>
      </c>
      <c r="AQ9" s="44">
        <f t="shared" si="22"/>
        <v>44</v>
      </c>
      <c r="AR9" s="44">
        <f t="shared" si="23"/>
        <v>41.509433962264154</v>
      </c>
      <c r="AS9" s="46">
        <f t="shared" si="24"/>
        <v>62</v>
      </c>
      <c r="AT9" s="44">
        <f t="shared" si="25"/>
        <v>58.490566037735846</v>
      </c>
    </row>
    <row r="10" spans="2:46" ht="41.4" x14ac:dyDescent="0.3">
      <c r="B10" s="45" t="s">
        <v>7</v>
      </c>
      <c r="C10" s="61" t="s">
        <v>64</v>
      </c>
      <c r="D10" s="59" t="s">
        <v>1</v>
      </c>
      <c r="E10" s="70">
        <f t="shared" si="0"/>
        <v>109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50</v>
      </c>
      <c r="L10" s="73">
        <v>30</v>
      </c>
      <c r="M10" s="73">
        <v>0</v>
      </c>
      <c r="N10" s="73">
        <v>1</v>
      </c>
      <c r="O10" s="73">
        <v>10</v>
      </c>
      <c r="P10" s="73">
        <v>18</v>
      </c>
      <c r="Q10" s="43">
        <f t="shared" si="1"/>
        <v>109</v>
      </c>
      <c r="R10" s="47">
        <v>78549</v>
      </c>
      <c r="S10" s="44">
        <f t="shared" si="2"/>
        <v>0</v>
      </c>
      <c r="T10" s="44">
        <f t="shared" si="3"/>
        <v>0</v>
      </c>
      <c r="U10" s="44">
        <f t="shared" si="4"/>
        <v>0</v>
      </c>
      <c r="V10" s="44">
        <f t="shared" si="5"/>
        <v>0</v>
      </c>
      <c r="W10" s="44">
        <f t="shared" si="6"/>
        <v>0</v>
      </c>
      <c r="X10" s="44">
        <f t="shared" si="7"/>
        <v>0</v>
      </c>
      <c r="Y10" s="44">
        <f t="shared" si="8"/>
        <v>0</v>
      </c>
      <c r="Z10" s="44">
        <f t="shared" si="9"/>
        <v>0</v>
      </c>
      <c r="AA10" s="44">
        <f t="shared" si="10"/>
        <v>0</v>
      </c>
      <c r="AB10" s="44">
        <f t="shared" si="11"/>
        <v>0</v>
      </c>
      <c r="AC10" s="44">
        <v>20</v>
      </c>
      <c r="AD10" s="44">
        <f t="shared" si="12"/>
        <v>1570980</v>
      </c>
      <c r="AE10" s="44">
        <v>9</v>
      </c>
      <c r="AF10" s="44">
        <f t="shared" si="13"/>
        <v>706941</v>
      </c>
      <c r="AG10" s="44">
        <f t="shared" si="27"/>
        <v>0</v>
      </c>
      <c r="AH10" s="44">
        <f t="shared" si="14"/>
        <v>0</v>
      </c>
      <c r="AI10" s="44"/>
      <c r="AJ10" s="44">
        <f t="shared" si="15"/>
        <v>0</v>
      </c>
      <c r="AK10" s="44">
        <f t="shared" si="16"/>
        <v>10</v>
      </c>
      <c r="AL10" s="44">
        <f t="shared" si="17"/>
        <v>785490</v>
      </c>
      <c r="AM10" s="44">
        <v>15</v>
      </c>
      <c r="AN10" s="44">
        <f t="shared" si="19"/>
        <v>1178235</v>
      </c>
      <c r="AO10" s="44">
        <f t="shared" si="20"/>
        <v>54</v>
      </c>
      <c r="AP10" s="47">
        <f t="shared" si="21"/>
        <v>4241646</v>
      </c>
      <c r="AQ10" s="44">
        <f t="shared" si="22"/>
        <v>54</v>
      </c>
      <c r="AR10" s="44">
        <f t="shared" si="23"/>
        <v>49.541284403669728</v>
      </c>
      <c r="AS10" s="46">
        <f t="shared" si="24"/>
        <v>55</v>
      </c>
      <c r="AT10" s="44">
        <f t="shared" si="25"/>
        <v>50.458715596330272</v>
      </c>
    </row>
    <row r="11" spans="2:46" x14ac:dyDescent="0.3">
      <c r="B11" s="45" t="s">
        <v>8</v>
      </c>
      <c r="C11" s="61" t="s">
        <v>65</v>
      </c>
      <c r="D11" s="59" t="s">
        <v>1</v>
      </c>
      <c r="E11" s="70">
        <f t="shared" si="0"/>
        <v>11</v>
      </c>
      <c r="F11" s="73">
        <v>0</v>
      </c>
      <c r="G11" s="73">
        <v>0</v>
      </c>
      <c r="H11" s="73">
        <v>0</v>
      </c>
      <c r="I11" s="73">
        <v>0</v>
      </c>
      <c r="J11" s="73">
        <v>0</v>
      </c>
      <c r="K11" s="73">
        <v>10</v>
      </c>
      <c r="L11" s="73">
        <v>0</v>
      </c>
      <c r="M11" s="73">
        <v>0</v>
      </c>
      <c r="N11" s="73">
        <v>1</v>
      </c>
      <c r="O11" s="73">
        <v>0</v>
      </c>
      <c r="P11" s="73">
        <v>0</v>
      </c>
      <c r="Q11" s="43">
        <f t="shared" si="1"/>
        <v>11</v>
      </c>
      <c r="R11" s="47">
        <v>40676</v>
      </c>
      <c r="S11" s="44">
        <f t="shared" si="2"/>
        <v>0</v>
      </c>
      <c r="T11" s="44">
        <f t="shared" si="3"/>
        <v>0</v>
      </c>
      <c r="U11" s="44">
        <f t="shared" si="4"/>
        <v>0</v>
      </c>
      <c r="V11" s="44">
        <f t="shared" si="5"/>
        <v>0</v>
      </c>
      <c r="W11" s="44">
        <f t="shared" si="6"/>
        <v>0</v>
      </c>
      <c r="X11" s="44">
        <f t="shared" si="7"/>
        <v>0</v>
      </c>
      <c r="Y11" s="44">
        <f t="shared" si="8"/>
        <v>0</v>
      </c>
      <c r="Z11" s="44">
        <f t="shared" si="9"/>
        <v>0</v>
      </c>
      <c r="AA11" s="44">
        <f t="shared" si="10"/>
        <v>0</v>
      </c>
      <c r="AB11" s="44">
        <f t="shared" si="11"/>
        <v>0</v>
      </c>
      <c r="AC11" s="44">
        <v>5</v>
      </c>
      <c r="AD11" s="44">
        <f t="shared" si="12"/>
        <v>203380</v>
      </c>
      <c r="AE11" s="44">
        <f t="shared" si="26"/>
        <v>0</v>
      </c>
      <c r="AF11" s="44">
        <f t="shared" si="13"/>
        <v>0</v>
      </c>
      <c r="AG11" s="44">
        <f t="shared" si="27"/>
        <v>0</v>
      </c>
      <c r="AH11" s="44">
        <f t="shared" si="14"/>
        <v>0</v>
      </c>
      <c r="AI11" s="44">
        <f t="shared" si="29"/>
        <v>1</v>
      </c>
      <c r="AJ11" s="44">
        <f t="shared" si="15"/>
        <v>40676</v>
      </c>
      <c r="AK11" s="44">
        <f t="shared" si="16"/>
        <v>0</v>
      </c>
      <c r="AL11" s="44">
        <f t="shared" si="17"/>
        <v>0</v>
      </c>
      <c r="AM11" s="44">
        <f t="shared" si="18"/>
        <v>0</v>
      </c>
      <c r="AN11" s="44">
        <f t="shared" si="19"/>
        <v>0</v>
      </c>
      <c r="AO11" s="44">
        <f t="shared" si="20"/>
        <v>6</v>
      </c>
      <c r="AP11" s="47">
        <f t="shared" si="21"/>
        <v>244056</v>
      </c>
      <c r="AQ11" s="44">
        <f t="shared" si="22"/>
        <v>6</v>
      </c>
      <c r="AR11" s="44">
        <f t="shared" si="23"/>
        <v>54.545454545454547</v>
      </c>
      <c r="AS11" s="46">
        <f t="shared" si="24"/>
        <v>5</v>
      </c>
      <c r="AT11" s="44">
        <f t="shared" si="25"/>
        <v>45.454545454545453</v>
      </c>
    </row>
    <row r="12" spans="2:46" ht="41.4" x14ac:dyDescent="0.3">
      <c r="B12" s="45" t="s">
        <v>9</v>
      </c>
      <c r="C12" s="61" t="s">
        <v>66</v>
      </c>
      <c r="D12" s="59" t="s">
        <v>1</v>
      </c>
      <c r="E12" s="70">
        <f t="shared" si="0"/>
        <v>221</v>
      </c>
      <c r="F12" s="73">
        <v>0</v>
      </c>
      <c r="G12" s="73">
        <v>0</v>
      </c>
      <c r="H12" s="73">
        <v>0</v>
      </c>
      <c r="I12" s="73">
        <v>0</v>
      </c>
      <c r="J12" s="73">
        <v>0</v>
      </c>
      <c r="K12" s="73">
        <v>120</v>
      </c>
      <c r="L12" s="73">
        <v>100</v>
      </c>
      <c r="M12" s="73">
        <v>0</v>
      </c>
      <c r="N12" s="73">
        <v>1</v>
      </c>
      <c r="O12" s="73">
        <v>0</v>
      </c>
      <c r="P12" s="73">
        <v>0</v>
      </c>
      <c r="Q12" s="43">
        <f t="shared" si="1"/>
        <v>221</v>
      </c>
      <c r="R12" s="47">
        <v>115279</v>
      </c>
      <c r="S12" s="44">
        <f t="shared" si="2"/>
        <v>0</v>
      </c>
      <c r="T12" s="44">
        <f t="shared" si="3"/>
        <v>0</v>
      </c>
      <c r="U12" s="44">
        <f t="shared" si="4"/>
        <v>0</v>
      </c>
      <c r="V12" s="44">
        <f t="shared" si="5"/>
        <v>0</v>
      </c>
      <c r="W12" s="44">
        <f t="shared" si="6"/>
        <v>0</v>
      </c>
      <c r="X12" s="44">
        <f t="shared" si="7"/>
        <v>0</v>
      </c>
      <c r="Y12" s="44">
        <f t="shared" si="8"/>
        <v>0</v>
      </c>
      <c r="Z12" s="44">
        <f t="shared" si="9"/>
        <v>0</v>
      </c>
      <c r="AA12" s="44">
        <f t="shared" si="10"/>
        <v>0</v>
      </c>
      <c r="AB12" s="44">
        <f t="shared" si="11"/>
        <v>0</v>
      </c>
      <c r="AC12" s="44">
        <v>10</v>
      </c>
      <c r="AD12" s="44">
        <f t="shared" si="12"/>
        <v>1152790</v>
      </c>
      <c r="AE12" s="44">
        <v>20</v>
      </c>
      <c r="AF12" s="44">
        <f t="shared" si="13"/>
        <v>2305580</v>
      </c>
      <c r="AG12" s="44">
        <f t="shared" si="27"/>
        <v>0</v>
      </c>
      <c r="AH12" s="44">
        <f t="shared" si="14"/>
        <v>0</v>
      </c>
      <c r="AI12" s="44">
        <f t="shared" si="29"/>
        <v>1</v>
      </c>
      <c r="AJ12" s="44">
        <f t="shared" si="15"/>
        <v>115279</v>
      </c>
      <c r="AK12" s="44">
        <f t="shared" si="16"/>
        <v>0</v>
      </c>
      <c r="AL12" s="44">
        <f t="shared" si="17"/>
        <v>0</v>
      </c>
      <c r="AM12" s="44">
        <f t="shared" si="18"/>
        <v>0</v>
      </c>
      <c r="AN12" s="44">
        <f t="shared" si="19"/>
        <v>0</v>
      </c>
      <c r="AO12" s="44">
        <f t="shared" si="20"/>
        <v>31</v>
      </c>
      <c r="AP12" s="47">
        <f t="shared" si="21"/>
        <v>3573649</v>
      </c>
      <c r="AQ12" s="44">
        <f t="shared" si="22"/>
        <v>31</v>
      </c>
      <c r="AR12" s="44">
        <f t="shared" si="23"/>
        <v>14.027149321266968</v>
      </c>
      <c r="AS12" s="46">
        <f t="shared" si="24"/>
        <v>190</v>
      </c>
      <c r="AT12" s="44">
        <f t="shared" si="25"/>
        <v>85.972850678733039</v>
      </c>
    </row>
    <row r="13" spans="2:46" ht="27.6" x14ac:dyDescent="0.3">
      <c r="B13" s="45" t="s">
        <v>10</v>
      </c>
      <c r="C13" s="61" t="s">
        <v>67</v>
      </c>
      <c r="D13" s="59" t="s">
        <v>1</v>
      </c>
      <c r="E13" s="70">
        <f t="shared" si="0"/>
        <v>1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3">
        <v>0</v>
      </c>
      <c r="M13" s="73">
        <v>0</v>
      </c>
      <c r="N13" s="73">
        <v>1</v>
      </c>
      <c r="O13" s="73">
        <v>0</v>
      </c>
      <c r="P13" s="73">
        <v>0</v>
      </c>
      <c r="Q13" s="43">
        <f t="shared" si="1"/>
        <v>1</v>
      </c>
      <c r="R13" s="47">
        <v>144309</v>
      </c>
      <c r="S13" s="44">
        <f t="shared" si="2"/>
        <v>0</v>
      </c>
      <c r="T13" s="44">
        <f t="shared" si="3"/>
        <v>0</v>
      </c>
      <c r="U13" s="44">
        <f t="shared" si="4"/>
        <v>0</v>
      </c>
      <c r="V13" s="44">
        <f t="shared" si="5"/>
        <v>0</v>
      </c>
      <c r="W13" s="44">
        <f t="shared" si="6"/>
        <v>0</v>
      </c>
      <c r="X13" s="44">
        <f t="shared" si="7"/>
        <v>0</v>
      </c>
      <c r="Y13" s="44">
        <f t="shared" si="8"/>
        <v>0</v>
      </c>
      <c r="Z13" s="44">
        <f t="shared" si="9"/>
        <v>0</v>
      </c>
      <c r="AA13" s="44">
        <f t="shared" si="10"/>
        <v>0</v>
      </c>
      <c r="AB13" s="44">
        <f t="shared" si="11"/>
        <v>0</v>
      </c>
      <c r="AC13" s="44">
        <f t="shared" si="28"/>
        <v>0</v>
      </c>
      <c r="AD13" s="44">
        <f t="shared" si="12"/>
        <v>0</v>
      </c>
      <c r="AE13" s="44">
        <f t="shared" si="26"/>
        <v>0</v>
      </c>
      <c r="AF13" s="44">
        <f t="shared" si="13"/>
        <v>0</v>
      </c>
      <c r="AG13" s="44">
        <f t="shared" si="27"/>
        <v>0</v>
      </c>
      <c r="AH13" s="44">
        <f t="shared" si="14"/>
        <v>0</v>
      </c>
      <c r="AI13" s="44">
        <v>1</v>
      </c>
      <c r="AJ13" s="44">
        <f t="shared" si="15"/>
        <v>144309</v>
      </c>
      <c r="AK13" s="44">
        <f t="shared" si="16"/>
        <v>0</v>
      </c>
      <c r="AL13" s="44">
        <f t="shared" si="17"/>
        <v>0</v>
      </c>
      <c r="AM13" s="44">
        <f t="shared" si="18"/>
        <v>0</v>
      </c>
      <c r="AN13" s="44">
        <f t="shared" si="19"/>
        <v>0</v>
      </c>
      <c r="AO13" s="44">
        <f t="shared" si="20"/>
        <v>1</v>
      </c>
      <c r="AP13" s="47">
        <f t="shared" si="21"/>
        <v>144309</v>
      </c>
      <c r="AQ13" s="44">
        <f t="shared" si="22"/>
        <v>1</v>
      </c>
      <c r="AR13" s="44">
        <f t="shared" si="23"/>
        <v>100</v>
      </c>
      <c r="AS13" s="46">
        <f t="shared" si="24"/>
        <v>0</v>
      </c>
      <c r="AT13" s="44">
        <f t="shared" si="25"/>
        <v>0</v>
      </c>
    </row>
    <row r="14" spans="2:46" ht="27.6" x14ac:dyDescent="0.3">
      <c r="B14" s="45" t="s">
        <v>11</v>
      </c>
      <c r="C14" s="61" t="s">
        <v>68</v>
      </c>
      <c r="D14" s="59" t="s">
        <v>1</v>
      </c>
      <c r="E14" s="70">
        <f t="shared" si="0"/>
        <v>21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20</v>
      </c>
      <c r="M14" s="73">
        <v>0</v>
      </c>
      <c r="N14" s="73">
        <v>1</v>
      </c>
      <c r="O14" s="73">
        <v>0</v>
      </c>
      <c r="P14" s="73">
        <v>0</v>
      </c>
      <c r="Q14" s="43">
        <f t="shared" si="1"/>
        <v>21</v>
      </c>
      <c r="R14" s="47">
        <v>148125</v>
      </c>
      <c r="S14" s="44">
        <f t="shared" si="2"/>
        <v>0</v>
      </c>
      <c r="T14" s="44">
        <f t="shared" si="3"/>
        <v>0</v>
      </c>
      <c r="U14" s="44">
        <f t="shared" si="4"/>
        <v>0</v>
      </c>
      <c r="V14" s="44">
        <f t="shared" si="5"/>
        <v>0</v>
      </c>
      <c r="W14" s="44">
        <f t="shared" si="6"/>
        <v>0</v>
      </c>
      <c r="X14" s="44">
        <f t="shared" si="7"/>
        <v>0</v>
      </c>
      <c r="Y14" s="44">
        <f t="shared" si="8"/>
        <v>0</v>
      </c>
      <c r="Z14" s="44">
        <f t="shared" si="9"/>
        <v>0</v>
      </c>
      <c r="AA14" s="44">
        <f t="shared" si="10"/>
        <v>0</v>
      </c>
      <c r="AB14" s="44">
        <f t="shared" si="11"/>
        <v>0</v>
      </c>
      <c r="AC14" s="44">
        <f t="shared" si="28"/>
        <v>0</v>
      </c>
      <c r="AD14" s="44">
        <f t="shared" si="12"/>
        <v>0</v>
      </c>
      <c r="AE14" s="44">
        <v>5</v>
      </c>
      <c r="AF14" s="44">
        <f t="shared" si="13"/>
        <v>740625</v>
      </c>
      <c r="AG14" s="44">
        <f t="shared" si="27"/>
        <v>0</v>
      </c>
      <c r="AH14" s="44">
        <f t="shared" si="14"/>
        <v>0</v>
      </c>
      <c r="AI14" s="44">
        <f t="shared" si="29"/>
        <v>1</v>
      </c>
      <c r="AJ14" s="44">
        <f t="shared" si="15"/>
        <v>148125</v>
      </c>
      <c r="AK14" s="44">
        <f t="shared" si="16"/>
        <v>0</v>
      </c>
      <c r="AL14" s="44">
        <f t="shared" si="17"/>
        <v>0</v>
      </c>
      <c r="AM14" s="44">
        <f t="shared" si="18"/>
        <v>0</v>
      </c>
      <c r="AN14" s="44">
        <f t="shared" si="19"/>
        <v>0</v>
      </c>
      <c r="AO14" s="44">
        <f t="shared" si="20"/>
        <v>6</v>
      </c>
      <c r="AP14" s="47">
        <f t="shared" si="21"/>
        <v>888750</v>
      </c>
      <c r="AQ14" s="44">
        <f t="shared" si="22"/>
        <v>6</v>
      </c>
      <c r="AR14" s="44">
        <f t="shared" si="23"/>
        <v>28.571428571428573</v>
      </c>
      <c r="AS14" s="46">
        <f t="shared" si="24"/>
        <v>15</v>
      </c>
      <c r="AT14" s="44">
        <f t="shared" si="25"/>
        <v>71.428571428571431</v>
      </c>
    </row>
    <row r="15" spans="2:46" x14ac:dyDescent="0.3">
      <c r="B15" s="45" t="s">
        <v>12</v>
      </c>
      <c r="C15" s="61" t="s">
        <v>69</v>
      </c>
      <c r="D15" s="59" t="s">
        <v>1</v>
      </c>
      <c r="E15" s="70">
        <f t="shared" si="0"/>
        <v>1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1</v>
      </c>
      <c r="O15" s="73">
        <v>0</v>
      </c>
      <c r="P15" s="73">
        <v>0</v>
      </c>
      <c r="Q15" s="43">
        <f t="shared" si="1"/>
        <v>1</v>
      </c>
      <c r="R15" s="47">
        <v>67461</v>
      </c>
      <c r="S15" s="44">
        <f t="shared" si="2"/>
        <v>0</v>
      </c>
      <c r="T15" s="44">
        <f t="shared" si="3"/>
        <v>0</v>
      </c>
      <c r="U15" s="44">
        <f t="shared" si="4"/>
        <v>0</v>
      </c>
      <c r="V15" s="44">
        <f t="shared" si="5"/>
        <v>0</v>
      </c>
      <c r="W15" s="44">
        <f t="shared" si="6"/>
        <v>0</v>
      </c>
      <c r="X15" s="44">
        <f t="shared" si="7"/>
        <v>0</v>
      </c>
      <c r="Y15" s="44">
        <f t="shared" si="8"/>
        <v>0</v>
      </c>
      <c r="Z15" s="44">
        <f t="shared" si="9"/>
        <v>0</v>
      </c>
      <c r="AA15" s="44">
        <f t="shared" si="10"/>
        <v>0</v>
      </c>
      <c r="AB15" s="44">
        <f t="shared" si="11"/>
        <v>0</v>
      </c>
      <c r="AC15" s="44">
        <f t="shared" si="28"/>
        <v>0</v>
      </c>
      <c r="AD15" s="44">
        <f t="shared" si="12"/>
        <v>0</v>
      </c>
      <c r="AE15" s="44">
        <f t="shared" si="26"/>
        <v>0</v>
      </c>
      <c r="AF15" s="44">
        <f t="shared" si="13"/>
        <v>0</v>
      </c>
      <c r="AG15" s="44">
        <f t="shared" si="27"/>
        <v>0</v>
      </c>
      <c r="AH15" s="44">
        <f t="shared" si="14"/>
        <v>0</v>
      </c>
      <c r="AI15" s="44">
        <f t="shared" si="29"/>
        <v>1</v>
      </c>
      <c r="AJ15" s="44">
        <f t="shared" si="15"/>
        <v>67461</v>
      </c>
      <c r="AK15" s="44">
        <f t="shared" si="16"/>
        <v>0</v>
      </c>
      <c r="AL15" s="44">
        <f t="shared" si="17"/>
        <v>0</v>
      </c>
      <c r="AM15" s="44">
        <f t="shared" si="18"/>
        <v>0</v>
      </c>
      <c r="AN15" s="44">
        <f t="shared" si="19"/>
        <v>0</v>
      </c>
      <c r="AO15" s="44">
        <f t="shared" si="20"/>
        <v>1</v>
      </c>
      <c r="AP15" s="47">
        <f t="shared" si="21"/>
        <v>67461</v>
      </c>
      <c r="AQ15" s="44">
        <f t="shared" si="22"/>
        <v>1</v>
      </c>
      <c r="AR15" s="44">
        <f t="shared" si="23"/>
        <v>100</v>
      </c>
      <c r="AS15" s="46">
        <f t="shared" si="24"/>
        <v>0</v>
      </c>
      <c r="AT15" s="44">
        <f t="shared" si="25"/>
        <v>0</v>
      </c>
    </row>
    <row r="16" spans="2:46" x14ac:dyDescent="0.3">
      <c r="B16" s="45" t="s">
        <v>13</v>
      </c>
      <c r="C16" s="62" t="s">
        <v>70</v>
      </c>
      <c r="D16" s="59" t="s">
        <v>1</v>
      </c>
      <c r="E16" s="70">
        <f t="shared" si="0"/>
        <v>250</v>
      </c>
      <c r="F16" s="73">
        <v>20</v>
      </c>
      <c r="G16" s="75">
        <v>3</v>
      </c>
      <c r="H16" s="73">
        <v>60</v>
      </c>
      <c r="I16" s="73">
        <v>80</v>
      </c>
      <c r="J16" s="73">
        <v>20</v>
      </c>
      <c r="K16" s="73">
        <v>0</v>
      </c>
      <c r="L16" s="73">
        <v>0</v>
      </c>
      <c r="M16" s="73">
        <v>37</v>
      </c>
      <c r="N16" s="73">
        <v>30</v>
      </c>
      <c r="O16" s="73">
        <v>0</v>
      </c>
      <c r="P16" s="73">
        <v>0</v>
      </c>
      <c r="Q16" s="43">
        <f t="shared" si="1"/>
        <v>250</v>
      </c>
      <c r="R16" s="47">
        <v>41934</v>
      </c>
      <c r="S16" s="44">
        <v>2</v>
      </c>
      <c r="T16" s="44">
        <f t="shared" si="3"/>
        <v>83868</v>
      </c>
      <c r="U16" s="44">
        <v>3</v>
      </c>
      <c r="V16" s="44">
        <f t="shared" si="5"/>
        <v>125802</v>
      </c>
      <c r="W16" s="44">
        <v>21</v>
      </c>
      <c r="X16" s="44">
        <f t="shared" si="7"/>
        <v>880614</v>
      </c>
      <c r="Y16" s="44">
        <v>14</v>
      </c>
      <c r="Z16" s="44">
        <f t="shared" si="9"/>
        <v>587076</v>
      </c>
      <c r="AA16" s="44">
        <v>5</v>
      </c>
      <c r="AB16" s="44">
        <f t="shared" si="11"/>
        <v>209670</v>
      </c>
      <c r="AC16" s="44">
        <f t="shared" si="28"/>
        <v>0</v>
      </c>
      <c r="AD16" s="44">
        <f t="shared" si="12"/>
        <v>0</v>
      </c>
      <c r="AE16" s="44">
        <f t="shared" si="26"/>
        <v>0</v>
      </c>
      <c r="AF16" s="44">
        <f t="shared" si="13"/>
        <v>0</v>
      </c>
      <c r="AG16" s="44">
        <v>9</v>
      </c>
      <c r="AH16" s="44">
        <f t="shared" si="14"/>
        <v>377406</v>
      </c>
      <c r="AI16" s="44">
        <v>1</v>
      </c>
      <c r="AJ16" s="44">
        <f t="shared" si="15"/>
        <v>41934</v>
      </c>
      <c r="AK16" s="44">
        <f t="shared" si="16"/>
        <v>0</v>
      </c>
      <c r="AL16" s="44">
        <f t="shared" si="17"/>
        <v>0</v>
      </c>
      <c r="AM16" s="44">
        <f t="shared" si="18"/>
        <v>0</v>
      </c>
      <c r="AN16" s="44">
        <f t="shared" si="19"/>
        <v>0</v>
      </c>
      <c r="AO16" s="44">
        <f t="shared" si="20"/>
        <v>55</v>
      </c>
      <c r="AP16" s="47">
        <f t="shared" si="21"/>
        <v>2306370</v>
      </c>
      <c r="AQ16" s="44">
        <f t="shared" si="22"/>
        <v>55</v>
      </c>
      <c r="AR16" s="44">
        <f t="shared" si="23"/>
        <v>22</v>
      </c>
      <c r="AS16" s="46">
        <f t="shared" si="24"/>
        <v>195</v>
      </c>
      <c r="AT16" s="44">
        <f t="shared" si="25"/>
        <v>78</v>
      </c>
    </row>
    <row r="17" spans="20:43" x14ac:dyDescent="0.3">
      <c r="T17" s="48">
        <f>SUM(T4:T16)</f>
        <v>496423</v>
      </c>
      <c r="V17" s="48">
        <f>SUM(V4:V16)</f>
        <v>685393</v>
      </c>
      <c r="W17" s="48"/>
      <c r="X17" s="48">
        <f>SUM(X4:X16)</f>
        <v>880614</v>
      </c>
      <c r="Y17" s="48"/>
      <c r="Z17" s="48">
        <f>SUM(Z4:Z16)</f>
        <v>1177022</v>
      </c>
      <c r="AA17" s="48"/>
      <c r="AB17" s="48">
        <f>SUM(AB4:AB16)</f>
        <v>295329</v>
      </c>
      <c r="AC17" s="48"/>
      <c r="AD17" s="48">
        <f>SUM(AD4:AD16)</f>
        <v>17983763</v>
      </c>
      <c r="AF17" s="48">
        <f>SUM(AF4:AF16)</f>
        <v>13312202</v>
      </c>
      <c r="AH17" s="48">
        <f>SUM(AH4:AH16)</f>
        <v>1676510</v>
      </c>
      <c r="AI17" s="48"/>
      <c r="AJ17" s="48">
        <f>SUM(AJ4:AJ16)</f>
        <v>738596</v>
      </c>
      <c r="AK17" s="48"/>
      <c r="AL17" s="48">
        <f>SUM(AL4:AL16)</f>
        <v>4742898</v>
      </c>
      <c r="AN17" s="44">
        <f>SUM(AN4:AN16)</f>
        <v>6355089</v>
      </c>
      <c r="AP17" s="48">
        <f>SUM(AP4:AP16)</f>
        <v>48343839</v>
      </c>
      <c r="AQ17" s="48"/>
    </row>
    <row r="18" spans="20:43" x14ac:dyDescent="0.3">
      <c r="T18" s="66">
        <v>509908</v>
      </c>
      <c r="V18" s="67">
        <v>700000</v>
      </c>
      <c r="X18" s="66">
        <v>900000</v>
      </c>
      <c r="Y18" s="48"/>
      <c r="Z18" s="66">
        <v>1183188</v>
      </c>
      <c r="AA18" s="48"/>
      <c r="AB18" s="67">
        <v>305494.79999999981</v>
      </c>
      <c r="AC18" s="48"/>
      <c r="AD18" s="67">
        <v>17983905.599999994</v>
      </c>
      <c r="AF18" s="67">
        <v>13319004</v>
      </c>
      <c r="AH18" s="66">
        <v>1683188</v>
      </c>
      <c r="AI18" s="66"/>
      <c r="AJ18" s="66">
        <v>742768</v>
      </c>
      <c r="AK18" s="66"/>
      <c r="AL18" s="66">
        <v>4747839.4000000004</v>
      </c>
      <c r="AN18" s="66">
        <v>6360000</v>
      </c>
      <c r="AO18" s="65"/>
      <c r="AP18" s="76">
        <f>AN18+AL18+AJ18+AH18+AF18+AD18+AB18+Z18+X18+V18+T18</f>
        <v>48435295.79999999</v>
      </c>
    </row>
    <row r="19" spans="20:43" x14ac:dyDescent="0.3">
      <c r="T19" s="65">
        <f>T18-T17</f>
        <v>13485</v>
      </c>
      <c r="V19" s="65">
        <f>V18-V17</f>
        <v>14607</v>
      </c>
      <c r="X19" s="65">
        <f>X18-X17</f>
        <v>19386</v>
      </c>
      <c r="Y19" s="48"/>
      <c r="Z19" s="65">
        <f>Z18-Z17</f>
        <v>6166</v>
      </c>
      <c r="AA19" s="48"/>
      <c r="AB19" s="65">
        <f>AB18-AB17</f>
        <v>10165.799999999814</v>
      </c>
      <c r="AC19" s="48"/>
      <c r="AD19" s="48">
        <f>AD18-AD17</f>
        <v>142.59999999403954</v>
      </c>
      <c r="AF19" s="65">
        <f>AF18-AF17</f>
        <v>6802</v>
      </c>
      <c r="AH19" s="65">
        <f>AH18-AH17</f>
        <v>6678</v>
      </c>
      <c r="AI19" s="65"/>
      <c r="AJ19" s="65">
        <f>AJ18-AJ17</f>
        <v>4172</v>
      </c>
      <c r="AK19" s="65"/>
      <c r="AL19" s="65">
        <f>AL18-AL17</f>
        <v>4941.4000000003725</v>
      </c>
      <c r="AN19" s="65">
        <f>AN18-AN17</f>
        <v>4911</v>
      </c>
      <c r="AP19" s="65">
        <f>AP18-AP17</f>
        <v>91456.799999989569</v>
      </c>
      <c r="AQ19" s="65"/>
    </row>
    <row r="20" spans="20:43" x14ac:dyDescent="0.3">
      <c r="AA20" s="48"/>
      <c r="AB20" s="65"/>
    </row>
    <row r="22" spans="20:43" x14ac:dyDescent="0.3">
      <c r="AD22" s="65"/>
    </row>
    <row r="23" spans="20:43" x14ac:dyDescent="0.3">
      <c r="T23" s="49"/>
    </row>
    <row r="24" spans="20:43" x14ac:dyDescent="0.3">
      <c r="T24" s="48"/>
    </row>
    <row r="25" spans="20:43" x14ac:dyDescent="0.3">
      <c r="T25" s="48"/>
    </row>
    <row r="30" spans="20:43" x14ac:dyDescent="0.3">
      <c r="AB30" s="65"/>
      <c r="AC30" s="65"/>
    </row>
  </sheetData>
  <protectedRanges>
    <protectedRange sqref="C4:C5" name="Rango1_8_1_1_1_1"/>
  </protectedRanges>
  <mergeCells count="1">
    <mergeCell ref="AQ2:AT2"/>
  </mergeCells>
  <phoneticPr fontId="14" type="noConversion"/>
  <conditionalFormatting sqref="C4">
    <cfRule type="duplicateValues" dxfId="19" priority="7"/>
  </conditionalFormatting>
  <conditionalFormatting sqref="C5">
    <cfRule type="duplicateValues" dxfId="18" priority="4"/>
  </conditionalFormatting>
  <conditionalFormatting sqref="C6">
    <cfRule type="duplicateValues" dxfId="17" priority="8"/>
  </conditionalFormatting>
  <conditionalFormatting sqref="C7 C10 C13">
    <cfRule type="duplicateValues" dxfId="16" priority="5"/>
  </conditionalFormatting>
  <conditionalFormatting sqref="C8:C9">
    <cfRule type="duplicateValues" dxfId="15" priority="6"/>
  </conditionalFormatting>
  <conditionalFormatting sqref="C11">
    <cfRule type="duplicateValues" dxfId="14" priority="3"/>
  </conditionalFormatting>
  <conditionalFormatting sqref="C12">
    <cfRule type="duplicateValues" dxfId="13" priority="2"/>
  </conditionalFormatting>
  <conditionalFormatting sqref="C14">
    <cfRule type="duplicateValues" dxfId="12" priority="9"/>
  </conditionalFormatting>
  <conditionalFormatting sqref="C15">
    <cfRule type="duplicateValues" dxfId="11" priority="10"/>
  </conditionalFormatting>
  <conditionalFormatting sqref="C16">
    <cfRule type="duplicateValues" dxfId="1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I18"/>
  <sheetViews>
    <sheetView tabSelected="1" workbookViewId="0">
      <selection activeCell="F1" sqref="F1:G1048576"/>
    </sheetView>
  </sheetViews>
  <sheetFormatPr baseColWidth="10" defaultColWidth="11.44140625" defaultRowHeight="13.2" x14ac:dyDescent="0.25"/>
  <cols>
    <col min="1" max="2" width="11.44140625" style="11"/>
    <col min="3" max="3" width="41.33203125" style="11" customWidth="1"/>
    <col min="4" max="4" width="15.33203125" style="11" customWidth="1"/>
    <col min="5" max="5" width="11.44140625" style="11"/>
    <col min="6" max="7" width="11.44140625" style="11" hidden="1" customWidth="1"/>
    <col min="8" max="8" width="15.44140625" style="11" customWidth="1"/>
    <col min="9" max="9" width="22.33203125" style="11" customWidth="1"/>
    <col min="10" max="16384" width="11.44140625" style="11"/>
  </cols>
  <sheetData>
    <row r="3" spans="2:9" ht="69" customHeight="1" x14ac:dyDescent="0.3">
      <c r="B3" s="37" t="s">
        <v>15</v>
      </c>
      <c r="C3" s="37" t="s">
        <v>14</v>
      </c>
      <c r="D3" s="50" t="s">
        <v>16</v>
      </c>
      <c r="E3" s="37" t="s">
        <v>17</v>
      </c>
      <c r="F3" s="37" t="s">
        <v>38</v>
      </c>
      <c r="G3" s="37" t="s">
        <v>39</v>
      </c>
      <c r="H3" s="5" t="s">
        <v>36</v>
      </c>
      <c r="I3" s="5" t="s">
        <v>37</v>
      </c>
    </row>
    <row r="4" spans="2:9" ht="40.200000000000003" x14ac:dyDescent="0.3">
      <c r="B4" s="68" t="s">
        <v>0</v>
      </c>
      <c r="C4" s="64" t="s">
        <v>46</v>
      </c>
      <c r="D4" s="41"/>
      <c r="E4" s="22"/>
      <c r="F4" s="22"/>
      <c r="G4" s="22"/>
      <c r="H4" s="4"/>
      <c r="I4" s="4"/>
    </row>
    <row r="5" spans="2:9" ht="52.8" x14ac:dyDescent="0.3">
      <c r="B5" s="23" t="s">
        <v>0</v>
      </c>
      <c r="C5" s="51" t="s">
        <v>59</v>
      </c>
      <c r="D5" s="59" t="s">
        <v>1</v>
      </c>
      <c r="E5" s="44">
        <v>17</v>
      </c>
      <c r="F5" s="44"/>
      <c r="G5" s="44"/>
      <c r="H5" s="47">
        <v>152259</v>
      </c>
      <c r="I5" s="47">
        <f>H5*E5</f>
        <v>2588403</v>
      </c>
    </row>
    <row r="6" spans="2:9" ht="46.5" customHeight="1" x14ac:dyDescent="0.3">
      <c r="B6" s="23" t="s">
        <v>2</v>
      </c>
      <c r="C6" s="54" t="s">
        <v>73</v>
      </c>
      <c r="D6" s="59" t="s">
        <v>1</v>
      </c>
      <c r="E6" s="44">
        <v>7</v>
      </c>
      <c r="F6" s="44"/>
      <c r="G6" s="44"/>
      <c r="H6" s="47">
        <v>649552</v>
      </c>
      <c r="I6" s="47">
        <f t="shared" ref="I6:I17" si="0">H6*E6</f>
        <v>4546864</v>
      </c>
    </row>
    <row r="7" spans="2:9" ht="92.4" x14ac:dyDescent="0.3">
      <c r="B7" s="23" t="s">
        <v>3</v>
      </c>
      <c r="C7" s="55" t="s">
        <v>60</v>
      </c>
      <c r="D7" s="59" t="s">
        <v>1</v>
      </c>
      <c r="E7" s="44">
        <v>10</v>
      </c>
      <c r="F7" s="44"/>
      <c r="G7" s="44"/>
      <c r="H7" s="47">
        <v>147506</v>
      </c>
      <c r="I7" s="47">
        <f t="shared" si="0"/>
        <v>1475060</v>
      </c>
    </row>
    <row r="8" spans="2:9" ht="79.2" x14ac:dyDescent="0.3">
      <c r="B8" s="23" t="s">
        <v>4</v>
      </c>
      <c r="C8" s="55" t="s">
        <v>61</v>
      </c>
      <c r="D8" s="59" t="s">
        <v>1</v>
      </c>
      <c r="E8" s="44">
        <v>25</v>
      </c>
      <c r="F8" s="44"/>
      <c r="G8" s="44"/>
      <c r="H8" s="47">
        <v>118483</v>
      </c>
      <c r="I8" s="47">
        <f t="shared" si="0"/>
        <v>2962075</v>
      </c>
    </row>
    <row r="9" spans="2:9" ht="108.75" customHeight="1" x14ac:dyDescent="0.3">
      <c r="B9" s="23" t="s">
        <v>5</v>
      </c>
      <c r="C9" s="55" t="s">
        <v>62</v>
      </c>
      <c r="D9" s="59" t="s">
        <v>1</v>
      </c>
      <c r="E9" s="44">
        <v>158</v>
      </c>
      <c r="F9" s="44"/>
      <c r="G9" s="44"/>
      <c r="H9" s="47">
        <v>152208</v>
      </c>
      <c r="I9" s="47">
        <f t="shared" si="0"/>
        <v>24048864</v>
      </c>
    </row>
    <row r="10" spans="2:9" ht="369.6" x14ac:dyDescent="0.3">
      <c r="B10" s="23" t="s">
        <v>6</v>
      </c>
      <c r="C10" s="55" t="s">
        <v>63</v>
      </c>
      <c r="D10" s="59" t="s">
        <v>1</v>
      </c>
      <c r="E10" s="44">
        <v>44</v>
      </c>
      <c r="F10" s="44"/>
      <c r="G10" s="44"/>
      <c r="H10" s="47">
        <v>28553</v>
      </c>
      <c r="I10" s="47">
        <f t="shared" si="0"/>
        <v>1256332</v>
      </c>
    </row>
    <row r="11" spans="2:9" ht="52.8" x14ac:dyDescent="0.3">
      <c r="B11" s="23" t="s">
        <v>7</v>
      </c>
      <c r="C11" s="55" t="s">
        <v>64</v>
      </c>
      <c r="D11" s="59" t="s">
        <v>1</v>
      </c>
      <c r="E11" s="44">
        <v>54</v>
      </c>
      <c r="F11" s="44"/>
      <c r="G11" s="44"/>
      <c r="H11" s="47">
        <v>78549</v>
      </c>
      <c r="I11" s="47">
        <f t="shared" si="0"/>
        <v>4241646</v>
      </c>
    </row>
    <row r="12" spans="2:9" ht="96.75" customHeight="1" x14ac:dyDescent="0.3">
      <c r="B12" s="23" t="s">
        <v>8</v>
      </c>
      <c r="C12" s="52" t="s">
        <v>65</v>
      </c>
      <c r="D12" s="59" t="s">
        <v>1</v>
      </c>
      <c r="E12" s="44">
        <v>6</v>
      </c>
      <c r="F12" s="44"/>
      <c r="G12" s="44"/>
      <c r="H12" s="47">
        <v>40676</v>
      </c>
      <c r="I12" s="47">
        <f t="shared" si="0"/>
        <v>244056</v>
      </c>
    </row>
    <row r="13" spans="2:9" ht="121.5" customHeight="1" x14ac:dyDescent="0.3">
      <c r="B13" s="23" t="s">
        <v>9</v>
      </c>
      <c r="C13" s="55" t="s">
        <v>66</v>
      </c>
      <c r="D13" s="59" t="s">
        <v>1</v>
      </c>
      <c r="E13" s="44">
        <v>31</v>
      </c>
      <c r="F13" s="44"/>
      <c r="G13" s="44"/>
      <c r="H13" s="47">
        <v>115279</v>
      </c>
      <c r="I13" s="47">
        <f t="shared" si="0"/>
        <v>3573649</v>
      </c>
    </row>
    <row r="14" spans="2:9" ht="222.75" customHeight="1" x14ac:dyDescent="0.3">
      <c r="B14" s="23" t="s">
        <v>10</v>
      </c>
      <c r="C14" s="55" t="s">
        <v>67</v>
      </c>
      <c r="D14" s="59" t="s">
        <v>1</v>
      </c>
      <c r="E14" s="44">
        <v>1</v>
      </c>
      <c r="F14" s="44"/>
      <c r="G14" s="44"/>
      <c r="H14" s="47">
        <v>144309</v>
      </c>
      <c r="I14" s="47">
        <f t="shared" si="0"/>
        <v>144309</v>
      </c>
    </row>
    <row r="15" spans="2:9" ht="48.75" customHeight="1" x14ac:dyDescent="0.3">
      <c r="B15" s="23" t="s">
        <v>11</v>
      </c>
      <c r="C15" s="55" t="s">
        <v>68</v>
      </c>
      <c r="D15" s="59" t="s">
        <v>1</v>
      </c>
      <c r="E15" s="44">
        <v>6</v>
      </c>
      <c r="F15" s="44"/>
      <c r="G15" s="44"/>
      <c r="H15" s="47">
        <v>148125</v>
      </c>
      <c r="I15" s="47">
        <f t="shared" si="0"/>
        <v>888750</v>
      </c>
    </row>
    <row r="16" spans="2:9" ht="60.75" customHeight="1" x14ac:dyDescent="0.3">
      <c r="B16" s="23" t="s">
        <v>12</v>
      </c>
      <c r="C16" s="55" t="s">
        <v>69</v>
      </c>
      <c r="D16" s="59" t="s">
        <v>1</v>
      </c>
      <c r="E16" s="44">
        <v>1</v>
      </c>
      <c r="F16" s="44"/>
      <c r="G16" s="44"/>
      <c r="H16" s="47">
        <v>67461</v>
      </c>
      <c r="I16" s="47">
        <f t="shared" si="0"/>
        <v>67461</v>
      </c>
    </row>
    <row r="17" spans="2:9" ht="91.5" customHeight="1" x14ac:dyDescent="0.3">
      <c r="B17" s="23" t="s">
        <v>13</v>
      </c>
      <c r="C17" s="53" t="s">
        <v>70</v>
      </c>
      <c r="D17" s="59" t="s">
        <v>1</v>
      </c>
      <c r="E17" s="44">
        <v>55</v>
      </c>
      <c r="F17" s="44"/>
      <c r="G17" s="44"/>
      <c r="H17" s="47">
        <v>41934</v>
      </c>
      <c r="I17" s="47">
        <f t="shared" si="0"/>
        <v>2306370</v>
      </c>
    </row>
    <row r="18" spans="2:9" x14ac:dyDescent="0.25">
      <c r="I18" s="34">
        <f>SUM(I5:I17)</f>
        <v>48343839</v>
      </c>
    </row>
  </sheetData>
  <protectedRanges>
    <protectedRange sqref="C5:C6" name="Rango1_8_1_1_1_1"/>
  </protectedRanges>
  <conditionalFormatting sqref="C5">
    <cfRule type="duplicateValues" dxfId="9" priority="7"/>
  </conditionalFormatting>
  <conditionalFormatting sqref="C6">
    <cfRule type="duplicateValues" dxfId="8" priority="4"/>
  </conditionalFormatting>
  <conditionalFormatting sqref="C7">
    <cfRule type="duplicateValues" dxfId="7" priority="8"/>
  </conditionalFormatting>
  <conditionalFormatting sqref="C8 C11 C14">
    <cfRule type="duplicateValues" dxfId="6" priority="5"/>
  </conditionalFormatting>
  <conditionalFormatting sqref="C9:C10">
    <cfRule type="duplicateValues" dxfId="5" priority="6"/>
  </conditionalFormatting>
  <conditionalFormatting sqref="C12">
    <cfRule type="duplicateValues" dxfId="4" priority="3"/>
  </conditionalFormatting>
  <conditionalFormatting sqref="C13">
    <cfRule type="duplicateValues" dxfId="3" priority="2"/>
  </conditionalFormatting>
  <conditionalFormatting sqref="C15">
    <cfRule type="duplicateValues" dxfId="2" priority="9"/>
  </conditionalFormatting>
  <conditionalFormatting sqref="C16">
    <cfRule type="duplicateValues" dxfId="1" priority="10"/>
  </conditionalFormatting>
  <conditionalFormatting sqref="C17">
    <cfRule type="duplicateValues" dxfId="0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H4"/>
  <sheetViews>
    <sheetView workbookViewId="0">
      <selection activeCell="E4" sqref="E4"/>
    </sheetView>
  </sheetViews>
  <sheetFormatPr baseColWidth="10" defaultRowHeight="13.2" x14ac:dyDescent="0.25"/>
  <cols>
    <col min="2" max="2" width="14.44140625" customWidth="1"/>
    <col min="4" max="4" width="15.6640625" customWidth="1"/>
    <col min="5" max="5" width="14.6640625" customWidth="1"/>
  </cols>
  <sheetData>
    <row r="3" spans="2:8" ht="20.399999999999999" x14ac:dyDescent="0.25">
      <c r="B3" s="6" t="s">
        <v>40</v>
      </c>
      <c r="C3" s="6" t="s">
        <v>41</v>
      </c>
      <c r="D3" s="6" t="s">
        <v>42</v>
      </c>
      <c r="E3" s="6" t="s">
        <v>16</v>
      </c>
      <c r="F3" s="7" t="s">
        <v>43</v>
      </c>
      <c r="G3" s="7" t="s">
        <v>44</v>
      </c>
      <c r="H3" s="7" t="s">
        <v>45</v>
      </c>
    </row>
    <row r="4" spans="2:8" ht="61.2" x14ac:dyDescent="0.25">
      <c r="B4" s="8" t="s">
        <v>57</v>
      </c>
      <c r="C4" s="8">
        <v>10</v>
      </c>
      <c r="D4" s="8" t="s">
        <v>58</v>
      </c>
      <c r="E4" s="8" t="s">
        <v>80</v>
      </c>
      <c r="F4" s="77">
        <v>48435295.799999997</v>
      </c>
      <c r="G4" s="9">
        <v>48343839</v>
      </c>
      <c r="H4" s="9">
        <f>+F4-G4</f>
        <v>91456.79999999702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ANALISIS DE LAS COTIZACIONES</vt:lpstr>
      <vt:lpstr>PROYECCION CANTIDADES MINIMAS</vt:lpstr>
      <vt:lpstr>PRECIO DE REFERENCIA</vt:lpstr>
      <vt:lpstr>PRESUPUESTO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CENACUCUC1</dc:creator>
  <cp:keywords/>
  <dc:description/>
  <cp:lastModifiedBy>YOLEIMA CARDENAS MENDOZA</cp:lastModifiedBy>
  <dcterms:created xsi:type="dcterms:W3CDTF">2024-02-13T20:19:26Z</dcterms:created>
  <dcterms:modified xsi:type="dcterms:W3CDTF">2025-03-08T00:40:49Z</dcterms:modified>
  <cp:category/>
  <cp:contentStatus/>
</cp:coreProperties>
</file>