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POA" sheetId="1" r:id="rId1"/>
    <sheet name="Incentivo Modular - Alianzas" sheetId="2" r:id="rId2"/>
    <sheet name="Regionalización 37" sheetId="6" state="hidden" r:id="rId3"/>
    <sheet name="Seguimiento y Monitoreo" sheetId="4" r:id="rId4"/>
    <sheet name="Contratación EIP" sheetId="5" r:id="rId5"/>
    <sheet name="Viaticos" sheetId="8" r:id="rId6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4"/>
  <c r="F13" l="1"/>
  <c r="F12"/>
  <c r="F9"/>
  <c r="B52" i="2"/>
  <c r="B22" i="8"/>
  <c r="D25" i="4"/>
  <c r="D24"/>
  <c r="D19" i="1"/>
  <c r="D15"/>
  <c r="D8"/>
  <c r="E15" i="2" l="1"/>
  <c r="E14"/>
  <c r="F14"/>
  <c r="D10" i="1"/>
  <c r="D9"/>
  <c r="B34" i="8" l="1"/>
  <c r="B36"/>
  <c r="B24"/>
  <c r="B23"/>
  <c r="B19"/>
  <c r="B18"/>
  <c r="B13"/>
  <c r="B14"/>
  <c r="B29"/>
  <c r="B31" s="1"/>
  <c r="B15"/>
  <c r="B30" l="1"/>
  <c r="B32" s="1"/>
  <c r="B35"/>
  <c r="B37" s="1"/>
  <c r="B25"/>
  <c r="B20"/>
  <c r="B6" l="1"/>
  <c r="F27" i="5"/>
  <c r="F28"/>
  <c r="B8" i="8" l="1"/>
  <c r="B7"/>
  <c r="B9" s="1"/>
  <c r="E5" i="2" l="1"/>
  <c r="F5"/>
  <c r="B35" i="6" l="1"/>
  <c r="E33"/>
  <c r="F33" s="1"/>
  <c r="D33"/>
  <c r="E32"/>
  <c r="F32" s="1"/>
  <c r="D32"/>
  <c r="E31"/>
  <c r="F31" s="1"/>
  <c r="D31"/>
  <c r="F30"/>
  <c r="E30"/>
  <c r="D30"/>
  <c r="E29"/>
  <c r="F29" s="1"/>
  <c r="D29"/>
  <c r="F28"/>
  <c r="E28"/>
  <c r="D28"/>
  <c r="E27"/>
  <c r="F27" s="1"/>
  <c r="D27"/>
  <c r="F26"/>
  <c r="E26"/>
  <c r="D26"/>
  <c r="E25"/>
  <c r="F25" s="1"/>
  <c r="D25"/>
  <c r="F24"/>
  <c r="E24"/>
  <c r="D24"/>
  <c r="E23"/>
  <c r="F23" s="1"/>
  <c r="D23"/>
  <c r="F22"/>
  <c r="E22"/>
  <c r="D22"/>
  <c r="E21"/>
  <c r="F21" s="1"/>
  <c r="D21"/>
  <c r="F20"/>
  <c r="E20"/>
  <c r="D20"/>
  <c r="E19"/>
  <c r="F19" s="1"/>
  <c r="D19"/>
  <c r="F18"/>
  <c r="E18"/>
  <c r="D18"/>
  <c r="E17"/>
  <c r="F17" s="1"/>
  <c r="D17"/>
  <c r="F16"/>
  <c r="E16"/>
  <c r="D16"/>
  <c r="E15"/>
  <c r="F15" s="1"/>
  <c r="D15"/>
  <c r="F14"/>
  <c r="E14"/>
  <c r="D14"/>
  <c r="E13"/>
  <c r="F13" s="1"/>
  <c r="D13"/>
  <c r="F12"/>
  <c r="E12"/>
  <c r="D12"/>
  <c r="E11"/>
  <c r="F11" s="1"/>
  <c r="D11"/>
  <c r="F10"/>
  <c r="E10"/>
  <c r="D10"/>
  <c r="E9"/>
  <c r="F9" s="1"/>
  <c r="D9"/>
  <c r="E8"/>
  <c r="F8" s="1"/>
  <c r="D8"/>
  <c r="E7"/>
  <c r="F7" s="1"/>
  <c r="D7"/>
  <c r="F6"/>
  <c r="E6"/>
  <c r="D6"/>
  <c r="E5"/>
  <c r="F5" s="1"/>
  <c r="D5"/>
  <c r="F4"/>
  <c r="E4"/>
  <c r="D4"/>
  <c r="E3"/>
  <c r="D3"/>
  <c r="E2"/>
  <c r="F2" s="1"/>
  <c r="D2"/>
  <c r="E35" l="1"/>
  <c r="D35"/>
  <c r="F3"/>
  <c r="F35" s="1"/>
  <c r="H6" i="4" l="1"/>
  <c r="I6" s="1"/>
  <c r="D6" i="2"/>
  <c r="C26" i="5" l="1"/>
  <c r="F26" s="1"/>
  <c r="C25"/>
  <c r="F25" s="1"/>
  <c r="C24"/>
  <c r="F24" s="1"/>
  <c r="C23"/>
  <c r="F23" s="1"/>
  <c r="C22"/>
  <c r="F22" s="1"/>
  <c r="C21"/>
  <c r="F21" s="1"/>
  <c r="C20"/>
  <c r="F20" s="1"/>
  <c r="C19"/>
  <c r="F19" s="1"/>
  <c r="C18"/>
  <c r="F18" s="1"/>
  <c r="F17"/>
  <c r="F16"/>
  <c r="F15"/>
  <c r="C14"/>
  <c r="F14" s="1"/>
  <c r="C13"/>
  <c r="F13" s="1"/>
  <c r="C12"/>
  <c r="F12" s="1"/>
  <c r="C11"/>
  <c r="F11" s="1"/>
  <c r="C10"/>
  <c r="F10" s="1"/>
  <c r="C9"/>
  <c r="F9" s="1"/>
  <c r="C8"/>
  <c r="F8" s="1"/>
  <c r="C7"/>
  <c r="F7" s="1"/>
  <c r="C6"/>
  <c r="F6" s="1"/>
  <c r="F5"/>
  <c r="F30" l="1"/>
  <c r="F31" s="1"/>
  <c r="F34" s="1"/>
  <c r="C28"/>
  <c r="D17" i="4" l="1"/>
  <c r="D19" s="1"/>
  <c r="D21" s="1"/>
  <c r="E11" i="2"/>
  <c r="F11"/>
  <c r="E12"/>
  <c r="F12" s="1"/>
  <c r="E13"/>
  <c r="F13"/>
  <c r="F15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/>
  <c r="E25"/>
  <c r="F25" s="1"/>
  <c r="E26"/>
  <c r="F26" s="1"/>
  <c r="E27"/>
  <c r="F27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6"/>
  <c r="F6" s="1"/>
  <c r="E7"/>
  <c r="F7" s="1"/>
  <c r="E8"/>
  <c r="F8" s="1"/>
  <c r="E9"/>
  <c r="F9" s="1"/>
  <c r="E10"/>
  <c r="F10" s="1"/>
  <c r="F38" l="1"/>
  <c r="B51" s="1"/>
  <c r="E38"/>
  <c r="B47" s="1"/>
  <c r="B48" s="1"/>
  <c r="E40" l="1"/>
  <c r="D7" i="1" s="1"/>
  <c r="F40" i="2"/>
  <c r="D11" i="1" s="1"/>
  <c r="D12" l="1"/>
  <c r="D7" i="2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5"/>
  <c r="B38"/>
  <c r="D38" l="1"/>
  <c r="D13" i="1" s="1"/>
  <c r="D14" l="1"/>
  <c r="D21" l="1"/>
  <c r="D22" s="1"/>
  <c r="D24" s="1"/>
  <c r="D25" s="1"/>
  <c r="B41" i="8"/>
  <c r="B17" i="4" l="1"/>
</calcChain>
</file>

<file path=xl/sharedStrings.xml><?xml version="1.0" encoding="utf-8"?>
<sst xmlns="http://schemas.openxmlformats.org/spreadsheetml/2006/main" count="211" uniqueCount="138">
  <si>
    <t>COMPONENTES</t>
  </si>
  <si>
    <t xml:space="preserve">CATEGORIAS </t>
  </si>
  <si>
    <t>CONCEPTO GASTO ELEGIBLE</t>
  </si>
  <si>
    <t>V/U</t>
  </si>
  <si>
    <t>Preparación de Alianzas Productivas (Preinversión)</t>
  </si>
  <si>
    <t>Servicios de Apoyo</t>
  </si>
  <si>
    <t>Preinversiones</t>
  </si>
  <si>
    <t>Seguimiento y monitoreo</t>
  </si>
  <si>
    <t>Socialización y divulgación</t>
  </si>
  <si>
    <t>Apertura del registro verificación de perfiles</t>
  </si>
  <si>
    <t>SUBTOTAL</t>
  </si>
  <si>
    <t>Ejecución de Alianzas Productivas (Inversión)</t>
  </si>
  <si>
    <t>Incentivo Modular</t>
  </si>
  <si>
    <t>Gerencia, Monitoreo y Evaluación del Proyecto (Seguimiento y Gerencia)</t>
  </si>
  <si>
    <t xml:space="preserve">Contratación EIP </t>
  </si>
  <si>
    <t>Auditoria</t>
  </si>
  <si>
    <t>Evaluación</t>
  </si>
  <si>
    <t>Costos fiduciaria</t>
  </si>
  <si>
    <t>Costos operativos</t>
  </si>
  <si>
    <t>Comisiones EIP - Interventorías - Otros - TQTS</t>
  </si>
  <si>
    <t>Materiales y suministros</t>
  </si>
  <si>
    <t>TOTAL</t>
  </si>
  <si>
    <t>DEPARTAMENTO</t>
  </si>
  <si>
    <t># Alianzas</t>
  </si>
  <si>
    <t>MARGEN DEL 10% PREINVERSIONES</t>
  </si>
  <si>
    <t>CUPOS INDICATIVOS PERFILES A EVALUAR</t>
  </si>
  <si>
    <t>AMAZONAS</t>
  </si>
  <si>
    <t>ANTIOQUIA</t>
  </si>
  <si>
    <t>ARAUCA</t>
  </si>
  <si>
    <t>ATLÁNTICO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</si>
  <si>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</si>
  <si>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</si>
  <si>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</si>
  <si>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</si>
  <si>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</si>
  <si>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</si>
  <si>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</si>
  <si>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</si>
  <si>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CÓRDOBA</t>
  </si>
  <si>
    <t>CUNDINAMARCA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</si>
  <si>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</si>
  <si>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</si>
  <si>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</si>
  <si>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</si>
  <si>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</si>
  <si>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</si>
  <si>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</si>
  <si>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</si>
  <si>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</si>
  <si>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</si>
  <si>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</si>
  <si>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ANDRES</t>
  </si>
  <si>
    <t>SANTANDER</t>
  </si>
  <si>
    <t>SUCRE</t>
  </si>
  <si>
    <t>TOLIMA</t>
  </si>
  <si>
    <t>VALLE DEL CAUCA</t>
  </si>
  <si>
    <t>VAUPES</t>
  </si>
  <si>
    <t>VICHADA</t>
  </si>
  <si>
    <t>BOGOTÁ</t>
  </si>
  <si>
    <t>PREINVERSIÓN EIP</t>
  </si>
  <si>
    <t>MESES</t>
  </si>
  <si>
    <t>CARGO</t>
  </si>
  <si>
    <t>VALOR MENSUAL 2019</t>
  </si>
  <si>
    <t xml:space="preserve">Lider </t>
  </si>
  <si>
    <t>Coordinador Regional</t>
  </si>
  <si>
    <t>Lider Sistema Monitoreo y Seguimiento</t>
  </si>
  <si>
    <t>Apoyo Sistema Monitoreo y Seguimiento</t>
  </si>
  <si>
    <t>Ingeniero de Sistemas Plataforma 1</t>
  </si>
  <si>
    <t>Ingeniero de Sistemas Plataforma 2</t>
  </si>
  <si>
    <t xml:space="preserve">Contador </t>
  </si>
  <si>
    <t>Asesor Coordinación</t>
  </si>
  <si>
    <t>Enlace Fiduciario</t>
  </si>
  <si>
    <t>Abogado Senior</t>
  </si>
  <si>
    <t>Asesor Administrativo</t>
  </si>
  <si>
    <t>Asistente Juridico</t>
  </si>
  <si>
    <t>Auxiliar Administrativo</t>
  </si>
  <si>
    <t>Secretaria EIP</t>
  </si>
  <si>
    <t>EIP</t>
  </si>
  <si>
    <t>Promedio equipo mes</t>
  </si>
  <si>
    <t>Total apropiación 8 meses</t>
  </si>
  <si>
    <t>ALIANZAS</t>
  </si>
  <si>
    <t>PREINVERSIÓN</t>
  </si>
  <si>
    <t>TECNICO</t>
  </si>
  <si>
    <t>SOCIAL</t>
  </si>
  <si>
    <t>FINANCIERO</t>
  </si>
  <si>
    <t>GRUPOS 3</t>
  </si>
  <si>
    <t>TOPE ALIANZAS</t>
  </si>
  <si>
    <t>V/ MONITOREO</t>
  </si>
  <si>
    <t>POA</t>
  </si>
  <si>
    <t>VALOR CONTRATO PERSONA X 4 MESES</t>
  </si>
  <si>
    <t>VALOR HONORARIOS X MES</t>
  </si>
  <si>
    <t>Saldo disponible para actividades complementarias</t>
  </si>
  <si>
    <t>Profesional de apoyo</t>
  </si>
  <si>
    <t>8 COORDINADORES REGIONALES MONITOR</t>
  </si>
  <si>
    <t>INDUCCIÓN</t>
  </si>
  <si>
    <t>2,5 DÍAS</t>
  </si>
  <si>
    <t>TIQUETES</t>
  </si>
  <si>
    <t>VIATICOS</t>
  </si>
  <si>
    <t>VALOR TIQUETE</t>
  </si>
  <si>
    <t>ACTIVIDADES</t>
  </si>
  <si>
    <t>1,5 DÍAS</t>
  </si>
  <si>
    <t>CIR</t>
  </si>
  <si>
    <t>8 PERSONAS</t>
  </si>
  <si>
    <t>ACTIVIDADES COORDINADOR</t>
  </si>
  <si>
    <t>DEPARTAMENTOS - DIVULGACIÓN</t>
  </si>
  <si>
    <t>VISITAS DURANTE 4 MESES</t>
  </si>
  <si>
    <t>OPERADOR  REGIONAL</t>
  </si>
  <si>
    <t>PERSONAS MONITORES</t>
  </si>
  <si>
    <t>3 AUXILIARES POR REGIONAL MONITOR</t>
  </si>
  <si>
    <t>VISITAS DE SEGUNDO DESEMBOLSO 10% DEL TOTAL</t>
  </si>
  <si>
    <t>Convocatoria y registro de Perfiles</t>
  </si>
  <si>
    <t>964491719,16</t>
  </si>
  <si>
    <t>Operadores Regionales</t>
  </si>
  <si>
    <t>Costo fjo 4 meses</t>
  </si>
  <si>
    <t>Profesionales necesarios para preinversiones</t>
  </si>
  <si>
    <t>Costo variable</t>
  </si>
  <si>
    <t>ACTIVIDADES COMPLEMENTARIAS</t>
  </si>
  <si>
    <t>Profesionales necesarios para perfiles</t>
  </si>
  <si>
    <t>Valor contrato</t>
  </si>
  <si>
    <t>Profesionales</t>
  </si>
  <si>
    <t>Costos fiducia</t>
  </si>
  <si>
    <t xml:space="preserve">C/U </t>
  </si>
  <si>
    <t>Monitoreo de 7 alianzas</t>
  </si>
  <si>
    <t>Equipo Implementador del Proyecto</t>
  </si>
  <si>
    <t>Alianzas Productivas</t>
  </si>
  <si>
    <t>Comisiones EIP y tiquetes</t>
  </si>
  <si>
    <t>APROPIACIÓN</t>
  </si>
  <si>
    <t>Regional 1</t>
  </si>
  <si>
    <t>Regional 2</t>
  </si>
  <si>
    <t>Regional 3</t>
  </si>
  <si>
    <t>Regional 4</t>
  </si>
  <si>
    <t>Regional 5</t>
  </si>
  <si>
    <t>Regional 6</t>
  </si>
  <si>
    <t>Regional 7</t>
  </si>
  <si>
    <t>Regional 9</t>
  </si>
  <si>
    <t>049 del 2016.</t>
  </si>
  <si>
    <r>
      <rPr>
        <b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La actividad auditoria y evaluación se realizará a la Fase III del proyecto comprendido en el periodo 2016 - 2019, </t>
    </r>
  </si>
  <si>
    <t xml:space="preserve">de acuerdo a la aprobación realizada por la CIN y el Manual Operativo del proyecto adoptado bajo la resolución </t>
  </si>
</sst>
</file>

<file path=xl/styles.xml><?xml version="1.0" encoding="utf-8"?>
<styleSheet xmlns="http://schemas.openxmlformats.org/spreadsheetml/2006/main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&quot;$&quot;\ #,##0"/>
    <numFmt numFmtId="167" formatCode="_-&quot;$&quot;* #,##0.00_-;\-&quot;$&quot;* #,##0.00_-;_-&quot;$&quot;* &quot;-&quot;??_-;_-@_-"/>
    <numFmt numFmtId="168" formatCode="&quot;$&quot;#,##0.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FFFF"/>
      <name val="Futura-Book"/>
    </font>
    <font>
      <b/>
      <sz val="8"/>
      <color rgb="FF000000"/>
      <name val="Futura-Book"/>
    </font>
    <font>
      <sz val="8"/>
      <color rgb="FF000000"/>
      <name val="Futura-Book"/>
    </font>
    <font>
      <b/>
      <sz val="8"/>
      <color theme="1"/>
      <name val="Futura-Book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left" vertical="center" wrapText="1"/>
    </xf>
    <xf numFmtId="166" fontId="5" fillId="0" borderId="6" xfId="0" applyNumberFormat="1" applyFont="1" applyBorder="1" applyAlignment="1">
      <alignment horizontal="right" vertical="center" wrapText="1"/>
    </xf>
    <xf numFmtId="166" fontId="4" fillId="5" borderId="6" xfId="0" applyNumberFormat="1" applyFont="1" applyFill="1" applyBorder="1" applyAlignment="1">
      <alignment horizontal="right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166" fontId="6" fillId="6" borderId="18" xfId="0" applyNumberFormat="1" applyFont="1" applyFill="1" applyBorder="1" applyAlignment="1">
      <alignment horizontal="right" vertical="center" wrapText="1"/>
    </xf>
    <xf numFmtId="1" fontId="2" fillId="6" borderId="19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0" fillId="6" borderId="20" xfId="0" applyNumberFormat="1" applyFill="1" applyBorder="1" applyAlignment="1">
      <alignment horizontal="center"/>
    </xf>
    <xf numFmtId="166" fontId="0" fillId="0" borderId="20" xfId="0" applyNumberForma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1" fontId="2" fillId="0" borderId="17" xfId="0" applyNumberFormat="1" applyFont="1" applyBorder="1" applyAlignment="1">
      <alignment horizontal="center"/>
    </xf>
    <xf numFmtId="166" fontId="2" fillId="0" borderId="17" xfId="0" applyNumberFormat="1" applyFont="1" applyBorder="1" applyAlignment="1">
      <alignment horizontal="center"/>
    </xf>
    <xf numFmtId="166" fontId="2" fillId="0" borderId="17" xfId="0" applyNumberFormat="1" applyFont="1" applyBorder="1"/>
    <xf numFmtId="166" fontId="0" fillId="0" borderId="24" xfId="0" applyNumberFormat="1" applyBorder="1"/>
    <xf numFmtId="0" fontId="0" fillId="0" borderId="25" xfId="0" applyBorder="1"/>
    <xf numFmtId="1" fontId="0" fillId="0" borderId="26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0" fontId="0" fillId="0" borderId="27" xfId="0" applyBorder="1"/>
    <xf numFmtId="166" fontId="0" fillId="0" borderId="28" xfId="0" applyNumberFormat="1" applyBorder="1"/>
    <xf numFmtId="0" fontId="2" fillId="0" borderId="29" xfId="0" applyFont="1" applyBorder="1" applyAlignment="1">
      <alignment horizontal="center" vertical="center"/>
    </xf>
    <xf numFmtId="1" fontId="0" fillId="0" borderId="0" xfId="0" applyNumberFormat="1"/>
    <xf numFmtId="4" fontId="0" fillId="0" borderId="0" xfId="0" applyNumberFormat="1"/>
    <xf numFmtId="3" fontId="2" fillId="0" borderId="4" xfId="0" applyNumberFormat="1" applyFont="1" applyFill="1" applyBorder="1"/>
    <xf numFmtId="0" fontId="2" fillId="0" borderId="4" xfId="0" applyFont="1" applyBorder="1" applyAlignment="1">
      <alignment horizontal="center"/>
    </xf>
    <xf numFmtId="0" fontId="0" fillId="0" borderId="4" xfId="0" applyBorder="1"/>
    <xf numFmtId="167" fontId="0" fillId="0" borderId="4" xfId="0" applyNumberFormat="1" applyBorder="1"/>
    <xf numFmtId="0" fontId="0" fillId="0" borderId="4" xfId="0" applyBorder="1" applyAlignment="1">
      <alignment horizontal="center"/>
    </xf>
    <xf numFmtId="165" fontId="0" fillId="0" borderId="4" xfId="1" applyFont="1" applyBorder="1"/>
    <xf numFmtId="167" fontId="2" fillId="4" borderId="4" xfId="0" applyNumberFormat="1" applyFont="1" applyFill="1" applyBorder="1"/>
    <xf numFmtId="165" fontId="0" fillId="0" borderId="0" xfId="0" applyNumberFormat="1"/>
    <xf numFmtId="0" fontId="2" fillId="6" borderId="31" xfId="0" applyFont="1" applyFill="1" applyBorder="1" applyAlignment="1">
      <alignment horizontal="center" vertical="center" wrapText="1"/>
    </xf>
    <xf numFmtId="10" fontId="2" fillId="6" borderId="32" xfId="0" applyNumberFormat="1" applyFont="1" applyFill="1" applyBorder="1" applyAlignment="1">
      <alignment horizontal="center" vertical="center"/>
    </xf>
    <xf numFmtId="10" fontId="2" fillId="0" borderId="33" xfId="0" applyNumberFormat="1" applyFont="1" applyFill="1" applyBorder="1" applyAlignment="1">
      <alignment horizontal="center" vertical="center"/>
    </xf>
    <xf numFmtId="165" fontId="0" fillId="0" borderId="3" xfId="1" applyFont="1" applyBorder="1"/>
    <xf numFmtId="165" fontId="0" fillId="0" borderId="34" xfId="1" applyFont="1" applyBorder="1"/>
    <xf numFmtId="3" fontId="0" fillId="0" borderId="0" xfId="0" applyNumberFormat="1" applyFill="1" applyBorder="1"/>
    <xf numFmtId="165" fontId="0" fillId="0" borderId="24" xfId="1" applyFont="1" applyBorder="1"/>
    <xf numFmtId="165" fontId="0" fillId="4" borderId="2" xfId="1" applyFont="1" applyFill="1" applyBorder="1"/>
    <xf numFmtId="165" fontId="0" fillId="0" borderId="2" xfId="0" applyNumberFormat="1" applyBorder="1"/>
    <xf numFmtId="166" fontId="0" fillId="0" borderId="0" xfId="0" applyNumberFormat="1"/>
    <xf numFmtId="3" fontId="0" fillId="0" borderId="0" xfId="0" applyNumberFormat="1" applyBorder="1"/>
    <xf numFmtId="0" fontId="0" fillId="4" borderId="0" xfId="0" applyFill="1" applyAlignment="1">
      <alignment horizontal="center"/>
    </xf>
    <xf numFmtId="3" fontId="0" fillId="0" borderId="37" xfId="0" applyNumberFormat="1" applyBorder="1"/>
    <xf numFmtId="0" fontId="0" fillId="0" borderId="38" xfId="0" applyBorder="1"/>
    <xf numFmtId="3" fontId="0" fillId="0" borderId="38" xfId="0" applyNumberFormat="1" applyBorder="1"/>
    <xf numFmtId="0" fontId="0" fillId="0" borderId="39" xfId="0" applyBorder="1"/>
    <xf numFmtId="3" fontId="0" fillId="0" borderId="40" xfId="0" applyNumberFormat="1" applyBorder="1"/>
    <xf numFmtId="0" fontId="0" fillId="0" borderId="41" xfId="0" applyBorder="1"/>
    <xf numFmtId="0" fontId="0" fillId="0" borderId="42" xfId="0" applyBorder="1"/>
    <xf numFmtId="0" fontId="0" fillId="0" borderId="44" xfId="0" applyBorder="1"/>
    <xf numFmtId="0" fontId="0" fillId="0" borderId="45" xfId="0" applyBorder="1" applyAlignment="1">
      <alignment horizontal="center"/>
    </xf>
    <xf numFmtId="0" fontId="0" fillId="0" borderId="0" xfId="0" applyBorder="1"/>
    <xf numFmtId="0" fontId="0" fillId="4" borderId="47" xfId="0" applyFill="1" applyBorder="1" applyAlignment="1">
      <alignment horizontal="center"/>
    </xf>
    <xf numFmtId="0" fontId="0" fillId="0" borderId="47" xfId="0" applyBorder="1" applyAlignment="1">
      <alignment horizontal="center"/>
    </xf>
    <xf numFmtId="3" fontId="2" fillId="4" borderId="49" xfId="0" applyNumberFormat="1" applyFont="1" applyFill="1" applyBorder="1"/>
    <xf numFmtId="0" fontId="0" fillId="0" borderId="50" xfId="0" applyBorder="1"/>
    <xf numFmtId="0" fontId="0" fillId="0" borderId="33" xfId="0" applyBorder="1"/>
    <xf numFmtId="0" fontId="0" fillId="4" borderId="35" xfId="0" applyFill="1" applyBorder="1" applyAlignment="1">
      <alignment horizontal="center"/>
    </xf>
    <xf numFmtId="0" fontId="0" fillId="0" borderId="14" xfId="0" applyBorder="1" applyAlignment="1">
      <alignment horizontal="center"/>
    </xf>
    <xf numFmtId="3" fontId="2" fillId="4" borderId="16" xfId="0" applyNumberFormat="1" applyFont="1" applyFill="1" applyBorder="1"/>
    <xf numFmtId="0" fontId="0" fillId="0" borderId="33" xfId="0" applyBorder="1" applyAlignment="1">
      <alignment horizontal="right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/>
    <xf numFmtId="0" fontId="0" fillId="0" borderId="0" xfId="0" applyNumberFormat="1"/>
    <xf numFmtId="0" fontId="5" fillId="0" borderId="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16" xfId="0" applyNumberFormat="1" applyBorder="1"/>
    <xf numFmtId="165" fontId="0" fillId="4" borderId="27" xfId="0" applyNumberFormat="1" applyFill="1" applyBorder="1"/>
    <xf numFmtId="166" fontId="5" fillId="0" borderId="6" xfId="0" applyNumberFormat="1" applyFont="1" applyFill="1" applyBorder="1" applyAlignment="1">
      <alignment horizontal="right" vertical="center" wrapText="1"/>
    </xf>
    <xf numFmtId="166" fontId="5" fillId="2" borderId="0" xfId="0" applyNumberFormat="1" applyFont="1" applyFill="1" applyBorder="1" applyAlignment="1">
      <alignment horizontal="right" vertical="center" wrapText="1"/>
    </xf>
    <xf numFmtId="0" fontId="2" fillId="2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166" fontId="5" fillId="0" borderId="7" xfId="0" applyNumberFormat="1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6" fontId="2" fillId="7" borderId="17" xfId="0" applyNumberFormat="1" applyFont="1" applyFill="1" applyBorder="1" applyAlignment="1">
      <alignment horizontal="center"/>
    </xf>
    <xf numFmtId="166" fontId="2" fillId="7" borderId="17" xfId="0" applyNumberFormat="1" applyFont="1" applyFill="1" applyBorder="1"/>
    <xf numFmtId="167" fontId="2" fillId="7" borderId="4" xfId="0" applyNumberFormat="1" applyFont="1" applyFill="1" applyBorder="1"/>
    <xf numFmtId="0" fontId="2" fillId="0" borderId="1" xfId="0" applyFont="1" applyBorder="1" applyAlignment="1">
      <alignment horizontal="center"/>
    </xf>
    <xf numFmtId="3" fontId="2" fillId="7" borderId="2" xfId="0" applyNumberFormat="1" applyFont="1" applyFill="1" applyBorder="1"/>
    <xf numFmtId="3" fontId="2" fillId="4" borderId="0" xfId="0" applyNumberFormat="1" applyFont="1" applyFill="1" applyAlignment="1">
      <alignment horizontal="right"/>
    </xf>
    <xf numFmtId="165" fontId="2" fillId="7" borderId="2" xfId="0" applyNumberFormat="1" applyFont="1" applyFill="1" applyBorder="1"/>
    <xf numFmtId="0" fontId="0" fillId="2" borderId="0" xfId="0" applyFill="1" applyAlignment="1">
      <alignment horizontal="center"/>
    </xf>
    <xf numFmtId="0" fontId="0" fillId="2" borderId="0" xfId="0" applyFill="1" applyBorder="1"/>
    <xf numFmtId="0" fontId="9" fillId="2" borderId="0" xfId="0" applyFont="1" applyFill="1"/>
    <xf numFmtId="1" fontId="8" fillId="2" borderId="0" xfId="0" applyNumberFormat="1" applyFont="1" applyFill="1" applyAlignment="1">
      <alignment horizontal="center"/>
    </xf>
    <xf numFmtId="0" fontId="8" fillId="2" borderId="0" xfId="0" applyFont="1" applyFill="1"/>
    <xf numFmtId="168" fontId="0" fillId="2" borderId="0" xfId="0" applyNumberFormat="1" applyFill="1"/>
    <xf numFmtId="4" fontId="0" fillId="2" borderId="0" xfId="0" applyNumberFormat="1" applyFill="1"/>
    <xf numFmtId="4" fontId="2" fillId="2" borderId="0" xfId="0" applyNumberFormat="1" applyFont="1" applyFill="1" applyAlignment="1">
      <alignment horizontal="center"/>
    </xf>
    <xf numFmtId="4" fontId="0" fillId="2" borderId="0" xfId="0" applyNumberFormat="1" applyFill="1" applyBorder="1"/>
    <xf numFmtId="166" fontId="2" fillId="2" borderId="0" xfId="0" applyNumberFormat="1" applyFont="1" applyFill="1" applyBorder="1"/>
    <xf numFmtId="168" fontId="2" fillId="2" borderId="0" xfId="0" applyNumberFormat="1" applyFont="1" applyFill="1" applyBorder="1"/>
    <xf numFmtId="3" fontId="0" fillId="2" borderId="0" xfId="0" applyNumberFormat="1" applyFill="1" applyAlignment="1">
      <alignment horizontal="center"/>
    </xf>
    <xf numFmtId="3" fontId="0" fillId="2" borderId="0" xfId="0" applyNumberFormat="1" applyFill="1"/>
    <xf numFmtId="43" fontId="0" fillId="2" borderId="0" xfId="2" applyFont="1" applyFill="1"/>
    <xf numFmtId="165" fontId="0" fillId="2" borderId="0" xfId="0" applyNumberFormat="1" applyFill="1"/>
    <xf numFmtId="10" fontId="0" fillId="2" borderId="0" xfId="0" applyNumberFormat="1" applyFill="1"/>
    <xf numFmtId="1" fontId="2" fillId="2" borderId="0" xfId="0" applyNumberFormat="1" applyFont="1" applyFill="1" applyBorder="1" applyAlignment="1">
      <alignment horizontal="center"/>
    </xf>
    <xf numFmtId="166" fontId="2" fillId="2" borderId="0" xfId="0" applyNumberFormat="1" applyFont="1" applyFill="1" applyBorder="1" applyAlignment="1">
      <alignment horizontal="center"/>
    </xf>
    <xf numFmtId="0" fontId="2" fillId="6" borderId="53" xfId="0" applyFont="1" applyFill="1" applyBorder="1" applyAlignment="1">
      <alignment horizontal="center" vertical="center" wrapText="1"/>
    </xf>
    <xf numFmtId="3" fontId="0" fillId="0" borderId="36" xfId="0" applyNumberFormat="1" applyBorder="1"/>
    <xf numFmtId="3" fontId="0" fillId="0" borderId="23" xfId="0" applyNumberFormat="1" applyBorder="1"/>
    <xf numFmtId="3" fontId="0" fillId="0" borderId="25" xfId="0" applyNumberFormat="1" applyBorder="1"/>
    <xf numFmtId="165" fontId="0" fillId="0" borderId="16" xfId="1" applyFont="1" applyBorder="1"/>
    <xf numFmtId="165" fontId="0" fillId="0" borderId="27" xfId="1" applyFont="1" applyBorder="1"/>
    <xf numFmtId="0" fontId="0" fillId="0" borderId="20" xfId="0" applyBorder="1"/>
    <xf numFmtId="165" fontId="0" fillId="4" borderId="17" xfId="1" applyFont="1" applyFill="1" applyBorder="1"/>
    <xf numFmtId="0" fontId="2" fillId="6" borderId="35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167" fontId="0" fillId="0" borderId="4" xfId="0" applyNumberFormat="1" applyFont="1" applyFill="1" applyBorder="1"/>
    <xf numFmtId="44" fontId="0" fillId="2" borderId="0" xfId="0" applyNumberFormat="1" applyFill="1"/>
    <xf numFmtId="0" fontId="0" fillId="2" borderId="0" xfId="0" applyFill="1" applyAlignment="1">
      <alignment horizontal="right"/>
    </xf>
    <xf numFmtId="0" fontId="6" fillId="2" borderId="0" xfId="0" applyFont="1" applyFill="1" applyBorder="1" applyAlignment="1">
      <alignment horizontal="center" vertical="center" wrapText="1"/>
    </xf>
    <xf numFmtId="166" fontId="6" fillId="2" borderId="0" xfId="0" applyNumberFormat="1" applyFont="1" applyFill="1" applyBorder="1" applyAlignment="1">
      <alignment horizontal="right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166" fontId="5" fillId="7" borderId="6" xfId="0" applyNumberFormat="1" applyFont="1" applyFill="1" applyBorder="1" applyAlignment="1">
      <alignment horizontal="right" vertical="center" wrapText="1"/>
    </xf>
    <xf numFmtId="0" fontId="0" fillId="0" borderId="4" xfId="0" applyFill="1" applyBorder="1"/>
    <xf numFmtId="0" fontId="4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1" fillId="2" borderId="0" xfId="0" applyFont="1" applyFill="1"/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EE5E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122238</xdr:colOff>
      <xdr:row>0</xdr:row>
      <xdr:rowOff>103187</xdr:rowOff>
    </xdr:from>
    <xdr:to>
      <xdr:col>1</xdr:col>
      <xdr:colOff>892175</xdr:colOff>
      <xdr:row>2</xdr:row>
      <xdr:rowOff>188912</xdr:rowOff>
    </xdr:to>
    <xdr:pic>
      <xdr:nvPicPr>
        <xdr:cNvPr id="3" name="Imagen 8" descr="image00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238" y="103187"/>
          <a:ext cx="208756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2135187</xdr:colOff>
      <xdr:row>0</xdr:row>
      <xdr:rowOff>80963</xdr:rowOff>
    </xdr:from>
    <xdr:to>
      <xdr:col>3</xdr:col>
      <xdr:colOff>920750</xdr:colOff>
      <xdr:row>3</xdr:row>
      <xdr:rowOff>23813</xdr:rowOff>
    </xdr:to>
    <xdr:pic>
      <xdr:nvPicPr>
        <xdr:cNvPr id="4" name="Picture 3"/>
        <xdr:cNvPicPr/>
      </xdr:nvPicPr>
      <xdr:blipFill>
        <a:blip xmlns:r="http://schemas.openxmlformats.org/officeDocument/2006/relationships" r:embed="rId2" cstate="print"/>
        <a:srcRect t="18153" r="72603" b="57643"/>
        <a:stretch>
          <a:fillRect/>
        </a:stretch>
      </xdr:blipFill>
      <xdr:spPr bwMode="auto">
        <a:xfrm>
          <a:off x="4365625" y="80963"/>
          <a:ext cx="138906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28575</xdr:rowOff>
    </xdr:from>
    <xdr:to>
      <xdr:col>1</xdr:col>
      <xdr:colOff>95250</xdr:colOff>
      <xdr:row>2</xdr:row>
      <xdr:rowOff>114300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rcRect t="18153" r="72603" b="57643"/>
        <a:stretch>
          <a:fillRect/>
        </a:stretch>
      </xdr:blipFill>
      <xdr:spPr bwMode="auto">
        <a:xfrm>
          <a:off x="66675" y="28575"/>
          <a:ext cx="16478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0</xdr:col>
      <xdr:colOff>1685925</xdr:colOff>
      <xdr:row>2</xdr:row>
      <xdr:rowOff>123825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rcRect t="18153" r="72603" b="57643"/>
        <a:stretch>
          <a:fillRect/>
        </a:stretch>
      </xdr:blipFill>
      <xdr:spPr bwMode="auto">
        <a:xfrm>
          <a:off x="38100" y="38100"/>
          <a:ext cx="16478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38100</xdr:rowOff>
    </xdr:from>
    <xdr:to>
      <xdr:col>0</xdr:col>
      <xdr:colOff>1724025</xdr:colOff>
      <xdr:row>2</xdr:row>
      <xdr:rowOff>123825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rcRect t="18153" r="72603" b="57643"/>
        <a:stretch>
          <a:fillRect/>
        </a:stretch>
      </xdr:blipFill>
      <xdr:spPr bwMode="auto">
        <a:xfrm>
          <a:off x="76200" y="38100"/>
          <a:ext cx="16478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123825</xdr:colOff>
      <xdr:row>3</xdr:row>
      <xdr:rowOff>19050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rcRect t="18153" r="72603" b="57643"/>
        <a:stretch>
          <a:fillRect/>
        </a:stretch>
      </xdr:blipFill>
      <xdr:spPr bwMode="auto">
        <a:xfrm>
          <a:off x="123825" y="133350"/>
          <a:ext cx="16478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2"/>
  <sheetViews>
    <sheetView tabSelected="1" topLeftCell="A15" zoomScale="120" zoomScaleNormal="120" workbookViewId="0">
      <selection activeCell="A30" sqref="A30"/>
    </sheetView>
  </sheetViews>
  <sheetFormatPr defaultColWidth="11.42578125" defaultRowHeight="15"/>
  <cols>
    <col min="1" max="1" width="19.7109375" customWidth="1"/>
    <col min="2" max="2" width="13.7109375" customWidth="1"/>
    <col min="3" max="3" width="39" customWidth="1"/>
    <col min="4" max="4" width="16.7109375" customWidth="1"/>
    <col min="5" max="6" width="11.42578125" style="1"/>
  </cols>
  <sheetData>
    <row r="1" spans="1:20">
      <c r="A1" s="1"/>
      <c r="B1" s="1"/>
      <c r="C1" s="2"/>
      <c r="D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/>
      <c r="B2" s="1"/>
      <c r="C2" s="2"/>
      <c r="D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>
      <c r="A3" s="1"/>
      <c r="B3" s="1"/>
      <c r="C3" s="2"/>
      <c r="D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5.75" thickBot="1">
      <c r="A4" s="1"/>
      <c r="B4" s="1"/>
      <c r="C4" s="2"/>
      <c r="D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 thickBot="1">
      <c r="A5" s="141">
        <v>2020</v>
      </c>
      <c r="B5" s="142"/>
      <c r="C5" s="142"/>
      <c r="D5" s="14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5.75" thickBot="1">
      <c r="A6" s="84" t="s">
        <v>0</v>
      </c>
      <c r="B6" s="84" t="s">
        <v>1</v>
      </c>
      <c r="C6" s="84" t="s">
        <v>2</v>
      </c>
      <c r="D6" s="4" t="s">
        <v>126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>
      <c r="A7" s="144" t="s">
        <v>4</v>
      </c>
      <c r="B7" s="145" t="s">
        <v>5</v>
      </c>
      <c r="C7" s="5" t="s">
        <v>6</v>
      </c>
      <c r="D7" s="85">
        <f>'Incentivo Modular - Alianzas'!E40</f>
        <v>2388870000.0000014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>
      <c r="A8" s="132"/>
      <c r="B8" s="146"/>
      <c r="C8" s="5" t="s">
        <v>7</v>
      </c>
      <c r="D8" s="6">
        <f>'Seguimiento y Monitoreo'!D27</f>
        <v>908000000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idden="1">
      <c r="A9" s="132"/>
      <c r="B9" s="146"/>
      <c r="C9" s="5" t="s">
        <v>8</v>
      </c>
      <c r="D9" s="6" t="e">
        <f>#REF!</f>
        <v>#REF!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idden="1">
      <c r="A10" s="132"/>
      <c r="B10" s="146"/>
      <c r="C10" s="5" t="s">
        <v>110</v>
      </c>
      <c r="D10" s="6" t="e">
        <f>#REF!</f>
        <v>#REF!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>
      <c r="A11" s="132"/>
      <c r="B11" s="146"/>
      <c r="C11" s="5" t="s">
        <v>9</v>
      </c>
      <c r="D11" s="81">
        <f>'Incentivo Modular - Alianzas'!F40</f>
        <v>292025249.99999976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132"/>
      <c r="B12" s="135" t="s">
        <v>10</v>
      </c>
      <c r="C12" s="136"/>
      <c r="D12" s="7">
        <f>+D7+D8+D11</f>
        <v>3588895250.000001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>
      <c r="A13" s="132" t="s">
        <v>11</v>
      </c>
      <c r="B13" s="74" t="s">
        <v>12</v>
      </c>
      <c r="C13" s="8" t="s">
        <v>12</v>
      </c>
      <c r="D13" s="6">
        <f>'Incentivo Modular - Alianzas'!D38</f>
        <v>34200000000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>
      <c r="A14" s="132"/>
      <c r="B14" s="135" t="s">
        <v>10</v>
      </c>
      <c r="C14" s="136"/>
      <c r="D14" s="7">
        <f>SUM(D13)</f>
        <v>34200000000</v>
      </c>
      <c r="E14" s="110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" customHeight="1">
      <c r="A15" s="132" t="s">
        <v>13</v>
      </c>
      <c r="B15" s="139" t="s">
        <v>5</v>
      </c>
      <c r="C15" s="8" t="s">
        <v>14</v>
      </c>
      <c r="D15" s="81">
        <f>'Contratación EIP'!F33</f>
        <v>1796989027.8400002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>
      <c r="A16" s="132"/>
      <c r="B16" s="140"/>
      <c r="C16" s="8" t="s">
        <v>15</v>
      </c>
      <c r="D16" s="6">
        <v>300000000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>
      <c r="A17" s="132"/>
      <c r="B17" s="140"/>
      <c r="C17" s="8" t="s">
        <v>16</v>
      </c>
      <c r="D17" s="6">
        <v>400000000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>
      <c r="A18" s="132"/>
      <c r="B18" s="140"/>
      <c r="C18" s="9" t="s">
        <v>17</v>
      </c>
      <c r="D18" s="6">
        <v>195859873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>
      <c r="A19" s="132"/>
      <c r="B19" s="133" t="s">
        <v>18</v>
      </c>
      <c r="C19" s="9" t="s">
        <v>19</v>
      </c>
      <c r="D19" s="6">
        <f>Viaticos!B42</f>
        <v>418255849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>
      <c r="A20" s="132"/>
      <c r="B20" s="134"/>
      <c r="C20" s="86" t="s">
        <v>20</v>
      </c>
      <c r="D20" s="6">
        <v>100000000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>
      <c r="A21" s="132"/>
      <c r="B21" s="135" t="s">
        <v>10</v>
      </c>
      <c r="C21" s="136"/>
      <c r="D21" s="7">
        <f>SUM(D15:D20)</f>
        <v>3211104749.8400002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thickBot="1">
      <c r="A22" s="137" t="s">
        <v>21</v>
      </c>
      <c r="B22" s="138"/>
      <c r="C22" s="138"/>
      <c r="D22" s="10">
        <f>+D21+D14+D12</f>
        <v>40999999999.839996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96" customFormat="1">
      <c r="A23" s="127"/>
      <c r="B23" s="127"/>
      <c r="C23" s="127"/>
      <c r="D23" s="128"/>
    </row>
    <row r="24" spans="1:20">
      <c r="A24" s="1"/>
      <c r="B24" s="1"/>
      <c r="C24" s="1"/>
      <c r="D24" s="129">
        <f>D22/1.0048</f>
        <v>40804140127.229301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s="1" customFormat="1">
      <c r="C25" s="9" t="s">
        <v>120</v>
      </c>
      <c r="D25" s="130">
        <f>D24*0.48%</f>
        <v>195859872.61070064</v>
      </c>
    </row>
    <row r="26" spans="1:20" s="1" customFormat="1"/>
    <row r="27" spans="1:20" s="1" customFormat="1"/>
    <row r="28" spans="1:20" s="1" customFormat="1">
      <c r="A28" s="165" t="s">
        <v>136</v>
      </c>
    </row>
    <row r="29" spans="1:20" s="1" customFormat="1">
      <c r="A29" s="165" t="s">
        <v>137</v>
      </c>
    </row>
    <row r="30" spans="1:20" s="1" customFormat="1">
      <c r="A30" s="165" t="s">
        <v>135</v>
      </c>
    </row>
    <row r="31" spans="1:20" s="1" customFormat="1"/>
    <row r="32" spans="1:20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</sheetData>
  <mergeCells count="11">
    <mergeCell ref="A5:D5"/>
    <mergeCell ref="A7:A12"/>
    <mergeCell ref="B7:B11"/>
    <mergeCell ref="B12:C12"/>
    <mergeCell ref="A13:A14"/>
    <mergeCell ref="B14:C14"/>
    <mergeCell ref="A15:A21"/>
    <mergeCell ref="B19:B20"/>
    <mergeCell ref="B21:C21"/>
    <mergeCell ref="A22:C22"/>
    <mergeCell ref="B15:B18"/>
  </mergeCells>
  <pageMargins left="0.7" right="0.7" top="0.75" bottom="0.75" header="0.3" footer="0.3"/>
  <pageSetup orientation="landscape" r:id="rId1"/>
  <ignoredErrors>
    <ignoredError sqref="D1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01"/>
  <sheetViews>
    <sheetView workbookViewId="0">
      <selection activeCell="D30" sqref="D30"/>
    </sheetView>
  </sheetViews>
  <sheetFormatPr defaultColWidth="11.42578125" defaultRowHeight="15"/>
  <cols>
    <col min="1" max="1" width="24.28515625" customWidth="1"/>
    <col min="2" max="2" width="17.28515625" customWidth="1"/>
    <col min="3" max="3" width="20.140625" customWidth="1"/>
    <col min="4" max="4" width="18.85546875" customWidth="1"/>
    <col min="5" max="5" width="19.28515625" customWidth="1"/>
    <col min="6" max="6" width="19.5703125" customWidth="1"/>
    <col min="7" max="17" width="11.42578125" style="1"/>
  </cols>
  <sheetData>
    <row r="1" spans="1:6">
      <c r="A1" s="1"/>
      <c r="B1" s="1"/>
      <c r="C1" s="1"/>
      <c r="D1" s="1"/>
      <c r="E1" s="1"/>
      <c r="F1" s="1"/>
    </row>
    <row r="2" spans="1:6" ht="18.75">
      <c r="A2" s="1"/>
      <c r="B2" s="147" t="s">
        <v>124</v>
      </c>
      <c r="C2" s="147"/>
      <c r="D2" s="147"/>
      <c r="E2" s="147"/>
      <c r="F2" s="147"/>
    </row>
    <row r="3" spans="1:6" ht="15.75" thickBot="1">
      <c r="A3" s="1"/>
      <c r="B3" s="1"/>
      <c r="C3" s="1"/>
      <c r="D3" s="1"/>
      <c r="E3" s="1"/>
      <c r="F3" s="1"/>
    </row>
    <row r="4" spans="1:6" ht="45.75" thickBot="1">
      <c r="A4" s="16" t="s">
        <v>22</v>
      </c>
      <c r="B4" s="11" t="s">
        <v>23</v>
      </c>
      <c r="C4" s="12" t="s">
        <v>11</v>
      </c>
      <c r="D4" s="28" t="s">
        <v>21</v>
      </c>
      <c r="E4" s="11" t="s">
        <v>24</v>
      </c>
      <c r="F4" s="11" t="s">
        <v>25</v>
      </c>
    </row>
    <row r="5" spans="1:6">
      <c r="A5" s="17" t="s">
        <v>26</v>
      </c>
      <c r="B5" s="13">
        <v>4</v>
      </c>
      <c r="C5" s="14">
        <v>200000000</v>
      </c>
      <c r="D5" s="27">
        <f>B5*C5</f>
        <v>800000000</v>
      </c>
      <c r="E5" s="13">
        <f>B5*1.1</f>
        <v>4.4000000000000004</v>
      </c>
      <c r="F5" s="13">
        <f>E5*1.15</f>
        <v>5.0599999999999996</v>
      </c>
    </row>
    <row r="6" spans="1:6">
      <c r="A6" s="18" t="s">
        <v>27</v>
      </c>
      <c r="B6" s="13">
        <v>5.76</v>
      </c>
      <c r="C6" s="14">
        <v>200000000</v>
      </c>
      <c r="D6" s="22">
        <f>B6*C6</f>
        <v>1152000000</v>
      </c>
      <c r="E6" s="13">
        <f t="shared" ref="E6:E11" si="0">B6*1.1</f>
        <v>6.3360000000000003</v>
      </c>
      <c r="F6" s="13">
        <f t="shared" ref="F6:F35" si="1">E6*1.15</f>
        <v>7.2863999999999995</v>
      </c>
    </row>
    <row r="7" spans="1:6">
      <c r="A7" s="18" t="s">
        <v>28</v>
      </c>
      <c r="B7" s="13">
        <v>6</v>
      </c>
      <c r="C7" s="14">
        <v>200000000</v>
      </c>
      <c r="D7" s="22">
        <f t="shared" ref="D7:D36" si="2">B7*C7</f>
        <v>1200000000</v>
      </c>
      <c r="E7" s="13">
        <f t="shared" si="0"/>
        <v>6.6000000000000005</v>
      </c>
      <c r="F7" s="13">
        <f t="shared" si="1"/>
        <v>7.59</v>
      </c>
    </row>
    <row r="8" spans="1:6">
      <c r="A8" s="18" t="s">
        <v>29</v>
      </c>
      <c r="B8" s="13">
        <v>5.76</v>
      </c>
      <c r="C8" s="14">
        <v>200000000</v>
      </c>
      <c r="D8" s="22">
        <f t="shared" si="2"/>
        <v>1152000000</v>
      </c>
      <c r="E8" s="13">
        <f t="shared" si="0"/>
        <v>6.3360000000000003</v>
      </c>
      <c r="F8" s="13">
        <f t="shared" si="1"/>
        <v>7.2863999999999995</v>
      </c>
    </row>
    <row r="9" spans="1:6">
      <c r="A9" s="18" t="s">
        <v>30</v>
      </c>
      <c r="B9" s="13">
        <v>5.76</v>
      </c>
      <c r="C9" s="14">
        <v>200000000</v>
      </c>
      <c r="D9" s="22">
        <f t="shared" si="2"/>
        <v>1152000000</v>
      </c>
      <c r="E9" s="13">
        <f t="shared" si="0"/>
        <v>6.3360000000000003</v>
      </c>
      <c r="F9" s="13">
        <f t="shared" si="1"/>
        <v>7.2863999999999995</v>
      </c>
    </row>
    <row r="10" spans="1:6">
      <c r="A10" s="18" t="s">
        <v>31</v>
      </c>
      <c r="B10" s="13">
        <v>5.76</v>
      </c>
      <c r="C10" s="14">
        <v>200000000</v>
      </c>
      <c r="D10" s="22">
        <f t="shared" si="2"/>
        <v>1152000000</v>
      </c>
      <c r="E10" s="13">
        <f t="shared" si="0"/>
        <v>6.3360000000000003</v>
      </c>
      <c r="F10" s="13">
        <f t="shared" si="1"/>
        <v>7.2863999999999995</v>
      </c>
    </row>
    <row r="11" spans="1:6">
      <c r="A11" s="18" t="s">
        <v>32</v>
      </c>
      <c r="B11" s="13">
        <v>5.76</v>
      </c>
      <c r="C11" s="14">
        <v>200000000</v>
      </c>
      <c r="D11" s="22">
        <f t="shared" si="2"/>
        <v>1152000000</v>
      </c>
      <c r="E11" s="13">
        <f t="shared" si="0"/>
        <v>6.3360000000000003</v>
      </c>
      <c r="F11" s="13">
        <f t="shared" si="1"/>
        <v>7.2863999999999995</v>
      </c>
    </row>
    <row r="12" spans="1:6">
      <c r="A12" s="18" t="s">
        <v>33</v>
      </c>
      <c r="B12" s="13">
        <v>5.76</v>
      </c>
      <c r="C12" s="14">
        <v>200000000</v>
      </c>
      <c r="D12" s="22">
        <f t="shared" si="2"/>
        <v>1152000000</v>
      </c>
      <c r="E12" s="13">
        <f t="shared" ref="E12:E36" si="3">B12*1.1</f>
        <v>6.3360000000000003</v>
      </c>
      <c r="F12" s="13">
        <f t="shared" si="1"/>
        <v>7.2863999999999995</v>
      </c>
    </row>
    <row r="13" spans="1:6">
      <c r="A13" s="18" t="s">
        <v>34</v>
      </c>
      <c r="B13" s="13">
        <v>5.76</v>
      </c>
      <c r="C13" s="14">
        <v>200000000</v>
      </c>
      <c r="D13" s="22">
        <f t="shared" si="2"/>
        <v>1152000000</v>
      </c>
      <c r="E13" s="13">
        <f t="shared" si="3"/>
        <v>6.3360000000000003</v>
      </c>
      <c r="F13" s="13">
        <f t="shared" si="1"/>
        <v>7.2863999999999995</v>
      </c>
    </row>
    <row r="14" spans="1:6">
      <c r="A14" s="18" t="s">
        <v>35</v>
      </c>
      <c r="B14" s="13">
        <v>5.76</v>
      </c>
      <c r="C14" s="14">
        <v>200000000</v>
      </c>
      <c r="D14" s="22">
        <f t="shared" si="2"/>
        <v>1152000000</v>
      </c>
      <c r="E14" s="13">
        <f>B14*1.1</f>
        <v>6.3360000000000003</v>
      </c>
      <c r="F14" s="13">
        <f>E14*1.15</f>
        <v>7.2863999999999995</v>
      </c>
    </row>
    <row r="15" spans="1:6">
      <c r="A15" s="18" t="s">
        <v>36</v>
      </c>
      <c r="B15" s="13">
        <v>5.76</v>
      </c>
      <c r="C15" s="14">
        <v>200000000</v>
      </c>
      <c r="D15" s="22">
        <f t="shared" si="2"/>
        <v>1152000000</v>
      </c>
      <c r="E15" s="13">
        <f>B15*1.1</f>
        <v>6.3360000000000003</v>
      </c>
      <c r="F15" s="13">
        <f t="shared" si="1"/>
        <v>7.2863999999999995</v>
      </c>
    </row>
    <row r="16" spans="1:6">
      <c r="A16" s="18" t="s">
        <v>37</v>
      </c>
      <c r="B16" s="13">
        <v>5.76</v>
      </c>
      <c r="C16" s="14">
        <v>200000000</v>
      </c>
      <c r="D16" s="22">
        <f t="shared" si="2"/>
        <v>1152000000</v>
      </c>
      <c r="E16" s="13">
        <f t="shared" si="3"/>
        <v>6.3360000000000003</v>
      </c>
      <c r="F16" s="13">
        <f t="shared" si="1"/>
        <v>7.2863999999999995</v>
      </c>
    </row>
    <row r="17" spans="1:6">
      <c r="A17" s="18" t="s">
        <v>38</v>
      </c>
      <c r="B17" s="13">
        <v>6</v>
      </c>
      <c r="C17" s="14">
        <v>200000000</v>
      </c>
      <c r="D17" s="22">
        <f t="shared" si="2"/>
        <v>1200000000</v>
      </c>
      <c r="E17" s="13">
        <f t="shared" si="3"/>
        <v>6.6000000000000005</v>
      </c>
      <c r="F17" s="13">
        <f t="shared" si="1"/>
        <v>7.59</v>
      </c>
    </row>
    <row r="18" spans="1:6">
      <c r="A18" s="18" t="s">
        <v>39</v>
      </c>
      <c r="B18" s="13">
        <v>5.76</v>
      </c>
      <c r="C18" s="14">
        <v>200000000</v>
      </c>
      <c r="D18" s="22">
        <f t="shared" si="2"/>
        <v>1152000000</v>
      </c>
      <c r="E18" s="13">
        <f t="shared" si="3"/>
        <v>6.3360000000000003</v>
      </c>
      <c r="F18" s="13">
        <f t="shared" si="1"/>
        <v>7.2863999999999995</v>
      </c>
    </row>
    <row r="19" spans="1:6">
      <c r="A19" s="18" t="s">
        <v>40</v>
      </c>
      <c r="B19" s="13">
        <v>3</v>
      </c>
      <c r="C19" s="14">
        <v>200000000</v>
      </c>
      <c r="D19" s="22">
        <f t="shared" si="2"/>
        <v>600000000</v>
      </c>
      <c r="E19" s="13">
        <f t="shared" si="3"/>
        <v>3.3000000000000003</v>
      </c>
      <c r="F19" s="13">
        <f t="shared" si="1"/>
        <v>3.7949999999999999</v>
      </c>
    </row>
    <row r="20" spans="1:6">
      <c r="A20" s="18" t="s">
        <v>41</v>
      </c>
      <c r="B20" s="13">
        <v>5.76</v>
      </c>
      <c r="C20" s="14">
        <v>200000000</v>
      </c>
      <c r="D20" s="22">
        <f t="shared" si="2"/>
        <v>1152000000</v>
      </c>
      <c r="E20" s="13">
        <f t="shared" si="3"/>
        <v>6.3360000000000003</v>
      </c>
      <c r="F20" s="13">
        <f t="shared" si="1"/>
        <v>7.2863999999999995</v>
      </c>
    </row>
    <row r="21" spans="1:6">
      <c r="A21" s="18" t="s">
        <v>42</v>
      </c>
      <c r="B21" s="13">
        <v>5.76</v>
      </c>
      <c r="C21" s="14">
        <v>200000000</v>
      </c>
      <c r="D21" s="22">
        <f t="shared" si="2"/>
        <v>1152000000</v>
      </c>
      <c r="E21" s="13">
        <f t="shared" si="3"/>
        <v>6.3360000000000003</v>
      </c>
      <c r="F21" s="13">
        <f t="shared" si="1"/>
        <v>7.2863999999999995</v>
      </c>
    </row>
    <row r="22" spans="1:6">
      <c r="A22" s="18" t="s">
        <v>43</v>
      </c>
      <c r="B22" s="13">
        <v>5.76</v>
      </c>
      <c r="C22" s="14">
        <v>200000000</v>
      </c>
      <c r="D22" s="22">
        <f t="shared" si="2"/>
        <v>1152000000</v>
      </c>
      <c r="E22" s="13">
        <f t="shared" si="3"/>
        <v>6.3360000000000003</v>
      </c>
      <c r="F22" s="13">
        <f t="shared" si="1"/>
        <v>7.2863999999999995</v>
      </c>
    </row>
    <row r="23" spans="1:6">
      <c r="A23" s="18" t="s">
        <v>44</v>
      </c>
      <c r="B23" s="13">
        <v>5.76</v>
      </c>
      <c r="C23" s="14">
        <v>200000000</v>
      </c>
      <c r="D23" s="22">
        <f t="shared" si="2"/>
        <v>1152000000</v>
      </c>
      <c r="E23" s="13">
        <f t="shared" si="3"/>
        <v>6.3360000000000003</v>
      </c>
      <c r="F23" s="13">
        <f t="shared" si="1"/>
        <v>7.2863999999999995</v>
      </c>
    </row>
    <row r="24" spans="1:6">
      <c r="A24" s="18" t="s">
        <v>45</v>
      </c>
      <c r="B24" s="13">
        <v>5.76</v>
      </c>
      <c r="C24" s="14">
        <v>200000000</v>
      </c>
      <c r="D24" s="22">
        <f t="shared" si="2"/>
        <v>1152000000</v>
      </c>
      <c r="E24" s="13">
        <f t="shared" si="3"/>
        <v>6.3360000000000003</v>
      </c>
      <c r="F24" s="13">
        <f t="shared" si="1"/>
        <v>7.2863999999999995</v>
      </c>
    </row>
    <row r="25" spans="1:6">
      <c r="A25" s="18" t="s">
        <v>46</v>
      </c>
      <c r="B25" s="13">
        <v>5.76</v>
      </c>
      <c r="C25" s="14">
        <v>200000000</v>
      </c>
      <c r="D25" s="22">
        <f t="shared" si="2"/>
        <v>1152000000</v>
      </c>
      <c r="E25" s="13">
        <f t="shared" si="3"/>
        <v>6.3360000000000003</v>
      </c>
      <c r="F25" s="13">
        <f t="shared" si="1"/>
        <v>7.2863999999999995</v>
      </c>
    </row>
    <row r="26" spans="1:6">
      <c r="A26" s="18" t="s">
        <v>47</v>
      </c>
      <c r="B26" s="13">
        <v>5.76</v>
      </c>
      <c r="C26" s="14">
        <v>200000000</v>
      </c>
      <c r="D26" s="22">
        <f t="shared" si="2"/>
        <v>1152000000</v>
      </c>
      <c r="E26" s="13">
        <f t="shared" si="3"/>
        <v>6.3360000000000003</v>
      </c>
      <c r="F26" s="13">
        <f t="shared" si="1"/>
        <v>7.2863999999999995</v>
      </c>
    </row>
    <row r="27" spans="1:6">
      <c r="A27" s="18" t="s">
        <v>48</v>
      </c>
      <c r="B27" s="13">
        <v>5.76</v>
      </c>
      <c r="C27" s="14">
        <v>200000000</v>
      </c>
      <c r="D27" s="22">
        <f t="shared" si="2"/>
        <v>1152000000</v>
      </c>
      <c r="E27" s="13">
        <f t="shared" si="3"/>
        <v>6.3360000000000003</v>
      </c>
      <c r="F27" s="13">
        <f t="shared" si="1"/>
        <v>7.2863999999999995</v>
      </c>
    </row>
    <row r="28" spans="1:6">
      <c r="A28" s="18" t="s">
        <v>49</v>
      </c>
      <c r="B28" s="13">
        <v>5.76</v>
      </c>
      <c r="C28" s="14">
        <v>200000000</v>
      </c>
      <c r="D28" s="22">
        <f t="shared" si="2"/>
        <v>1152000000</v>
      </c>
      <c r="E28" s="13">
        <f t="shared" si="3"/>
        <v>6.3360000000000003</v>
      </c>
      <c r="F28" s="13">
        <f t="shared" si="1"/>
        <v>7.2863999999999995</v>
      </c>
    </row>
    <row r="29" spans="1:6">
      <c r="A29" s="18" t="s">
        <v>50</v>
      </c>
      <c r="B29" s="13">
        <v>5.76</v>
      </c>
      <c r="C29" s="14">
        <v>200000000</v>
      </c>
      <c r="D29" s="22">
        <f t="shared" si="2"/>
        <v>1152000000</v>
      </c>
      <c r="E29" s="13">
        <f t="shared" si="3"/>
        <v>6.3360000000000003</v>
      </c>
      <c r="F29" s="13">
        <f t="shared" si="1"/>
        <v>7.2863999999999995</v>
      </c>
    </row>
    <row r="30" spans="1:6">
      <c r="A30" s="18" t="s">
        <v>51</v>
      </c>
      <c r="B30" s="13">
        <v>1</v>
      </c>
      <c r="C30" s="14">
        <v>200000000</v>
      </c>
      <c r="D30" s="22">
        <f t="shared" si="2"/>
        <v>200000000</v>
      </c>
      <c r="E30" s="13">
        <f t="shared" si="3"/>
        <v>1.1000000000000001</v>
      </c>
      <c r="F30" s="13">
        <f t="shared" si="1"/>
        <v>1.2649999999999999</v>
      </c>
    </row>
    <row r="31" spans="1:6">
      <c r="A31" s="18" t="s">
        <v>52</v>
      </c>
      <c r="B31" s="13">
        <v>5.76</v>
      </c>
      <c r="C31" s="14">
        <v>200000000</v>
      </c>
      <c r="D31" s="22">
        <f t="shared" si="2"/>
        <v>1152000000</v>
      </c>
      <c r="E31" s="13">
        <f t="shared" si="3"/>
        <v>6.3360000000000003</v>
      </c>
      <c r="F31" s="13">
        <f t="shared" si="1"/>
        <v>7.2863999999999995</v>
      </c>
    </row>
    <row r="32" spans="1:6">
      <c r="A32" s="18" t="s">
        <v>53</v>
      </c>
      <c r="B32" s="13">
        <v>5.76</v>
      </c>
      <c r="C32" s="14">
        <v>200000000</v>
      </c>
      <c r="D32" s="22">
        <f t="shared" si="2"/>
        <v>1152000000</v>
      </c>
      <c r="E32" s="13">
        <f t="shared" si="3"/>
        <v>6.3360000000000003</v>
      </c>
      <c r="F32" s="13">
        <f t="shared" si="1"/>
        <v>7.2863999999999995</v>
      </c>
    </row>
    <row r="33" spans="1:7">
      <c r="A33" s="18" t="s">
        <v>54</v>
      </c>
      <c r="B33" s="13">
        <v>5.76</v>
      </c>
      <c r="C33" s="14">
        <v>200000000</v>
      </c>
      <c r="D33" s="22">
        <f t="shared" si="2"/>
        <v>1152000000</v>
      </c>
      <c r="E33" s="13">
        <f t="shared" si="3"/>
        <v>6.3360000000000003</v>
      </c>
      <c r="F33" s="13">
        <f t="shared" si="1"/>
        <v>7.2863999999999995</v>
      </c>
    </row>
    <row r="34" spans="1:7">
      <c r="A34" s="18" t="s">
        <v>55</v>
      </c>
      <c r="B34" s="13">
        <v>5.76</v>
      </c>
      <c r="C34" s="14">
        <v>200000000</v>
      </c>
      <c r="D34" s="22">
        <f t="shared" si="2"/>
        <v>1152000000</v>
      </c>
      <c r="E34" s="13">
        <f t="shared" si="3"/>
        <v>6.3360000000000003</v>
      </c>
      <c r="F34" s="13">
        <f t="shared" si="1"/>
        <v>7.2863999999999995</v>
      </c>
    </row>
    <row r="35" spans="1:7">
      <c r="A35" s="18" t="s">
        <v>56</v>
      </c>
      <c r="B35" s="13">
        <v>3</v>
      </c>
      <c r="C35" s="14">
        <v>200000000</v>
      </c>
      <c r="D35" s="22">
        <f t="shared" si="2"/>
        <v>600000000</v>
      </c>
      <c r="E35" s="13">
        <f t="shared" si="3"/>
        <v>3.3000000000000003</v>
      </c>
      <c r="F35" s="13">
        <f t="shared" si="1"/>
        <v>3.7949999999999999</v>
      </c>
    </row>
    <row r="36" spans="1:7">
      <c r="A36" s="18" t="s">
        <v>57</v>
      </c>
      <c r="B36" s="13">
        <v>4</v>
      </c>
      <c r="C36" s="14">
        <v>200000000</v>
      </c>
      <c r="D36" s="22">
        <f t="shared" si="2"/>
        <v>800000000</v>
      </c>
      <c r="E36" s="13">
        <f t="shared" si="3"/>
        <v>4.4000000000000004</v>
      </c>
      <c r="F36" s="13">
        <f>E36*1.15</f>
        <v>5.0599999999999996</v>
      </c>
    </row>
    <row r="37" spans="1:7" ht="15.75" thickBot="1">
      <c r="A37" s="23" t="s">
        <v>58</v>
      </c>
      <c r="B37" s="24"/>
      <c r="C37" s="25"/>
      <c r="D37" s="26"/>
      <c r="E37" s="29"/>
      <c r="F37" s="29"/>
    </row>
    <row r="38" spans="1:7" ht="15.75" thickBot="1">
      <c r="B38" s="19">
        <f>SUM(B5:B37)</f>
        <v>170.99999999999997</v>
      </c>
      <c r="C38" s="20"/>
      <c r="D38" s="89">
        <f>SUM(D5:D37)</f>
        <v>34200000000</v>
      </c>
      <c r="E38" s="15">
        <f>SUM(E5:E37)</f>
        <v>188.10000000000011</v>
      </c>
      <c r="F38" s="15">
        <f>SUM(F5:F36)</f>
        <v>216.31499999999983</v>
      </c>
    </row>
    <row r="39" spans="1:7">
      <c r="A39" s="1"/>
      <c r="B39" s="111"/>
      <c r="C39" s="112"/>
      <c r="D39" s="95" t="s">
        <v>3</v>
      </c>
      <c r="E39" s="22">
        <v>12700000</v>
      </c>
      <c r="F39" s="22">
        <v>1350000</v>
      </c>
    </row>
    <row r="40" spans="1:7" ht="15.75" thickBot="1">
      <c r="A40" s="1"/>
      <c r="B40" s="95"/>
      <c r="C40" s="1"/>
      <c r="D40" s="1"/>
      <c r="E40" s="88">
        <f>E38*12700000</f>
        <v>2388870000.0000014</v>
      </c>
      <c r="F40" s="88">
        <f>F38*1350000</f>
        <v>292025249.99999976</v>
      </c>
    </row>
    <row r="41" spans="1:7">
      <c r="A41" s="97" t="s">
        <v>114</v>
      </c>
      <c r="B41" s="98"/>
      <c r="C41" s="99"/>
      <c r="D41" s="99"/>
      <c r="E41" s="98"/>
      <c r="F41" s="98"/>
    </row>
    <row r="42" spans="1:7">
      <c r="A42" s="1" t="s">
        <v>81</v>
      </c>
      <c r="B42" s="100">
        <v>12700000</v>
      </c>
      <c r="C42" s="1"/>
      <c r="D42" s="1"/>
      <c r="E42" s="101"/>
      <c r="F42" s="102"/>
    </row>
    <row r="43" spans="1:7">
      <c r="A43" s="1" t="s">
        <v>82</v>
      </c>
      <c r="B43" s="100">
        <v>4200000</v>
      </c>
      <c r="C43" s="1"/>
      <c r="D43" s="1"/>
      <c r="E43" s="103"/>
      <c r="F43" s="96"/>
      <c r="G43" s="96"/>
    </row>
    <row r="44" spans="1:7">
      <c r="A44" s="1" t="s">
        <v>83</v>
      </c>
      <c r="B44" s="100">
        <v>4200000</v>
      </c>
      <c r="C44" s="1"/>
      <c r="D44" s="1"/>
      <c r="E44" s="103"/>
      <c r="F44" s="82"/>
      <c r="G44" s="96"/>
    </row>
    <row r="45" spans="1:7">
      <c r="A45" s="1" t="s">
        <v>84</v>
      </c>
      <c r="B45" s="100">
        <v>4300000</v>
      </c>
      <c r="C45" s="1"/>
      <c r="D45" s="1"/>
      <c r="E45" s="103"/>
      <c r="F45" s="82"/>
      <c r="G45" s="96"/>
    </row>
    <row r="46" spans="1:7">
      <c r="A46" s="1"/>
      <c r="B46" s="1"/>
      <c r="C46" s="1"/>
      <c r="D46" s="1"/>
      <c r="E46" s="103"/>
      <c r="F46" s="82"/>
      <c r="G46" s="96"/>
    </row>
    <row r="47" spans="1:7">
      <c r="A47" s="83" t="s">
        <v>85</v>
      </c>
      <c r="B47" s="83">
        <f>E38/3</f>
        <v>62.700000000000038</v>
      </c>
      <c r="C47" s="1"/>
      <c r="D47" s="1"/>
      <c r="E47" s="103"/>
      <c r="F47" s="82"/>
      <c r="G47" s="96"/>
    </row>
    <row r="48" spans="1:7">
      <c r="A48" s="83" t="s">
        <v>119</v>
      </c>
      <c r="B48" s="83">
        <f>B47*3</f>
        <v>188.10000000000011</v>
      </c>
      <c r="C48" s="1"/>
      <c r="D48" s="1"/>
      <c r="E48" s="96"/>
      <c r="F48" s="104"/>
      <c r="G48" s="96"/>
    </row>
    <row r="49" spans="1:7">
      <c r="A49" s="1"/>
      <c r="B49" s="1"/>
      <c r="C49" s="1"/>
      <c r="D49" s="1"/>
      <c r="E49" s="96"/>
      <c r="F49" s="96"/>
      <c r="G49" s="96"/>
    </row>
    <row r="50" spans="1:7">
      <c r="A50" s="97" t="s">
        <v>117</v>
      </c>
      <c r="B50" s="1"/>
      <c r="C50" s="1"/>
      <c r="D50" s="1"/>
      <c r="E50" s="96"/>
      <c r="F50" s="96"/>
      <c r="G50" s="96"/>
    </row>
    <row r="51" spans="1:7">
      <c r="A51" s="1" t="s">
        <v>119</v>
      </c>
      <c r="B51" s="83">
        <f>F38/5</f>
        <v>43.262999999999963</v>
      </c>
      <c r="C51" s="1"/>
      <c r="D51" s="1"/>
      <c r="E51" s="96"/>
      <c r="F51" s="105"/>
      <c r="G51" s="96"/>
    </row>
    <row r="52" spans="1:7">
      <c r="A52" s="1" t="s">
        <v>118</v>
      </c>
      <c r="B52" s="100">
        <f>1350000*5</f>
        <v>6750000</v>
      </c>
      <c r="C52" s="1"/>
      <c r="D52" s="1"/>
      <c r="E52" s="96"/>
      <c r="F52" s="96"/>
      <c r="G52" s="96"/>
    </row>
    <row r="53" spans="1:7">
      <c r="A53" s="1"/>
      <c r="B53" s="1"/>
      <c r="C53" s="1"/>
      <c r="D53" s="1"/>
      <c r="E53" s="96"/>
      <c r="F53" s="96"/>
      <c r="G53" s="96"/>
    </row>
    <row r="54" spans="1:7">
      <c r="A54" s="1"/>
      <c r="B54" s="1"/>
      <c r="C54" s="1"/>
      <c r="D54" s="1"/>
      <c r="E54" s="96"/>
      <c r="F54" s="96"/>
      <c r="G54" s="96"/>
    </row>
    <row r="55" spans="1:7">
      <c r="A55" s="1"/>
      <c r="B55" s="1"/>
      <c r="C55" s="1"/>
      <c r="D55" s="1"/>
      <c r="E55" s="96"/>
      <c r="F55" s="96"/>
      <c r="G55" s="96"/>
    </row>
    <row r="56" spans="1:7">
      <c r="A56" s="1"/>
      <c r="B56" s="1"/>
      <c r="C56" s="1"/>
      <c r="D56" s="1"/>
      <c r="E56" s="96"/>
      <c r="F56" s="96"/>
      <c r="G56" s="96"/>
    </row>
    <row r="57" spans="1:7">
      <c r="A57" s="1"/>
      <c r="B57" s="1"/>
      <c r="C57" s="1"/>
      <c r="D57" s="1"/>
      <c r="E57" s="96"/>
      <c r="F57" s="96"/>
      <c r="G57" s="96"/>
    </row>
    <row r="58" spans="1:7">
      <c r="A58" s="1"/>
      <c r="B58" s="1"/>
      <c r="C58" s="1"/>
      <c r="D58" s="1"/>
      <c r="E58" s="96"/>
      <c r="F58" s="96"/>
      <c r="G58" s="96"/>
    </row>
    <row r="59" spans="1:7">
      <c r="A59" s="1"/>
      <c r="B59" s="1"/>
      <c r="C59" s="1"/>
      <c r="D59" s="1"/>
      <c r="E59" s="96"/>
      <c r="F59" s="96"/>
      <c r="G59" s="96"/>
    </row>
    <row r="60" spans="1:7">
      <c r="A60" s="1"/>
      <c r="B60" s="1"/>
      <c r="C60" s="1"/>
      <c r="D60" s="1"/>
      <c r="E60" s="96"/>
      <c r="F60" s="96"/>
      <c r="G60" s="96"/>
    </row>
    <row r="61" spans="1:7">
      <c r="A61" s="1"/>
      <c r="B61" s="1"/>
      <c r="C61" s="1"/>
      <c r="D61" s="1"/>
      <c r="E61" s="96"/>
      <c r="F61" s="96"/>
      <c r="G61" s="96"/>
    </row>
    <row r="62" spans="1:7">
      <c r="A62" s="1"/>
      <c r="B62" s="1"/>
      <c r="C62" s="1"/>
      <c r="D62" s="1"/>
      <c r="E62" s="96"/>
      <c r="F62" s="96"/>
      <c r="G62" s="96"/>
    </row>
    <row r="63" spans="1:7">
      <c r="A63" s="1"/>
      <c r="B63" s="1"/>
      <c r="C63" s="1"/>
      <c r="D63" s="1"/>
      <c r="E63" s="96"/>
      <c r="F63" s="96"/>
      <c r="G63" s="96"/>
    </row>
    <row r="64" spans="1:7">
      <c r="A64" s="1"/>
      <c r="B64" s="1"/>
      <c r="C64" s="1"/>
      <c r="D64" s="1"/>
      <c r="E64" s="96"/>
      <c r="F64" s="96"/>
      <c r="G64" s="96"/>
    </row>
    <row r="65" spans="1:7">
      <c r="A65" s="1"/>
      <c r="B65" s="1"/>
      <c r="C65" s="1"/>
      <c r="D65" s="1"/>
      <c r="E65" s="96"/>
      <c r="F65" s="96"/>
      <c r="G65" s="96"/>
    </row>
    <row r="66" spans="1:7">
      <c r="A66" s="1"/>
      <c r="B66" s="1"/>
      <c r="C66" s="1"/>
      <c r="D66" s="1"/>
      <c r="E66" s="96"/>
      <c r="F66" s="96"/>
      <c r="G66" s="96"/>
    </row>
    <row r="67" spans="1:7">
      <c r="A67" s="1"/>
      <c r="B67" s="1"/>
      <c r="C67" s="1"/>
      <c r="D67" s="1"/>
      <c r="E67" s="96"/>
      <c r="F67" s="96"/>
      <c r="G67" s="96"/>
    </row>
    <row r="68" spans="1:7">
      <c r="A68" s="1"/>
      <c r="B68" s="1"/>
      <c r="C68" s="1"/>
      <c r="D68" s="1"/>
      <c r="E68" s="96"/>
      <c r="F68" s="96"/>
      <c r="G68" s="96"/>
    </row>
    <row r="69" spans="1:7">
      <c r="A69" s="1"/>
      <c r="B69" s="1"/>
      <c r="C69" s="1"/>
      <c r="D69" s="1"/>
      <c r="E69" s="96"/>
      <c r="F69" s="96"/>
      <c r="G69" s="96"/>
    </row>
    <row r="70" spans="1:7">
      <c r="A70" s="1"/>
      <c r="B70" s="1"/>
      <c r="C70" s="1"/>
      <c r="D70" s="1"/>
      <c r="E70" s="96"/>
      <c r="F70" s="96"/>
      <c r="G70" s="96"/>
    </row>
    <row r="71" spans="1:7">
      <c r="A71" s="1"/>
      <c r="B71" s="1"/>
      <c r="C71" s="1"/>
      <c r="D71" s="1"/>
      <c r="E71" s="96"/>
      <c r="F71" s="96"/>
      <c r="G71" s="96"/>
    </row>
    <row r="72" spans="1:7">
      <c r="A72" s="1"/>
      <c r="B72" s="1"/>
      <c r="C72" s="1"/>
      <c r="D72" s="1"/>
      <c r="E72" s="96"/>
      <c r="F72" s="96"/>
      <c r="G72" s="96"/>
    </row>
    <row r="73" spans="1:7">
      <c r="A73" s="1"/>
      <c r="B73" s="1"/>
      <c r="C73" s="1"/>
      <c r="D73" s="1"/>
      <c r="E73" s="96"/>
      <c r="F73" s="96"/>
      <c r="G73" s="96"/>
    </row>
    <row r="74" spans="1:7">
      <c r="A74" s="1"/>
      <c r="B74" s="1"/>
      <c r="C74" s="1"/>
      <c r="D74" s="1"/>
      <c r="E74" s="96"/>
      <c r="F74" s="96"/>
      <c r="G74" s="96"/>
    </row>
    <row r="75" spans="1:7">
      <c r="A75" s="1"/>
      <c r="B75" s="1"/>
      <c r="C75" s="1"/>
      <c r="D75" s="1"/>
      <c r="E75" s="96"/>
      <c r="F75" s="96"/>
      <c r="G75" s="96"/>
    </row>
    <row r="76" spans="1:7">
      <c r="A76" s="1"/>
      <c r="B76" s="1"/>
      <c r="C76" s="1"/>
      <c r="D76" s="1"/>
      <c r="E76" s="96"/>
      <c r="F76" s="96"/>
      <c r="G76" s="96"/>
    </row>
    <row r="77" spans="1:7">
      <c r="A77" s="1"/>
      <c r="B77" s="1"/>
      <c r="C77" s="1"/>
      <c r="D77" s="1"/>
      <c r="E77" s="96"/>
      <c r="F77" s="96"/>
      <c r="G77" s="96"/>
    </row>
    <row r="78" spans="1:7">
      <c r="A78" s="1"/>
      <c r="B78" s="1"/>
      <c r="C78" s="1"/>
      <c r="D78" s="1"/>
      <c r="E78" s="96"/>
      <c r="F78" s="96"/>
      <c r="G78" s="96"/>
    </row>
    <row r="79" spans="1:7">
      <c r="A79" s="1"/>
      <c r="B79" s="1"/>
      <c r="C79" s="1"/>
      <c r="D79" s="1"/>
      <c r="E79" s="96"/>
      <c r="F79" s="96"/>
      <c r="G79" s="96"/>
    </row>
    <row r="80" spans="1:7">
      <c r="A80" s="1"/>
      <c r="B80" s="1"/>
      <c r="C80" s="1"/>
      <c r="D80" s="1"/>
      <c r="E80" s="96"/>
      <c r="F80" s="96"/>
      <c r="G80" s="96"/>
    </row>
    <row r="81" spans="1:7">
      <c r="A81" s="1"/>
      <c r="B81" s="1"/>
      <c r="C81" s="1"/>
      <c r="D81" s="1"/>
      <c r="E81" s="96"/>
      <c r="F81" s="96"/>
      <c r="G81" s="96"/>
    </row>
    <row r="82" spans="1:7">
      <c r="A82" s="1"/>
      <c r="B82" s="1"/>
      <c r="C82" s="1"/>
      <c r="D82" s="1"/>
      <c r="E82" s="96"/>
      <c r="F82" s="96"/>
      <c r="G82" s="96"/>
    </row>
    <row r="83" spans="1:7">
      <c r="A83" s="1"/>
      <c r="B83" s="1"/>
      <c r="C83" s="1"/>
      <c r="D83" s="1"/>
      <c r="E83" s="96"/>
      <c r="F83" s="96"/>
      <c r="G83" s="96"/>
    </row>
    <row r="84" spans="1:7">
      <c r="A84" s="1"/>
      <c r="B84" s="1"/>
      <c r="C84" s="1"/>
      <c r="D84" s="1"/>
      <c r="E84" s="96"/>
      <c r="F84" s="96"/>
      <c r="G84" s="96"/>
    </row>
    <row r="85" spans="1:7">
      <c r="A85" s="1"/>
      <c r="B85" s="1"/>
      <c r="C85" s="1"/>
      <c r="D85" s="1"/>
      <c r="E85" s="96"/>
      <c r="F85" s="96"/>
      <c r="G85" s="96"/>
    </row>
    <row r="86" spans="1:7">
      <c r="A86" s="1"/>
      <c r="B86" s="1"/>
      <c r="C86" s="1"/>
      <c r="D86" s="1"/>
      <c r="E86" s="96"/>
      <c r="F86" s="96"/>
      <c r="G86" s="96"/>
    </row>
    <row r="87" spans="1:7">
      <c r="A87" s="1"/>
      <c r="B87" s="1"/>
      <c r="C87" s="1"/>
      <c r="D87" s="1"/>
      <c r="E87" s="96"/>
      <c r="F87" s="96"/>
      <c r="G87" s="96"/>
    </row>
    <row r="88" spans="1:7">
      <c r="A88" s="1"/>
      <c r="B88" s="1"/>
      <c r="C88" s="1"/>
      <c r="D88" s="1"/>
      <c r="E88" s="96"/>
      <c r="F88" s="96"/>
      <c r="G88" s="96"/>
    </row>
    <row r="89" spans="1:7">
      <c r="A89" s="1"/>
      <c r="B89" s="1"/>
      <c r="C89" s="1"/>
      <c r="D89" s="1"/>
      <c r="E89" s="96"/>
      <c r="F89" s="96"/>
      <c r="G89" s="96"/>
    </row>
    <row r="90" spans="1:7">
      <c r="A90" s="1"/>
      <c r="B90" s="1"/>
      <c r="C90" s="1"/>
      <c r="D90" s="1"/>
      <c r="E90" s="96"/>
      <c r="F90" s="96"/>
      <c r="G90" s="96"/>
    </row>
    <row r="91" spans="1:7">
      <c r="A91" s="1"/>
      <c r="B91" s="1"/>
      <c r="C91" s="1"/>
      <c r="D91" s="1"/>
      <c r="E91" s="96"/>
      <c r="F91" s="96"/>
      <c r="G91" s="96"/>
    </row>
    <row r="92" spans="1:7">
      <c r="A92" s="1"/>
      <c r="B92" s="1"/>
      <c r="C92" s="1"/>
      <c r="D92" s="1"/>
      <c r="E92" s="96"/>
      <c r="F92" s="96"/>
      <c r="G92" s="96"/>
    </row>
    <row r="93" spans="1:7">
      <c r="A93" s="1"/>
      <c r="B93" s="1"/>
      <c r="C93" s="1"/>
      <c r="D93" s="1"/>
      <c r="E93" s="96"/>
      <c r="F93" s="96"/>
      <c r="G93" s="96"/>
    </row>
    <row r="94" spans="1:7">
      <c r="A94" s="1"/>
      <c r="B94" s="1"/>
      <c r="C94" s="1"/>
      <c r="D94" s="1"/>
      <c r="E94" s="96"/>
      <c r="F94" s="96"/>
      <c r="G94" s="96"/>
    </row>
    <row r="95" spans="1:7">
      <c r="A95" s="1"/>
      <c r="B95" s="1"/>
      <c r="C95" s="1"/>
      <c r="D95" s="1"/>
      <c r="E95" s="96"/>
      <c r="F95" s="96"/>
      <c r="G95" s="96"/>
    </row>
    <row r="96" spans="1:7">
      <c r="A96" s="1"/>
      <c r="B96" s="1"/>
      <c r="C96" s="1"/>
      <c r="D96" s="1"/>
      <c r="E96" s="96"/>
      <c r="F96" s="96"/>
      <c r="G96" s="96"/>
    </row>
    <row r="97" spans="1:7">
      <c r="A97" s="1"/>
      <c r="B97" s="1"/>
      <c r="C97" s="1"/>
      <c r="D97" s="1"/>
      <c r="E97" s="96"/>
      <c r="F97" s="96"/>
      <c r="G97" s="96"/>
    </row>
    <row r="98" spans="1:7">
      <c r="E98" s="96"/>
      <c r="F98" s="96"/>
      <c r="G98" s="96"/>
    </row>
    <row r="99" spans="1:7">
      <c r="E99" s="96"/>
      <c r="F99" s="96"/>
      <c r="G99" s="96"/>
    </row>
    <row r="100" spans="1:7">
      <c r="E100" s="96"/>
      <c r="F100" s="96"/>
      <c r="G100" s="96"/>
    </row>
    <row r="101" spans="1:7">
      <c r="E101" s="96"/>
      <c r="F101" s="96"/>
      <c r="G101" s="96"/>
    </row>
  </sheetData>
  <mergeCells count="1">
    <mergeCell ref="B2:F2"/>
  </mergeCells>
  <pageMargins left="0.70866141732283472" right="0.70866141732283472" top="0.74803149606299213" bottom="0.74803149606299213" header="0.31496062992125984" footer="0.31496062992125984"/>
  <pageSetup scale="7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1"/>
  <sheetViews>
    <sheetView topLeftCell="A11" workbookViewId="0">
      <selection activeCell="B33" sqref="B33"/>
    </sheetView>
  </sheetViews>
  <sheetFormatPr defaultColWidth="11.42578125" defaultRowHeight="15"/>
  <cols>
    <col min="1" max="1" width="26.42578125" customWidth="1"/>
    <col min="2" max="2" width="15.140625" bestFit="1" customWidth="1"/>
    <col min="3" max="3" width="19.85546875" customWidth="1"/>
    <col min="4" max="4" width="25" customWidth="1"/>
    <col min="5" max="5" width="20.140625" customWidth="1"/>
    <col min="6" max="6" width="20.85546875" customWidth="1"/>
  </cols>
  <sheetData>
    <row r="1" spans="1:6" ht="45.75" thickBot="1">
      <c r="A1" s="16" t="s">
        <v>22</v>
      </c>
      <c r="B1" s="11" t="s">
        <v>23</v>
      </c>
      <c r="C1" s="12" t="s">
        <v>11</v>
      </c>
      <c r="D1" s="28" t="s">
        <v>21</v>
      </c>
      <c r="E1" s="11" t="s">
        <v>24</v>
      </c>
      <c r="F1" s="11" t="s">
        <v>25</v>
      </c>
    </row>
    <row r="2" spans="1:6">
      <c r="A2" s="17" t="s">
        <v>26</v>
      </c>
      <c r="B2" s="13">
        <v>3</v>
      </c>
      <c r="C2" s="14">
        <v>200000000</v>
      </c>
      <c r="D2" s="27">
        <f>B2*C2</f>
        <v>600000000</v>
      </c>
      <c r="E2" s="13">
        <f>B2*1.1</f>
        <v>3.3000000000000003</v>
      </c>
      <c r="F2" s="13">
        <f>E2*1.15</f>
        <v>3.7949999999999999</v>
      </c>
    </row>
    <row r="3" spans="1:6">
      <c r="A3" s="18" t="s">
        <v>27</v>
      </c>
      <c r="B3" s="13">
        <v>5</v>
      </c>
      <c r="C3" s="14">
        <v>200000000</v>
      </c>
      <c r="D3" s="22">
        <f t="shared" ref="D3:D33" si="0">B3*C3</f>
        <v>1000000000</v>
      </c>
      <c r="E3" s="13">
        <f t="shared" ref="E3:E33" si="1">B3*1.1</f>
        <v>5.5</v>
      </c>
      <c r="F3" s="13">
        <f t="shared" ref="F3:F33" si="2">E3*1.15</f>
        <v>6.3249999999999993</v>
      </c>
    </row>
    <row r="4" spans="1:6">
      <c r="A4" s="18" t="s">
        <v>28</v>
      </c>
      <c r="B4" s="13">
        <v>7</v>
      </c>
      <c r="C4" s="14">
        <v>200000000</v>
      </c>
      <c r="D4" s="22">
        <f t="shared" si="0"/>
        <v>1400000000</v>
      </c>
      <c r="E4" s="13">
        <f t="shared" si="1"/>
        <v>7.7000000000000011</v>
      </c>
      <c r="F4" s="13">
        <f t="shared" si="2"/>
        <v>8.8550000000000004</v>
      </c>
    </row>
    <row r="5" spans="1:6">
      <c r="A5" s="18" t="s">
        <v>29</v>
      </c>
      <c r="B5" s="13">
        <v>5</v>
      </c>
      <c r="C5" s="14">
        <v>200000000</v>
      </c>
      <c r="D5" s="22">
        <f t="shared" si="0"/>
        <v>1000000000</v>
      </c>
      <c r="E5" s="13">
        <f t="shared" si="1"/>
        <v>5.5</v>
      </c>
      <c r="F5" s="13">
        <f t="shared" si="2"/>
        <v>6.3249999999999993</v>
      </c>
    </row>
    <row r="6" spans="1:6">
      <c r="A6" s="18" t="s">
        <v>30</v>
      </c>
      <c r="B6" s="13">
        <v>5</v>
      </c>
      <c r="C6" s="14">
        <v>200000000</v>
      </c>
      <c r="D6" s="22">
        <f t="shared" si="0"/>
        <v>1000000000</v>
      </c>
      <c r="E6" s="13">
        <f t="shared" si="1"/>
        <v>5.5</v>
      </c>
      <c r="F6" s="13">
        <f t="shared" si="2"/>
        <v>6.3249999999999993</v>
      </c>
    </row>
    <row r="7" spans="1:6">
      <c r="A7" s="18" t="s">
        <v>31</v>
      </c>
      <c r="B7" s="13">
        <v>5</v>
      </c>
      <c r="C7" s="14">
        <v>200000000</v>
      </c>
      <c r="D7" s="22">
        <f t="shared" si="0"/>
        <v>1000000000</v>
      </c>
      <c r="E7" s="13">
        <f t="shared" si="1"/>
        <v>5.5</v>
      </c>
      <c r="F7" s="13">
        <f t="shared" si="2"/>
        <v>6.3249999999999993</v>
      </c>
    </row>
    <row r="8" spans="1:6">
      <c r="A8" s="18" t="s">
        <v>32</v>
      </c>
      <c r="B8" s="13">
        <v>5</v>
      </c>
      <c r="C8" s="14">
        <v>200000000</v>
      </c>
      <c r="D8" s="22">
        <f t="shared" si="0"/>
        <v>1000000000</v>
      </c>
      <c r="E8" s="13">
        <f t="shared" si="1"/>
        <v>5.5</v>
      </c>
      <c r="F8" s="13">
        <f t="shared" si="2"/>
        <v>6.3249999999999993</v>
      </c>
    </row>
    <row r="9" spans="1:6">
      <c r="A9" s="18" t="s">
        <v>33</v>
      </c>
      <c r="B9" s="13">
        <v>5</v>
      </c>
      <c r="C9" s="14">
        <v>200000000</v>
      </c>
      <c r="D9" s="22">
        <f t="shared" si="0"/>
        <v>1000000000</v>
      </c>
      <c r="E9" s="13">
        <f t="shared" si="1"/>
        <v>5.5</v>
      </c>
      <c r="F9" s="13">
        <f t="shared" si="2"/>
        <v>6.3249999999999993</v>
      </c>
    </row>
    <row r="10" spans="1:6">
      <c r="A10" s="18" t="s">
        <v>34</v>
      </c>
      <c r="B10" s="13">
        <v>5</v>
      </c>
      <c r="C10" s="14">
        <v>200000000</v>
      </c>
      <c r="D10" s="22">
        <f t="shared" si="0"/>
        <v>1000000000</v>
      </c>
      <c r="E10" s="13">
        <f t="shared" si="1"/>
        <v>5.5</v>
      </c>
      <c r="F10" s="13">
        <f t="shared" si="2"/>
        <v>6.3249999999999993</v>
      </c>
    </row>
    <row r="11" spans="1:6">
      <c r="A11" s="18" t="s">
        <v>35</v>
      </c>
      <c r="B11" s="13">
        <v>5</v>
      </c>
      <c r="C11" s="14">
        <v>200000000</v>
      </c>
      <c r="D11" s="22">
        <f t="shared" si="0"/>
        <v>1000000000</v>
      </c>
      <c r="E11" s="13">
        <f t="shared" si="1"/>
        <v>5.5</v>
      </c>
      <c r="F11" s="13">
        <f t="shared" si="2"/>
        <v>6.3249999999999993</v>
      </c>
    </row>
    <row r="12" spans="1:6">
      <c r="A12" s="18" t="s">
        <v>36</v>
      </c>
      <c r="B12" s="13">
        <v>5</v>
      </c>
      <c r="C12" s="14">
        <v>200000000</v>
      </c>
      <c r="D12" s="22">
        <f t="shared" si="0"/>
        <v>1000000000</v>
      </c>
      <c r="E12" s="13">
        <f t="shared" si="1"/>
        <v>5.5</v>
      </c>
      <c r="F12" s="13">
        <f t="shared" si="2"/>
        <v>6.3249999999999993</v>
      </c>
    </row>
    <row r="13" spans="1:6">
      <c r="A13" s="18" t="s">
        <v>37</v>
      </c>
      <c r="B13" s="13">
        <v>5</v>
      </c>
      <c r="C13" s="14">
        <v>200000000</v>
      </c>
      <c r="D13" s="22">
        <f t="shared" si="0"/>
        <v>1000000000</v>
      </c>
      <c r="E13" s="13">
        <f t="shared" si="1"/>
        <v>5.5</v>
      </c>
      <c r="F13" s="13">
        <f t="shared" si="2"/>
        <v>6.3249999999999993</v>
      </c>
    </row>
    <row r="14" spans="1:6">
      <c r="A14" s="18" t="s">
        <v>38</v>
      </c>
      <c r="B14" s="13">
        <v>7</v>
      </c>
      <c r="C14" s="14">
        <v>200000000</v>
      </c>
      <c r="D14" s="22">
        <f t="shared" si="0"/>
        <v>1400000000</v>
      </c>
      <c r="E14" s="13">
        <f t="shared" si="1"/>
        <v>7.7000000000000011</v>
      </c>
      <c r="F14" s="13">
        <f t="shared" si="2"/>
        <v>8.8550000000000004</v>
      </c>
    </row>
    <row r="15" spans="1:6">
      <c r="A15" s="18" t="s">
        <v>39</v>
      </c>
      <c r="B15" s="13">
        <v>5</v>
      </c>
      <c r="C15" s="14">
        <v>200000000</v>
      </c>
      <c r="D15" s="22">
        <f t="shared" si="0"/>
        <v>1000000000</v>
      </c>
      <c r="E15" s="13">
        <f t="shared" si="1"/>
        <v>5.5</v>
      </c>
      <c r="F15" s="13">
        <f t="shared" si="2"/>
        <v>6.3249999999999993</v>
      </c>
    </row>
    <row r="16" spans="1:6">
      <c r="A16" s="18" t="s">
        <v>40</v>
      </c>
      <c r="B16" s="13">
        <v>3</v>
      </c>
      <c r="C16" s="14">
        <v>200000000</v>
      </c>
      <c r="D16" s="22">
        <f t="shared" si="0"/>
        <v>600000000</v>
      </c>
      <c r="E16" s="13">
        <f t="shared" si="1"/>
        <v>3.3000000000000003</v>
      </c>
      <c r="F16" s="13">
        <f t="shared" si="2"/>
        <v>3.7949999999999999</v>
      </c>
    </row>
    <row r="17" spans="1:6">
      <c r="A17" s="18" t="s">
        <v>41</v>
      </c>
      <c r="B17" s="13">
        <v>5</v>
      </c>
      <c r="C17" s="14">
        <v>200000000</v>
      </c>
      <c r="D17" s="22">
        <f t="shared" si="0"/>
        <v>1000000000</v>
      </c>
      <c r="E17" s="13">
        <f t="shared" si="1"/>
        <v>5.5</v>
      </c>
      <c r="F17" s="13">
        <f t="shared" si="2"/>
        <v>6.3249999999999993</v>
      </c>
    </row>
    <row r="18" spans="1:6">
      <c r="A18" s="18" t="s">
        <v>42</v>
      </c>
      <c r="B18" s="13">
        <v>5</v>
      </c>
      <c r="C18" s="14">
        <v>200000000</v>
      </c>
      <c r="D18" s="22">
        <f t="shared" si="0"/>
        <v>1000000000</v>
      </c>
      <c r="E18" s="13">
        <f t="shared" si="1"/>
        <v>5.5</v>
      </c>
      <c r="F18" s="13">
        <f t="shared" si="2"/>
        <v>6.3249999999999993</v>
      </c>
    </row>
    <row r="19" spans="1:6">
      <c r="A19" s="18" t="s">
        <v>43</v>
      </c>
      <c r="B19" s="13">
        <v>5</v>
      </c>
      <c r="C19" s="14">
        <v>200000000</v>
      </c>
      <c r="D19" s="22">
        <f t="shared" si="0"/>
        <v>1000000000</v>
      </c>
      <c r="E19" s="13">
        <f t="shared" si="1"/>
        <v>5.5</v>
      </c>
      <c r="F19" s="13">
        <f t="shared" si="2"/>
        <v>6.3249999999999993</v>
      </c>
    </row>
    <row r="20" spans="1:6">
      <c r="A20" s="18" t="s">
        <v>44</v>
      </c>
      <c r="B20" s="13">
        <v>5</v>
      </c>
      <c r="C20" s="14">
        <v>200000000</v>
      </c>
      <c r="D20" s="22">
        <f t="shared" si="0"/>
        <v>1000000000</v>
      </c>
      <c r="E20" s="13">
        <f t="shared" si="1"/>
        <v>5.5</v>
      </c>
      <c r="F20" s="13">
        <f t="shared" si="2"/>
        <v>6.3249999999999993</v>
      </c>
    </row>
    <row r="21" spans="1:6">
      <c r="A21" s="18" t="s">
        <v>45</v>
      </c>
      <c r="B21" s="13">
        <v>5</v>
      </c>
      <c r="C21" s="14">
        <v>200000000</v>
      </c>
      <c r="D21" s="22">
        <f t="shared" si="0"/>
        <v>1000000000</v>
      </c>
      <c r="E21" s="13">
        <f t="shared" si="1"/>
        <v>5.5</v>
      </c>
      <c r="F21" s="13">
        <f t="shared" si="2"/>
        <v>6.3249999999999993</v>
      </c>
    </row>
    <row r="22" spans="1:6">
      <c r="A22" s="18" t="s">
        <v>46</v>
      </c>
      <c r="B22" s="13">
        <v>5</v>
      </c>
      <c r="C22" s="14">
        <v>200000000</v>
      </c>
      <c r="D22" s="22">
        <f t="shared" si="0"/>
        <v>1000000000</v>
      </c>
      <c r="E22" s="13">
        <f t="shared" si="1"/>
        <v>5.5</v>
      </c>
      <c r="F22" s="13">
        <f t="shared" si="2"/>
        <v>6.3249999999999993</v>
      </c>
    </row>
    <row r="23" spans="1:6">
      <c r="A23" s="18" t="s">
        <v>47</v>
      </c>
      <c r="B23" s="13">
        <v>5</v>
      </c>
      <c r="C23" s="14">
        <v>200000000</v>
      </c>
      <c r="D23" s="22">
        <f t="shared" si="0"/>
        <v>1000000000</v>
      </c>
      <c r="E23" s="13">
        <f t="shared" si="1"/>
        <v>5.5</v>
      </c>
      <c r="F23" s="13">
        <f t="shared" si="2"/>
        <v>6.3249999999999993</v>
      </c>
    </row>
    <row r="24" spans="1:6">
      <c r="A24" s="18" t="s">
        <v>48</v>
      </c>
      <c r="B24" s="13">
        <v>5</v>
      </c>
      <c r="C24" s="14">
        <v>200000000</v>
      </c>
      <c r="D24" s="22">
        <f t="shared" si="0"/>
        <v>1000000000</v>
      </c>
      <c r="E24" s="13">
        <f t="shared" si="1"/>
        <v>5.5</v>
      </c>
      <c r="F24" s="13">
        <f t="shared" si="2"/>
        <v>6.3249999999999993</v>
      </c>
    </row>
    <row r="25" spans="1:6">
      <c r="A25" s="18" t="s">
        <v>49</v>
      </c>
      <c r="B25" s="13">
        <v>5</v>
      </c>
      <c r="C25" s="14">
        <v>200000000</v>
      </c>
      <c r="D25" s="22">
        <f t="shared" si="0"/>
        <v>1000000000</v>
      </c>
      <c r="E25" s="13">
        <f t="shared" si="1"/>
        <v>5.5</v>
      </c>
      <c r="F25" s="13">
        <f t="shared" si="2"/>
        <v>6.3249999999999993</v>
      </c>
    </row>
    <row r="26" spans="1:6">
      <c r="A26" s="18" t="s">
        <v>50</v>
      </c>
      <c r="B26" s="13">
        <v>5</v>
      </c>
      <c r="C26" s="14">
        <v>200000000</v>
      </c>
      <c r="D26" s="22">
        <f t="shared" si="0"/>
        <v>1000000000</v>
      </c>
      <c r="E26" s="13">
        <f t="shared" si="1"/>
        <v>5.5</v>
      </c>
      <c r="F26" s="13">
        <f t="shared" si="2"/>
        <v>6.3249999999999993</v>
      </c>
    </row>
    <row r="27" spans="1:6">
      <c r="A27" s="18" t="s">
        <v>51</v>
      </c>
      <c r="B27" s="13">
        <v>1</v>
      </c>
      <c r="C27" s="14">
        <v>200000000</v>
      </c>
      <c r="D27" s="22">
        <f t="shared" si="0"/>
        <v>200000000</v>
      </c>
      <c r="E27" s="13">
        <f t="shared" si="1"/>
        <v>1.1000000000000001</v>
      </c>
      <c r="F27" s="13">
        <f t="shared" si="2"/>
        <v>1.2649999999999999</v>
      </c>
    </row>
    <row r="28" spans="1:6">
      <c r="A28" s="18" t="s">
        <v>52</v>
      </c>
      <c r="B28" s="13">
        <v>5</v>
      </c>
      <c r="C28" s="14">
        <v>200000000</v>
      </c>
      <c r="D28" s="22">
        <f t="shared" si="0"/>
        <v>1000000000</v>
      </c>
      <c r="E28" s="13">
        <f t="shared" si="1"/>
        <v>5.5</v>
      </c>
      <c r="F28" s="13">
        <f t="shared" si="2"/>
        <v>6.3249999999999993</v>
      </c>
    </row>
    <row r="29" spans="1:6">
      <c r="A29" s="18" t="s">
        <v>53</v>
      </c>
      <c r="B29" s="13">
        <v>5</v>
      </c>
      <c r="C29" s="14">
        <v>200000000</v>
      </c>
      <c r="D29" s="22">
        <f t="shared" si="0"/>
        <v>1000000000</v>
      </c>
      <c r="E29" s="13">
        <f t="shared" si="1"/>
        <v>5.5</v>
      </c>
      <c r="F29" s="13">
        <f t="shared" si="2"/>
        <v>6.3249999999999993</v>
      </c>
    </row>
    <row r="30" spans="1:6">
      <c r="A30" s="18" t="s">
        <v>54</v>
      </c>
      <c r="B30" s="13">
        <v>5</v>
      </c>
      <c r="C30" s="14">
        <v>200000000</v>
      </c>
      <c r="D30" s="22">
        <f t="shared" si="0"/>
        <v>1000000000</v>
      </c>
      <c r="E30" s="13">
        <f t="shared" si="1"/>
        <v>5.5</v>
      </c>
      <c r="F30" s="13">
        <f t="shared" si="2"/>
        <v>6.3249999999999993</v>
      </c>
    </row>
    <row r="31" spans="1:6">
      <c r="A31" s="18" t="s">
        <v>55</v>
      </c>
      <c r="B31" s="13">
        <v>5</v>
      </c>
      <c r="C31" s="14">
        <v>200000000</v>
      </c>
      <c r="D31" s="22">
        <f t="shared" si="0"/>
        <v>1000000000</v>
      </c>
      <c r="E31" s="13">
        <f t="shared" si="1"/>
        <v>5.5</v>
      </c>
      <c r="F31" s="13">
        <f t="shared" si="2"/>
        <v>6.3249999999999993</v>
      </c>
    </row>
    <row r="32" spans="1:6">
      <c r="A32" s="18" t="s">
        <v>56</v>
      </c>
      <c r="B32" s="13">
        <v>2</v>
      </c>
      <c r="C32" s="14">
        <v>200000000</v>
      </c>
      <c r="D32" s="22">
        <f t="shared" si="0"/>
        <v>400000000</v>
      </c>
      <c r="E32" s="13">
        <f t="shared" si="1"/>
        <v>2.2000000000000002</v>
      </c>
      <c r="F32" s="13">
        <f t="shared" si="2"/>
        <v>2.5299999999999998</v>
      </c>
    </row>
    <row r="33" spans="1:6">
      <c r="A33" s="18" t="s">
        <v>57</v>
      </c>
      <c r="B33" s="13">
        <v>3</v>
      </c>
      <c r="C33" s="14">
        <v>200000000</v>
      </c>
      <c r="D33" s="22">
        <f t="shared" si="0"/>
        <v>600000000</v>
      </c>
      <c r="E33" s="13">
        <f t="shared" si="1"/>
        <v>3.3000000000000003</v>
      </c>
      <c r="F33" s="13">
        <f t="shared" si="2"/>
        <v>3.7949999999999999</v>
      </c>
    </row>
    <row r="34" spans="1:6" ht="15.75" thickBot="1">
      <c r="A34" s="23" t="s">
        <v>58</v>
      </c>
      <c r="B34" s="24"/>
      <c r="C34" s="25"/>
      <c r="D34" s="26"/>
      <c r="E34" s="29"/>
      <c r="F34" s="29"/>
    </row>
    <row r="35" spans="1:6" ht="15.75" thickBot="1">
      <c r="B35" s="19">
        <f>SUM(B2:B34)</f>
        <v>151</v>
      </c>
      <c r="C35" s="20"/>
      <c r="D35" s="21">
        <f>SUM(D2:D34)</f>
        <v>30200000000</v>
      </c>
      <c r="E35" s="15">
        <f>SUM(E2:E34)</f>
        <v>166.1</v>
      </c>
      <c r="F35" s="15">
        <f>SUM(F2:F33)</f>
        <v>191.01499999999993</v>
      </c>
    </row>
    <row r="38" spans="1:6">
      <c r="B38" s="48"/>
    </row>
    <row r="41" spans="1:6">
      <c r="B41" s="4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X44"/>
  <sheetViews>
    <sheetView workbookViewId="0">
      <selection activeCell="C12" sqref="C12"/>
    </sheetView>
  </sheetViews>
  <sheetFormatPr defaultColWidth="11.42578125" defaultRowHeight="15"/>
  <cols>
    <col min="1" max="1" width="32" customWidth="1"/>
    <col min="2" max="2" width="17.42578125" bestFit="1" customWidth="1"/>
    <col min="4" max="4" width="18.42578125" bestFit="1" customWidth="1"/>
    <col min="5" max="6" width="16.7109375" bestFit="1" customWidth="1"/>
    <col min="7" max="7" width="15.7109375" customWidth="1"/>
    <col min="8" max="9" width="16.7109375" bestFit="1" customWidth="1"/>
    <col min="10" max="50" width="11.42578125" style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18.75">
      <c r="A2" s="147" t="s">
        <v>112</v>
      </c>
      <c r="B2" s="147"/>
      <c r="C2" s="147"/>
      <c r="D2" s="147"/>
      <c r="E2" s="147"/>
      <c r="F2" s="147"/>
      <c r="G2" s="147"/>
      <c r="H2" s="147"/>
      <c r="I2" s="147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 ht="15.75" thickBot="1">
      <c r="A4" s="31" t="s">
        <v>59</v>
      </c>
      <c r="B4" s="32"/>
      <c r="C4" s="32" t="s">
        <v>60</v>
      </c>
      <c r="D4" s="32" t="s">
        <v>21</v>
      </c>
      <c r="E4" s="1"/>
      <c r="F4" s="1"/>
      <c r="G4" s="1"/>
      <c r="H4" s="1"/>
      <c r="I4" s="1"/>
    </row>
    <row r="5" spans="1:9">
      <c r="A5" s="131" t="s">
        <v>127</v>
      </c>
      <c r="B5" s="124"/>
      <c r="C5" s="35"/>
      <c r="D5" s="36">
        <v>19450000</v>
      </c>
      <c r="E5" s="1"/>
      <c r="F5" s="77" t="s">
        <v>86</v>
      </c>
      <c r="G5" s="75" t="s">
        <v>87</v>
      </c>
      <c r="H5" s="75" t="s">
        <v>21</v>
      </c>
      <c r="I5" s="76">
        <v>4</v>
      </c>
    </row>
    <row r="6" spans="1:9" ht="15.75" thickBot="1">
      <c r="A6" s="131" t="s">
        <v>128</v>
      </c>
      <c r="B6" s="124"/>
      <c r="C6" s="35"/>
      <c r="D6" s="36">
        <v>19450000</v>
      </c>
      <c r="E6" s="1"/>
      <c r="F6" s="78">
        <v>171</v>
      </c>
      <c r="G6" s="79">
        <v>1100000</v>
      </c>
      <c r="H6" s="79">
        <f>G6*F6</f>
        <v>188100000</v>
      </c>
      <c r="I6" s="80">
        <f>H6*I5</f>
        <v>752400000</v>
      </c>
    </row>
    <row r="7" spans="1:9">
      <c r="A7" s="131" t="s">
        <v>129</v>
      </c>
      <c r="B7" s="124"/>
      <c r="C7" s="35"/>
      <c r="D7" s="36">
        <v>19450000</v>
      </c>
      <c r="E7" s="1"/>
      <c r="F7" s="1"/>
      <c r="G7" s="1"/>
      <c r="H7" s="109"/>
      <c r="I7" s="1"/>
    </row>
    <row r="8" spans="1:9">
      <c r="A8" s="131" t="s">
        <v>130</v>
      </c>
      <c r="B8" s="124"/>
      <c r="C8" s="35"/>
      <c r="D8" s="36">
        <v>19450000</v>
      </c>
      <c r="E8" s="1"/>
      <c r="F8" s="1"/>
      <c r="G8" s="1"/>
      <c r="H8" s="1"/>
      <c r="I8" s="1"/>
    </row>
    <row r="9" spans="1:9">
      <c r="A9" s="131" t="s">
        <v>131</v>
      </c>
      <c r="B9" s="124"/>
      <c r="C9" s="35"/>
      <c r="D9" s="36">
        <v>19450000</v>
      </c>
      <c r="E9" s="1"/>
      <c r="F9" s="83">
        <f>F6/7</f>
        <v>24.428571428571427</v>
      </c>
      <c r="G9" s="148" t="s">
        <v>107</v>
      </c>
      <c r="H9" s="148"/>
      <c r="I9" s="1"/>
    </row>
    <row r="10" spans="1:9">
      <c r="A10" s="33" t="s">
        <v>132</v>
      </c>
      <c r="B10" s="34"/>
      <c r="C10" s="35"/>
      <c r="D10" s="36">
        <v>19450000</v>
      </c>
      <c r="E10" s="1"/>
      <c r="F10" s="126" t="s">
        <v>121</v>
      </c>
      <c r="G10" s="1" t="s">
        <v>122</v>
      </c>
      <c r="H10" s="1"/>
      <c r="I10" s="1"/>
    </row>
    <row r="11" spans="1:9">
      <c r="A11" s="33" t="s">
        <v>133</v>
      </c>
      <c r="B11" s="34"/>
      <c r="C11" s="35"/>
      <c r="D11" s="36">
        <v>19450000</v>
      </c>
      <c r="E11" s="1"/>
      <c r="F11" s="1"/>
      <c r="G11" s="1"/>
      <c r="H11" s="1"/>
      <c r="I11" s="1"/>
    </row>
    <row r="12" spans="1:9">
      <c r="A12" s="33" t="s">
        <v>134</v>
      </c>
      <c r="B12" s="34"/>
      <c r="C12" s="35"/>
      <c r="D12" s="36">
        <v>19450000</v>
      </c>
      <c r="E12" s="1"/>
      <c r="F12" s="109">
        <f>I6/F9</f>
        <v>30800000.000000004</v>
      </c>
      <c r="G12" s="1" t="s">
        <v>89</v>
      </c>
      <c r="H12" s="1"/>
      <c r="I12" s="1"/>
    </row>
    <row r="13" spans="1:9">
      <c r="A13" s="33"/>
      <c r="B13" s="34"/>
      <c r="C13" s="35"/>
      <c r="D13" s="36"/>
      <c r="E13" s="1"/>
      <c r="F13" s="109">
        <f>F12/4</f>
        <v>7700000.0000000009</v>
      </c>
      <c r="G13" s="1" t="s">
        <v>90</v>
      </c>
      <c r="H13" s="1"/>
      <c r="I13" s="1"/>
    </row>
    <row r="14" spans="1:9" hidden="1">
      <c r="A14" s="33"/>
      <c r="B14" s="34"/>
      <c r="C14" s="35"/>
      <c r="D14" s="36"/>
      <c r="E14" s="1"/>
      <c r="F14" s="1"/>
      <c r="G14" s="1"/>
      <c r="H14" s="1"/>
      <c r="I14" s="1"/>
    </row>
    <row r="15" spans="1:9" hidden="1">
      <c r="A15" s="33"/>
      <c r="B15" s="34"/>
      <c r="C15" s="35"/>
      <c r="D15" s="36"/>
      <c r="E15" s="109"/>
      <c r="F15" s="1"/>
      <c r="G15" s="1"/>
      <c r="H15" s="1"/>
      <c r="I15" s="1"/>
    </row>
    <row r="16" spans="1:9" hidden="1">
      <c r="A16" s="33"/>
      <c r="B16" s="34"/>
      <c r="C16" s="35"/>
      <c r="D16" s="36"/>
      <c r="E16" s="109"/>
      <c r="F16" s="1"/>
      <c r="G16" s="1"/>
      <c r="H16" s="1"/>
      <c r="I16" s="1"/>
    </row>
    <row r="17" spans="1:9">
      <c r="A17" s="33"/>
      <c r="B17" s="37">
        <f>SUM(B5:B16)</f>
        <v>0</v>
      </c>
      <c r="C17" s="33"/>
      <c r="D17" s="37">
        <f>SUM(D5:D16)</f>
        <v>155600000</v>
      </c>
      <c r="E17" s="1"/>
      <c r="F17" s="1"/>
      <c r="G17" s="1"/>
      <c r="H17" s="1"/>
      <c r="I17" s="1"/>
    </row>
    <row r="18" spans="1:9" s="1" customFormat="1">
      <c r="F18" s="1">
        <f>D17/8</f>
        <v>19450000</v>
      </c>
    </row>
    <row r="19" spans="1:9" hidden="1">
      <c r="A19" t="s">
        <v>93</v>
      </c>
      <c r="D19" s="38">
        <f>D17+I6</f>
        <v>908000000</v>
      </c>
      <c r="E19" s="1"/>
      <c r="F19" s="1"/>
      <c r="G19" s="1"/>
      <c r="H19" s="1"/>
      <c r="I19" s="1"/>
    </row>
    <row r="20" spans="1:9" hidden="1">
      <c r="A20" t="s">
        <v>108</v>
      </c>
      <c r="D20" s="38" t="s">
        <v>111</v>
      </c>
      <c r="E20" s="1"/>
      <c r="F20" s="109"/>
      <c r="G20" s="1"/>
      <c r="H20" s="1"/>
      <c r="I20" s="1"/>
    </row>
    <row r="21" spans="1:9" hidden="1">
      <c r="D21" s="73" t="e">
        <f>D19-D20</f>
        <v>#VALUE!</v>
      </c>
      <c r="E21" s="1"/>
      <c r="F21" s="109"/>
      <c r="G21" s="1"/>
      <c r="H21" s="1"/>
      <c r="I21" s="1"/>
    </row>
    <row r="22" spans="1:9" hidden="1">
      <c r="A22" s="30"/>
      <c r="E22" s="1"/>
      <c r="F22" s="109"/>
      <c r="G22" s="1"/>
      <c r="H22" s="1"/>
      <c r="I22" s="1"/>
    </row>
    <row r="23" spans="1:9" hidden="1">
      <c r="A23" s="30"/>
      <c r="D23" s="38">
        <v>-964491719.15999603</v>
      </c>
      <c r="E23" s="1"/>
      <c r="F23" s="1"/>
      <c r="G23" s="1"/>
      <c r="H23" s="1"/>
      <c r="I23" s="1"/>
    </row>
    <row r="24" spans="1:9">
      <c r="A24" s="149" t="s">
        <v>112</v>
      </c>
      <c r="B24" s="1" t="s">
        <v>115</v>
      </c>
      <c r="C24" s="1"/>
      <c r="D24" s="90">
        <f>I6</f>
        <v>752400000</v>
      </c>
      <c r="E24" s="1"/>
      <c r="F24" s="1"/>
      <c r="G24" s="1"/>
      <c r="H24" s="1"/>
      <c r="I24" s="1"/>
    </row>
    <row r="25" spans="1:9">
      <c r="A25" s="149"/>
      <c r="B25" s="1" t="s">
        <v>113</v>
      </c>
      <c r="C25" s="1"/>
      <c r="D25" s="90">
        <f>D27-D24</f>
        <v>155600000</v>
      </c>
      <c r="E25" s="1"/>
      <c r="F25" s="1"/>
      <c r="G25" s="1"/>
      <c r="H25" s="1"/>
      <c r="I25" s="1"/>
    </row>
    <row r="26" spans="1:9" s="1" customFormat="1"/>
    <row r="27" spans="1:9">
      <c r="B27" s="83" t="s">
        <v>21</v>
      </c>
      <c r="C27" s="1"/>
      <c r="D27" s="90">
        <v>908000000</v>
      </c>
      <c r="E27" s="1"/>
      <c r="F27" s="1"/>
      <c r="G27" s="1"/>
      <c r="H27" s="1"/>
      <c r="I27" s="1"/>
    </row>
    <row r="28" spans="1:9" s="1" customFormat="1"/>
    <row r="29" spans="1:9" s="1" customFormat="1"/>
    <row r="30" spans="1:9" s="1" customFormat="1">
      <c r="B30" s="125"/>
    </row>
    <row r="31" spans="1:9" s="1" customFormat="1">
      <c r="B31" s="125"/>
    </row>
    <row r="32" spans="1:9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</sheetData>
  <mergeCells count="3">
    <mergeCell ref="G9:H9"/>
    <mergeCell ref="A24:A25"/>
    <mergeCell ref="A2:I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G180"/>
  <sheetViews>
    <sheetView workbookViewId="0">
      <selection activeCell="A2" sqref="A2:F2"/>
    </sheetView>
  </sheetViews>
  <sheetFormatPr defaultColWidth="11.42578125" defaultRowHeight="15"/>
  <cols>
    <col min="1" max="1" width="37.85546875" customWidth="1"/>
    <col min="2" max="2" width="23.42578125" customWidth="1"/>
    <col min="3" max="3" width="18.28515625" customWidth="1"/>
    <col min="4" max="4" width="4.85546875" customWidth="1"/>
    <col min="6" max="6" width="19.42578125" customWidth="1"/>
    <col min="7" max="7" width="47.7109375" style="1" customWidth="1"/>
    <col min="8" max="8" width="17.5703125" style="1" bestFit="1" customWidth="1"/>
    <col min="9" max="33" width="11.42578125" style="1"/>
  </cols>
  <sheetData>
    <row r="1" spans="1:6">
      <c r="A1" s="1"/>
      <c r="B1" s="1"/>
      <c r="C1" s="1"/>
      <c r="D1" s="1"/>
      <c r="E1" s="1"/>
      <c r="F1" s="1"/>
    </row>
    <row r="2" spans="1:6" ht="18.75">
      <c r="A2" s="147" t="s">
        <v>123</v>
      </c>
      <c r="B2" s="147"/>
      <c r="C2" s="147"/>
      <c r="D2" s="147"/>
      <c r="E2" s="147"/>
      <c r="F2" s="147"/>
    </row>
    <row r="3" spans="1:6" ht="15.75" thickBot="1">
      <c r="A3" s="1"/>
      <c r="B3" s="1"/>
      <c r="C3" s="1"/>
      <c r="D3" s="1"/>
      <c r="E3" s="1"/>
      <c r="F3" s="1"/>
    </row>
    <row r="4" spans="1:6" ht="15.75" thickBot="1">
      <c r="A4" s="113" t="s">
        <v>61</v>
      </c>
      <c r="B4" s="39" t="s">
        <v>62</v>
      </c>
      <c r="C4" s="40">
        <v>0.04</v>
      </c>
      <c r="D4" s="41"/>
      <c r="E4" s="113" t="s">
        <v>60</v>
      </c>
      <c r="F4" s="121" t="s">
        <v>21</v>
      </c>
    </row>
    <row r="5" spans="1:6">
      <c r="A5" s="114" t="s">
        <v>63</v>
      </c>
      <c r="B5" s="42">
        <v>12505000</v>
      </c>
      <c r="C5" s="43">
        <v>15500000</v>
      </c>
      <c r="D5" s="44"/>
      <c r="E5" s="122">
        <v>12</v>
      </c>
      <c r="F5" s="45">
        <f t="shared" ref="F5:F26" si="0">+C5*E5</f>
        <v>186000000</v>
      </c>
    </row>
    <row r="6" spans="1:6">
      <c r="A6" s="115" t="s">
        <v>64</v>
      </c>
      <c r="B6" s="36">
        <v>10489668</v>
      </c>
      <c r="C6" s="45">
        <f t="shared" ref="C6:C14" si="1">(B6*$C$4)+B6</f>
        <v>10909254.720000001</v>
      </c>
      <c r="D6" s="44"/>
      <c r="E6" s="122">
        <v>12</v>
      </c>
      <c r="F6" s="45">
        <f t="shared" si="0"/>
        <v>130911056.64000002</v>
      </c>
    </row>
    <row r="7" spans="1:6">
      <c r="A7" s="115" t="s">
        <v>64</v>
      </c>
      <c r="B7" s="36">
        <v>10489668</v>
      </c>
      <c r="C7" s="45">
        <f t="shared" si="1"/>
        <v>10909254.720000001</v>
      </c>
      <c r="D7" s="44"/>
      <c r="E7" s="122">
        <v>12</v>
      </c>
      <c r="F7" s="45">
        <f t="shared" si="0"/>
        <v>130911056.64000002</v>
      </c>
    </row>
    <row r="8" spans="1:6">
      <c r="A8" s="115" t="s">
        <v>64</v>
      </c>
      <c r="B8" s="36">
        <v>10489668</v>
      </c>
      <c r="C8" s="45">
        <f t="shared" si="1"/>
        <v>10909254.720000001</v>
      </c>
      <c r="D8" s="44"/>
      <c r="E8" s="122">
        <v>12</v>
      </c>
      <c r="F8" s="45">
        <f t="shared" si="0"/>
        <v>130911056.64000002</v>
      </c>
    </row>
    <row r="9" spans="1:6">
      <c r="A9" s="115" t="s">
        <v>64</v>
      </c>
      <c r="B9" s="36">
        <v>10489668</v>
      </c>
      <c r="C9" s="45">
        <f t="shared" si="1"/>
        <v>10909254.720000001</v>
      </c>
      <c r="D9" s="44"/>
      <c r="E9" s="122">
        <v>12</v>
      </c>
      <c r="F9" s="45">
        <f t="shared" si="0"/>
        <v>130911056.64000002</v>
      </c>
    </row>
    <row r="10" spans="1:6">
      <c r="A10" s="115" t="s">
        <v>64</v>
      </c>
      <c r="B10" s="36">
        <v>10489668</v>
      </c>
      <c r="C10" s="45">
        <f t="shared" si="1"/>
        <v>10909254.720000001</v>
      </c>
      <c r="D10" s="44"/>
      <c r="E10" s="122">
        <v>12</v>
      </c>
      <c r="F10" s="45">
        <f t="shared" si="0"/>
        <v>130911056.64000002</v>
      </c>
    </row>
    <row r="11" spans="1:6">
      <c r="A11" s="115" t="s">
        <v>64</v>
      </c>
      <c r="B11" s="36">
        <v>10489668</v>
      </c>
      <c r="C11" s="45">
        <f t="shared" si="1"/>
        <v>10909254.720000001</v>
      </c>
      <c r="D11" s="44"/>
      <c r="E11" s="122">
        <v>12</v>
      </c>
      <c r="F11" s="45">
        <f t="shared" si="0"/>
        <v>130911056.64000002</v>
      </c>
    </row>
    <row r="12" spans="1:6">
      <c r="A12" s="115" t="s">
        <v>64</v>
      </c>
      <c r="B12" s="36">
        <v>10489668</v>
      </c>
      <c r="C12" s="45">
        <f t="shared" si="1"/>
        <v>10909254.720000001</v>
      </c>
      <c r="D12" s="44"/>
      <c r="E12" s="122">
        <v>12</v>
      </c>
      <c r="F12" s="45">
        <f t="shared" si="0"/>
        <v>130911056.64000002</v>
      </c>
    </row>
    <row r="13" spans="1:6">
      <c r="A13" s="115" t="s">
        <v>64</v>
      </c>
      <c r="B13" s="36">
        <v>10489668</v>
      </c>
      <c r="C13" s="45">
        <f t="shared" si="1"/>
        <v>10909254.720000001</v>
      </c>
      <c r="D13" s="44"/>
      <c r="E13" s="122">
        <v>12</v>
      </c>
      <c r="F13" s="45">
        <f t="shared" si="0"/>
        <v>130911056.64000002</v>
      </c>
    </row>
    <row r="14" spans="1:6">
      <c r="A14" s="115" t="s">
        <v>65</v>
      </c>
      <c r="B14" s="36">
        <v>10489668</v>
      </c>
      <c r="C14" s="45">
        <f t="shared" si="1"/>
        <v>10909254.720000001</v>
      </c>
      <c r="D14" s="44"/>
      <c r="E14" s="122">
        <v>12</v>
      </c>
      <c r="F14" s="45">
        <f t="shared" si="0"/>
        <v>130911056.64000002</v>
      </c>
    </row>
    <row r="15" spans="1:6">
      <c r="A15" s="115" t="s">
        <v>66</v>
      </c>
      <c r="B15" s="36">
        <v>0</v>
      </c>
      <c r="C15" s="45">
        <v>9122880</v>
      </c>
      <c r="D15" s="44"/>
      <c r="E15" s="122">
        <v>12</v>
      </c>
      <c r="F15" s="45">
        <f t="shared" si="0"/>
        <v>109474560</v>
      </c>
    </row>
    <row r="16" spans="1:6">
      <c r="A16" s="115" t="s">
        <v>67</v>
      </c>
      <c r="B16" s="36">
        <v>8772000</v>
      </c>
      <c r="C16" s="45">
        <v>10000000</v>
      </c>
      <c r="D16" s="44"/>
      <c r="E16" s="122">
        <v>12</v>
      </c>
      <c r="F16" s="45">
        <f t="shared" si="0"/>
        <v>120000000</v>
      </c>
    </row>
    <row r="17" spans="1:8">
      <c r="A17" s="115" t="s">
        <v>68</v>
      </c>
      <c r="B17" s="36">
        <v>8772000</v>
      </c>
      <c r="C17" s="45">
        <v>6000000</v>
      </c>
      <c r="D17" s="44"/>
      <c r="E17" s="122">
        <v>12</v>
      </c>
      <c r="F17" s="45">
        <f t="shared" si="0"/>
        <v>72000000</v>
      </c>
    </row>
    <row r="18" spans="1:8">
      <c r="A18" s="115" t="s">
        <v>69</v>
      </c>
      <c r="B18" s="36">
        <v>8772000</v>
      </c>
      <c r="C18" s="45">
        <f t="shared" ref="C18:C26" si="2">(B18*$C$4)+B18</f>
        <v>9122880</v>
      </c>
      <c r="D18" s="44"/>
      <c r="E18" s="122">
        <v>12</v>
      </c>
      <c r="F18" s="45">
        <f t="shared" si="0"/>
        <v>109474560</v>
      </c>
    </row>
    <row r="19" spans="1:8">
      <c r="A19" s="115" t="s">
        <v>70</v>
      </c>
      <c r="B19" s="36">
        <v>8772000</v>
      </c>
      <c r="C19" s="45">
        <f t="shared" si="2"/>
        <v>9122880</v>
      </c>
      <c r="D19" s="44"/>
      <c r="E19" s="122">
        <v>12</v>
      </c>
      <c r="F19" s="45">
        <f t="shared" si="0"/>
        <v>109474560</v>
      </c>
    </row>
    <row r="20" spans="1:8">
      <c r="A20" s="115" t="s">
        <v>71</v>
      </c>
      <c r="B20" s="36">
        <v>7224000</v>
      </c>
      <c r="C20" s="45">
        <f t="shared" si="2"/>
        <v>7512960</v>
      </c>
      <c r="D20" s="44"/>
      <c r="E20" s="122">
        <v>12</v>
      </c>
      <c r="F20" s="45">
        <f t="shared" si="0"/>
        <v>90155520</v>
      </c>
    </row>
    <row r="21" spans="1:8">
      <c r="A21" s="115" t="s">
        <v>72</v>
      </c>
      <c r="B21" s="36">
        <v>7000000</v>
      </c>
      <c r="C21" s="45">
        <f t="shared" si="2"/>
        <v>7280000</v>
      </c>
      <c r="D21" s="44"/>
      <c r="E21" s="122">
        <v>12</v>
      </c>
      <c r="F21" s="45">
        <f t="shared" si="0"/>
        <v>87360000</v>
      </c>
    </row>
    <row r="22" spans="1:8">
      <c r="A22" s="115" t="s">
        <v>73</v>
      </c>
      <c r="B22" s="36">
        <v>6000000</v>
      </c>
      <c r="C22" s="45">
        <f t="shared" si="2"/>
        <v>6240000</v>
      </c>
      <c r="D22" s="44"/>
      <c r="E22" s="122">
        <v>12</v>
      </c>
      <c r="F22" s="45">
        <f t="shared" si="0"/>
        <v>74880000</v>
      </c>
    </row>
    <row r="23" spans="1:8">
      <c r="A23" s="115" t="s">
        <v>70</v>
      </c>
      <c r="B23" s="36">
        <v>5000000</v>
      </c>
      <c r="C23" s="45">
        <f t="shared" si="2"/>
        <v>5200000</v>
      </c>
      <c r="D23" s="44"/>
      <c r="E23" s="122">
        <v>12</v>
      </c>
      <c r="F23" s="45">
        <f t="shared" si="0"/>
        <v>62400000</v>
      </c>
    </row>
    <row r="24" spans="1:8">
      <c r="A24" s="115" t="s">
        <v>74</v>
      </c>
      <c r="B24" s="36">
        <v>2270400</v>
      </c>
      <c r="C24" s="45">
        <f t="shared" si="2"/>
        <v>2361216</v>
      </c>
      <c r="D24" s="44"/>
      <c r="E24" s="122">
        <v>12</v>
      </c>
      <c r="F24" s="45">
        <f t="shared" si="0"/>
        <v>28334592</v>
      </c>
    </row>
    <row r="25" spans="1:8">
      <c r="A25" s="115" t="s">
        <v>75</v>
      </c>
      <c r="B25" s="36">
        <v>2064000</v>
      </c>
      <c r="C25" s="45">
        <f t="shared" si="2"/>
        <v>2146560</v>
      </c>
      <c r="D25" s="44"/>
      <c r="E25" s="122">
        <v>12</v>
      </c>
      <c r="F25" s="45">
        <f t="shared" si="0"/>
        <v>25758720</v>
      </c>
    </row>
    <row r="26" spans="1:8">
      <c r="A26" s="115" t="s">
        <v>76</v>
      </c>
      <c r="B26" s="36">
        <v>2000000</v>
      </c>
      <c r="C26" s="45">
        <f t="shared" si="2"/>
        <v>2080000</v>
      </c>
      <c r="D26" s="44"/>
      <c r="E26" s="122">
        <v>12</v>
      </c>
      <c r="F26" s="45">
        <f t="shared" si="0"/>
        <v>24960000</v>
      </c>
      <c r="H26" s="108"/>
    </row>
    <row r="27" spans="1:8" ht="15.75" thickBot="1">
      <c r="A27" s="116" t="s">
        <v>92</v>
      </c>
      <c r="B27" s="117"/>
      <c r="C27" s="118">
        <v>5200000</v>
      </c>
      <c r="D27" s="44"/>
      <c r="E27" s="123">
        <v>12</v>
      </c>
      <c r="F27" s="118">
        <f>E27*C27</f>
        <v>62400000</v>
      </c>
      <c r="H27" s="108"/>
    </row>
    <row r="28" spans="1:8" ht="15.75" thickBot="1">
      <c r="A28" s="150" t="s">
        <v>21</v>
      </c>
      <c r="B28" s="151"/>
      <c r="C28" s="46">
        <f>SUM(C5:C26)</f>
        <v>189872668.47999999</v>
      </c>
      <c r="D28" s="44"/>
      <c r="E28" s="119"/>
      <c r="F28" s="120">
        <f>SUM(F5:F27)</f>
        <v>2340872021.7600002</v>
      </c>
      <c r="G28" s="1" t="s">
        <v>77</v>
      </c>
    </row>
    <row r="29" spans="1:8" s="1" customFormat="1"/>
    <row r="30" spans="1:8" s="1" customFormat="1" ht="15.75" thickBot="1">
      <c r="F30" s="109">
        <f>F28/12</f>
        <v>195072668.48000002</v>
      </c>
      <c r="G30" s="95" t="s">
        <v>78</v>
      </c>
    </row>
    <row r="31" spans="1:8" ht="15.75" thickBot="1">
      <c r="A31" s="1"/>
      <c r="B31" s="1"/>
      <c r="C31" s="1"/>
      <c r="D31" s="1"/>
      <c r="E31" s="1"/>
      <c r="F31" s="47">
        <f>F30*8</f>
        <v>1560581347.8400002</v>
      </c>
      <c r="G31" s="95" t="s">
        <v>79</v>
      </c>
    </row>
    <row r="32" spans="1:8" ht="15.75" thickBot="1">
      <c r="A32" s="1"/>
      <c r="B32" s="1"/>
      <c r="C32" s="1"/>
      <c r="D32" s="1"/>
      <c r="E32" s="1"/>
    </row>
    <row r="33" spans="1:7" ht="15.75" thickBot="1">
      <c r="A33" s="1"/>
      <c r="B33" s="1"/>
      <c r="C33" s="1"/>
      <c r="D33" s="1"/>
      <c r="E33" s="1"/>
      <c r="F33" s="94">
        <v>1796989027.8400002</v>
      </c>
      <c r="G33" s="95" t="s">
        <v>88</v>
      </c>
    </row>
    <row r="34" spans="1:7">
      <c r="A34" s="1"/>
      <c r="B34" s="110"/>
      <c r="C34" s="110"/>
      <c r="D34" s="1"/>
      <c r="E34" s="1"/>
      <c r="F34" s="109">
        <f>F33-F31</f>
        <v>236407680</v>
      </c>
      <c r="G34" s="1" t="s">
        <v>91</v>
      </c>
    </row>
    <row r="35" spans="1:7">
      <c r="A35" s="1"/>
      <c r="B35" s="1"/>
      <c r="C35" s="1"/>
      <c r="D35" s="1"/>
      <c r="E35" s="1"/>
      <c r="F35" s="1"/>
    </row>
    <row r="36" spans="1:7">
      <c r="A36" s="1"/>
      <c r="B36" s="1"/>
      <c r="C36" s="1"/>
      <c r="D36" s="1"/>
      <c r="E36" s="1"/>
      <c r="F36" s="1"/>
    </row>
    <row r="37" spans="1:7">
      <c r="A37" s="1"/>
      <c r="B37" s="1"/>
      <c r="C37" s="1"/>
      <c r="D37" s="1"/>
      <c r="E37" s="1"/>
      <c r="F37" s="1"/>
    </row>
    <row r="38" spans="1:7">
      <c r="A38" s="1"/>
      <c r="B38" s="1"/>
      <c r="C38" s="1"/>
      <c r="D38" s="1"/>
      <c r="E38" s="1"/>
      <c r="F38" s="1"/>
    </row>
    <row r="39" spans="1:7">
      <c r="A39" s="1"/>
      <c r="B39" s="1"/>
      <c r="C39" s="1"/>
      <c r="D39" s="1"/>
      <c r="E39" s="1"/>
      <c r="F39" s="1"/>
    </row>
    <row r="40" spans="1:7">
      <c r="A40" s="1"/>
      <c r="B40" s="1"/>
      <c r="C40" s="1"/>
      <c r="D40" s="1"/>
      <c r="E40" s="1"/>
      <c r="F40" s="1"/>
    </row>
    <row r="41" spans="1:7">
      <c r="A41" s="1"/>
      <c r="B41" s="1"/>
      <c r="C41" s="1"/>
      <c r="D41" s="1"/>
      <c r="E41" s="1"/>
      <c r="F41" s="1"/>
    </row>
    <row r="42" spans="1:7">
      <c r="A42" s="1"/>
      <c r="B42" s="1"/>
      <c r="C42" s="1"/>
      <c r="D42" s="1"/>
      <c r="E42" s="1"/>
      <c r="F42" s="1"/>
    </row>
    <row r="43" spans="1:7">
      <c r="A43" s="1"/>
      <c r="B43" s="1"/>
      <c r="C43" s="1"/>
      <c r="D43" s="1"/>
      <c r="E43" s="1"/>
      <c r="F43" s="1"/>
    </row>
    <row r="44" spans="1:7">
      <c r="A44" s="1"/>
      <c r="B44" s="1"/>
      <c r="C44" s="1"/>
      <c r="D44" s="1"/>
      <c r="E44" s="1"/>
      <c r="F44" s="1"/>
    </row>
    <row r="45" spans="1:7">
      <c r="A45" s="1"/>
      <c r="B45" s="1"/>
      <c r="C45" s="1"/>
      <c r="D45" s="1"/>
      <c r="E45" s="1"/>
      <c r="F45" s="1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</row>
    <row r="99" spans="1:6">
      <c r="A99" s="1"/>
      <c r="B99" s="1"/>
      <c r="C99" s="1"/>
      <c r="D99" s="1"/>
      <c r="E99" s="1"/>
    </row>
    <row r="100" spans="1:6">
      <c r="A100" s="1"/>
      <c r="B100" s="1"/>
      <c r="C100" s="1"/>
      <c r="D100" s="1"/>
      <c r="E100" s="1"/>
    </row>
    <row r="101" spans="1:6">
      <c r="A101" s="1"/>
      <c r="B101" s="1"/>
      <c r="C101" s="1"/>
      <c r="D101" s="1"/>
      <c r="E101" s="1"/>
    </row>
    <row r="102" spans="1:6">
      <c r="A102" s="1"/>
      <c r="B102" s="1"/>
      <c r="C102" s="1"/>
      <c r="D102" s="1"/>
      <c r="E102" s="1"/>
    </row>
    <row r="103" spans="1:6">
      <c r="A103" s="1"/>
      <c r="B103" s="1"/>
      <c r="C103" s="1"/>
      <c r="D103" s="1"/>
      <c r="E103" s="1"/>
    </row>
    <row r="104" spans="1:6">
      <c r="A104" s="1"/>
      <c r="B104" s="1"/>
      <c r="C104" s="1"/>
      <c r="D104" s="1"/>
      <c r="E104" s="1"/>
    </row>
    <row r="105" spans="1:6">
      <c r="A105" s="1"/>
      <c r="B105" s="1"/>
      <c r="C105" s="1"/>
      <c r="D105" s="1"/>
      <c r="E105" s="1"/>
    </row>
    <row r="106" spans="1:6">
      <c r="A106" s="1"/>
      <c r="B106" s="1"/>
      <c r="C106" s="1"/>
      <c r="D106" s="1"/>
      <c r="E106" s="1"/>
    </row>
    <row r="107" spans="1:6">
      <c r="A107" s="1"/>
      <c r="B107" s="1"/>
      <c r="C107" s="1"/>
      <c r="D107" s="1"/>
      <c r="E107" s="1"/>
    </row>
    <row r="108" spans="1:6">
      <c r="A108" s="1"/>
      <c r="B108" s="1"/>
      <c r="C108" s="1"/>
      <c r="D108" s="1"/>
      <c r="E108" s="1"/>
    </row>
    <row r="109" spans="1:6">
      <c r="A109" s="1"/>
      <c r="B109" s="1"/>
      <c r="C109" s="1"/>
      <c r="D109" s="1"/>
      <c r="E109" s="1"/>
    </row>
    <row r="110" spans="1:6">
      <c r="A110" s="1"/>
      <c r="B110" s="1"/>
      <c r="C110" s="1"/>
      <c r="D110" s="1"/>
      <c r="E110" s="1"/>
    </row>
    <row r="111" spans="1:6">
      <c r="A111" s="1"/>
      <c r="B111" s="1"/>
      <c r="C111" s="1"/>
      <c r="D111" s="1"/>
      <c r="E111" s="1"/>
    </row>
    <row r="112" spans="1:6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</sheetData>
  <mergeCells count="2">
    <mergeCell ref="A28:B28"/>
    <mergeCell ref="A2:F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56"/>
  <sheetViews>
    <sheetView workbookViewId="0">
      <selection activeCell="G12" sqref="G12"/>
    </sheetView>
  </sheetViews>
  <sheetFormatPr defaultColWidth="11.42578125" defaultRowHeight="15"/>
  <cols>
    <col min="1" max="1" width="24.7109375" customWidth="1"/>
    <col min="2" max="2" width="18.7109375" customWidth="1"/>
    <col min="3" max="3" width="58.85546875" customWidth="1"/>
    <col min="4" max="4" width="11.42578125" style="1"/>
    <col min="6" max="6" width="26.140625" customWidth="1"/>
    <col min="9" max="13" width="11.42578125" style="1"/>
  </cols>
  <sheetData>
    <row r="1" spans="1:8">
      <c r="A1" s="1"/>
      <c r="B1" s="1"/>
      <c r="C1" s="1"/>
      <c r="E1" s="1"/>
      <c r="F1" s="1"/>
      <c r="G1" s="1"/>
      <c r="H1" s="1"/>
    </row>
    <row r="2" spans="1:8" ht="18.75">
      <c r="A2" s="147" t="s">
        <v>125</v>
      </c>
      <c r="B2" s="147"/>
      <c r="C2" s="147"/>
      <c r="D2" s="147"/>
      <c r="E2" s="147"/>
      <c r="F2" s="147"/>
      <c r="G2" s="147"/>
      <c r="H2" s="147"/>
    </row>
    <row r="3" spans="1:8" ht="15.75" thickBot="1">
      <c r="A3" s="1"/>
      <c r="B3" s="1"/>
      <c r="C3" s="1"/>
      <c r="E3" s="1"/>
      <c r="F3" s="1"/>
      <c r="G3" s="1"/>
      <c r="H3" s="1"/>
    </row>
    <row r="4" spans="1:8" ht="16.5" thickTop="1" thickBot="1">
      <c r="A4" s="158" t="s">
        <v>99</v>
      </c>
      <c r="B4" s="158"/>
      <c r="C4" s="158"/>
      <c r="E4" s="51">
        <v>690000</v>
      </c>
      <c r="F4" s="52" t="s">
        <v>95</v>
      </c>
      <c r="G4" s="53">
        <v>412689</v>
      </c>
      <c r="H4" s="54" t="s">
        <v>100</v>
      </c>
    </row>
    <row r="5" spans="1:8" ht="16.5" thickTop="1" thickBot="1">
      <c r="A5" s="159">
        <v>1</v>
      </c>
      <c r="B5" s="58">
        <v>171</v>
      </c>
      <c r="C5" s="59" t="s">
        <v>80</v>
      </c>
      <c r="E5" s="55">
        <v>800000</v>
      </c>
      <c r="F5" s="56" t="s">
        <v>98</v>
      </c>
      <c r="G5" s="56"/>
      <c r="H5" s="57"/>
    </row>
    <row r="6" spans="1:8" ht="15.75" thickTop="1">
      <c r="A6" s="160"/>
      <c r="B6" s="60">
        <f>B5</f>
        <v>171</v>
      </c>
      <c r="C6" s="61" t="s">
        <v>94</v>
      </c>
      <c r="E6" s="1"/>
      <c r="F6" s="1"/>
      <c r="G6" s="1"/>
      <c r="H6" s="1"/>
    </row>
    <row r="7" spans="1:8">
      <c r="A7" s="160"/>
      <c r="B7" s="49">
        <f>B6*E5</f>
        <v>136800000</v>
      </c>
      <c r="C7" s="62" t="s">
        <v>96</v>
      </c>
      <c r="E7" s="1"/>
      <c r="F7" s="1"/>
      <c r="G7" s="1"/>
      <c r="H7" s="1"/>
    </row>
    <row r="8" spans="1:8">
      <c r="A8" s="160"/>
      <c r="B8" s="49">
        <f>E4*B6</f>
        <v>117990000</v>
      </c>
      <c r="C8" s="62" t="s">
        <v>97</v>
      </c>
      <c r="E8" s="1"/>
      <c r="F8" s="1"/>
      <c r="G8" s="1"/>
      <c r="H8" s="1"/>
    </row>
    <row r="9" spans="1:8" ht="15.75" thickBot="1">
      <c r="A9" s="161"/>
      <c r="B9" s="63">
        <f>SUM(B7:B8)</f>
        <v>254790000</v>
      </c>
      <c r="C9" s="64"/>
      <c r="E9" s="1"/>
      <c r="F9" s="1"/>
      <c r="G9" s="1"/>
      <c r="H9" s="1"/>
    </row>
    <row r="10" spans="1:8" ht="16.5" thickTop="1" thickBot="1">
      <c r="A10" s="1"/>
      <c r="B10" s="1"/>
      <c r="C10" s="1"/>
      <c r="E10" s="1"/>
      <c r="F10" s="1"/>
      <c r="G10" s="1"/>
      <c r="H10" s="1"/>
    </row>
    <row r="11" spans="1:8">
      <c r="A11" s="162">
        <v>2</v>
      </c>
      <c r="B11" s="65">
        <v>2</v>
      </c>
      <c r="C11" s="66" t="s">
        <v>101</v>
      </c>
      <c r="E11" s="1"/>
      <c r="F11" s="1"/>
      <c r="G11" s="1"/>
      <c r="H11" s="1"/>
    </row>
    <row r="12" spans="1:8">
      <c r="A12" s="163"/>
      <c r="B12" s="60">
        <v>16</v>
      </c>
      <c r="C12" s="67" t="s">
        <v>102</v>
      </c>
      <c r="E12" s="1"/>
      <c r="F12" s="1"/>
      <c r="G12" s="1"/>
      <c r="H12" s="1"/>
    </row>
    <row r="13" spans="1:8">
      <c r="A13" s="163"/>
      <c r="B13" s="49">
        <f>B12*E5</f>
        <v>12800000</v>
      </c>
      <c r="C13" s="67" t="s">
        <v>96</v>
      </c>
      <c r="E13" s="1"/>
      <c r="F13" s="1"/>
      <c r="G13" s="1"/>
      <c r="H13" s="1"/>
    </row>
    <row r="14" spans="1:8">
      <c r="A14" s="163"/>
      <c r="B14" s="49">
        <f>B12*G4</f>
        <v>6603024</v>
      </c>
      <c r="C14" s="67" t="s">
        <v>97</v>
      </c>
      <c r="E14" s="1"/>
      <c r="F14" s="1"/>
      <c r="G14" s="1"/>
      <c r="H14" s="1"/>
    </row>
    <row r="15" spans="1:8" ht="15.75" thickBot="1">
      <c r="A15" s="164"/>
      <c r="B15" s="68">
        <f>SUM(B13:B14)</f>
        <v>19403024</v>
      </c>
      <c r="C15" s="26"/>
      <c r="E15" s="1"/>
      <c r="F15" s="1"/>
      <c r="G15" s="1"/>
      <c r="H15" s="1"/>
    </row>
    <row r="16" spans="1:8" ht="15.75" thickBot="1">
      <c r="A16" s="1"/>
      <c r="B16" s="1"/>
      <c r="C16" s="1"/>
      <c r="E16" s="1"/>
      <c r="F16" s="1"/>
      <c r="G16" s="1"/>
      <c r="H16" s="1"/>
    </row>
    <row r="17" spans="1:8">
      <c r="A17" s="152">
        <v>3</v>
      </c>
      <c r="B17" s="65">
        <v>32</v>
      </c>
      <c r="C17" s="66" t="s">
        <v>104</v>
      </c>
      <c r="E17" s="1"/>
      <c r="F17" s="1"/>
      <c r="G17" s="1"/>
      <c r="H17" s="1"/>
    </row>
    <row r="18" spans="1:8">
      <c r="A18" s="153"/>
      <c r="B18" s="49">
        <f>B17*E5</f>
        <v>25600000</v>
      </c>
      <c r="C18" s="67" t="s">
        <v>96</v>
      </c>
      <c r="E18" s="1"/>
      <c r="F18" s="1"/>
      <c r="G18" s="1"/>
      <c r="H18" s="1"/>
    </row>
    <row r="19" spans="1:8">
      <c r="A19" s="153"/>
      <c r="B19" s="49">
        <f>B17*G4</f>
        <v>13206048</v>
      </c>
      <c r="C19" s="67" t="s">
        <v>97</v>
      </c>
      <c r="E19" s="1"/>
      <c r="F19" s="1"/>
      <c r="G19" s="1"/>
      <c r="H19" s="1"/>
    </row>
    <row r="20" spans="1:8" ht="15.75" thickBot="1">
      <c r="A20" s="154"/>
      <c r="B20" s="68">
        <f>B18+B19</f>
        <v>38806048</v>
      </c>
      <c r="C20" s="26"/>
      <c r="E20" s="1"/>
      <c r="F20" s="1"/>
      <c r="G20" s="1"/>
      <c r="H20" s="1"/>
    </row>
    <row r="21" spans="1:8" ht="15.75" thickBot="1">
      <c r="A21" s="1"/>
      <c r="B21" s="1"/>
      <c r="C21" s="1"/>
      <c r="E21" s="1"/>
      <c r="F21" s="106"/>
      <c r="G21" s="1"/>
      <c r="H21" s="1"/>
    </row>
    <row r="22" spans="1:8">
      <c r="A22" s="152">
        <v>4</v>
      </c>
      <c r="B22" s="69">
        <f>2*4*1.5</f>
        <v>12</v>
      </c>
      <c r="C22" s="66" t="s">
        <v>103</v>
      </c>
      <c r="E22" s="1"/>
      <c r="F22" s="1"/>
      <c r="G22" s="1"/>
      <c r="H22" s="1"/>
    </row>
    <row r="23" spans="1:8">
      <c r="A23" s="153"/>
      <c r="B23" s="49">
        <f>B22*E5</f>
        <v>9600000</v>
      </c>
      <c r="C23" s="67" t="s">
        <v>96</v>
      </c>
      <c r="E23" s="1"/>
      <c r="F23" s="106"/>
      <c r="G23" s="1"/>
      <c r="H23" s="1"/>
    </row>
    <row r="24" spans="1:8">
      <c r="A24" s="153"/>
      <c r="B24" s="49">
        <f>E4*B22</f>
        <v>8280000</v>
      </c>
      <c r="C24" s="67" t="s">
        <v>97</v>
      </c>
      <c r="E24" s="1"/>
      <c r="F24" s="107"/>
      <c r="G24" s="1"/>
      <c r="H24" s="1"/>
    </row>
    <row r="25" spans="1:8" ht="15.75" thickBot="1">
      <c r="A25" s="154"/>
      <c r="B25" s="68">
        <f>SUM(B23:B24)</f>
        <v>17880000</v>
      </c>
      <c r="C25" s="26"/>
      <c r="E25" s="1"/>
      <c r="F25" s="1"/>
      <c r="G25" s="1"/>
      <c r="H25" s="1"/>
    </row>
    <row r="26" spans="1:8" ht="15.75" thickBot="1">
      <c r="A26" s="1"/>
      <c r="B26" s="1"/>
      <c r="C26" s="1"/>
      <c r="E26" s="1"/>
      <c r="F26" s="1"/>
      <c r="G26" s="1"/>
      <c r="H26" s="1"/>
    </row>
    <row r="27" spans="1:8">
      <c r="A27" s="152">
        <v>5</v>
      </c>
      <c r="B27" s="70">
        <v>8</v>
      </c>
      <c r="C27" s="66" t="s">
        <v>106</v>
      </c>
      <c r="E27" s="1"/>
      <c r="F27" s="1"/>
      <c r="G27" s="1"/>
      <c r="H27" s="1"/>
    </row>
    <row r="28" spans="1:8">
      <c r="A28" s="153"/>
      <c r="B28" s="71">
        <v>2</v>
      </c>
      <c r="C28" s="67" t="s">
        <v>105</v>
      </c>
      <c r="E28" s="1"/>
      <c r="F28" s="1"/>
      <c r="G28" s="1"/>
      <c r="H28" s="1"/>
    </row>
    <row r="29" spans="1:8">
      <c r="A29" s="153"/>
      <c r="B29" s="71">
        <f>B28*B27</f>
        <v>16</v>
      </c>
      <c r="C29" s="72"/>
      <c r="E29" s="1"/>
      <c r="F29" s="1"/>
      <c r="G29" s="1"/>
      <c r="H29" s="1"/>
    </row>
    <row r="30" spans="1:8">
      <c r="A30" s="153"/>
      <c r="B30" s="49">
        <f>B29*E5</f>
        <v>12800000</v>
      </c>
      <c r="C30" s="67" t="s">
        <v>96</v>
      </c>
      <c r="E30" s="1"/>
      <c r="F30" s="1"/>
      <c r="G30" s="1"/>
      <c r="H30" s="1"/>
    </row>
    <row r="31" spans="1:8">
      <c r="A31" s="153"/>
      <c r="B31" s="49">
        <f>B29*E4</f>
        <v>11040000</v>
      </c>
      <c r="C31" s="67" t="s">
        <v>97</v>
      </c>
      <c r="E31" s="1"/>
      <c r="F31" s="1"/>
      <c r="G31" s="1"/>
      <c r="H31" s="1"/>
    </row>
    <row r="32" spans="1:8" ht="15.75" thickBot="1">
      <c r="A32" s="154"/>
      <c r="B32" s="68">
        <f>SUM(B30:B31)</f>
        <v>23840000</v>
      </c>
      <c r="C32" s="26"/>
      <c r="E32" s="1"/>
      <c r="F32" s="1"/>
      <c r="G32" s="1"/>
      <c r="H32" s="1"/>
    </row>
    <row r="33" spans="1:8" ht="15.75" thickBot="1">
      <c r="A33" s="1"/>
      <c r="B33" s="1"/>
      <c r="C33" s="1"/>
      <c r="E33" s="1"/>
      <c r="F33" s="1"/>
      <c r="G33" s="1"/>
      <c r="H33" s="1"/>
    </row>
    <row r="34" spans="1:8">
      <c r="A34" s="155">
        <v>6</v>
      </c>
      <c r="B34" s="65">
        <f>169*25/100</f>
        <v>42.25</v>
      </c>
      <c r="C34" s="66" t="s">
        <v>109</v>
      </c>
      <c r="E34" s="1"/>
      <c r="F34" s="1"/>
      <c r="G34" s="1"/>
      <c r="H34" s="1"/>
    </row>
    <row r="35" spans="1:8">
      <c r="A35" s="156"/>
      <c r="B35" s="49">
        <f>B34*E5</f>
        <v>33800000</v>
      </c>
      <c r="C35" s="67" t="s">
        <v>96</v>
      </c>
      <c r="E35" s="1"/>
      <c r="F35" s="1"/>
      <c r="G35" s="1"/>
      <c r="H35" s="1"/>
    </row>
    <row r="36" spans="1:8">
      <c r="A36" s="156"/>
      <c r="B36" s="49">
        <f>B34*E4</f>
        <v>29152500</v>
      </c>
      <c r="C36" s="67" t="s">
        <v>97</v>
      </c>
      <c r="E36" s="1"/>
      <c r="F36" s="1"/>
      <c r="G36" s="1"/>
      <c r="H36" s="1"/>
    </row>
    <row r="37" spans="1:8" ht="15.75" thickBot="1">
      <c r="A37" s="157"/>
      <c r="B37" s="68">
        <f>SUM(B35:B36)</f>
        <v>62952500</v>
      </c>
      <c r="C37" s="26"/>
      <c r="E37" s="1"/>
      <c r="F37" s="1"/>
      <c r="G37" s="1"/>
      <c r="H37" s="1"/>
    </row>
    <row r="38" spans="1:8">
      <c r="E38" s="1"/>
      <c r="F38" s="1"/>
      <c r="G38" s="1"/>
      <c r="H38" s="1"/>
    </row>
    <row r="39" spans="1:8">
      <c r="A39" s="87">
        <v>7</v>
      </c>
      <c r="B39" s="93">
        <v>584277</v>
      </c>
      <c r="C39" s="50" t="s">
        <v>116</v>
      </c>
      <c r="E39" s="1"/>
      <c r="F39" s="1"/>
      <c r="G39" s="1"/>
      <c r="H39" s="1"/>
    </row>
    <row r="40" spans="1:8" s="1" customFormat="1"/>
    <row r="41" spans="1:8" s="1" customFormat="1" ht="15.75" thickBot="1">
      <c r="A41" s="3" t="s">
        <v>21</v>
      </c>
      <c r="B41" s="107">
        <f>B37+B32+B25+B20+B9+B15+B39</f>
        <v>418255849</v>
      </c>
    </row>
    <row r="42" spans="1:8" ht="15.75" thickBot="1">
      <c r="A42" s="91" t="s">
        <v>88</v>
      </c>
      <c r="B42" s="92">
        <v>418255849</v>
      </c>
      <c r="E42" s="1"/>
      <c r="F42" s="1"/>
      <c r="G42" s="1"/>
      <c r="H42" s="1"/>
    </row>
    <row r="43" spans="1:8" s="1" customFormat="1"/>
    <row r="44" spans="1:8" s="1" customFormat="1"/>
    <row r="45" spans="1:8" s="1" customFormat="1"/>
    <row r="46" spans="1:8" s="1" customFormat="1"/>
    <row r="47" spans="1:8" s="1" customFormat="1"/>
    <row r="48" spans="1: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pans="5:8">
      <c r="E129" s="1"/>
      <c r="F129" s="1"/>
      <c r="G129" s="1"/>
      <c r="H129" s="1"/>
    </row>
    <row r="130" spans="5:8">
      <c r="E130" s="1"/>
      <c r="F130" s="1"/>
      <c r="G130" s="1"/>
      <c r="H130" s="1"/>
    </row>
    <row r="131" spans="5:8">
      <c r="E131" s="1"/>
      <c r="F131" s="1"/>
      <c r="G131" s="1"/>
      <c r="H131" s="1"/>
    </row>
    <row r="132" spans="5:8">
      <c r="E132" s="1"/>
      <c r="F132" s="1"/>
      <c r="G132" s="1"/>
      <c r="H132" s="1"/>
    </row>
    <row r="133" spans="5:8">
      <c r="E133" s="1"/>
      <c r="F133" s="1"/>
      <c r="G133" s="1"/>
      <c r="H133" s="1"/>
    </row>
    <row r="134" spans="5:8">
      <c r="E134" s="1"/>
      <c r="F134" s="1"/>
      <c r="G134" s="1"/>
      <c r="H134" s="1"/>
    </row>
    <row r="135" spans="5:8">
      <c r="E135" s="1"/>
      <c r="F135" s="1"/>
      <c r="G135" s="1"/>
      <c r="H135" s="1"/>
    </row>
    <row r="136" spans="5:8">
      <c r="E136" s="1"/>
      <c r="F136" s="1"/>
      <c r="G136" s="1"/>
      <c r="H136" s="1"/>
    </row>
    <row r="137" spans="5:8">
      <c r="E137" s="1"/>
      <c r="F137" s="1"/>
      <c r="G137" s="1"/>
      <c r="H137" s="1"/>
    </row>
    <row r="138" spans="5:8">
      <c r="E138" s="1"/>
      <c r="F138" s="1"/>
      <c r="G138" s="1"/>
      <c r="H138" s="1"/>
    </row>
    <row r="139" spans="5:8">
      <c r="E139" s="1"/>
      <c r="F139" s="1"/>
      <c r="G139" s="1"/>
      <c r="H139" s="1"/>
    </row>
    <row r="140" spans="5:8">
      <c r="E140" s="1"/>
      <c r="F140" s="1"/>
      <c r="G140" s="1"/>
      <c r="H140" s="1"/>
    </row>
    <row r="141" spans="5:8">
      <c r="E141" s="1"/>
      <c r="F141" s="1"/>
      <c r="G141" s="1"/>
      <c r="H141" s="1"/>
    </row>
    <row r="142" spans="5:8">
      <c r="E142" s="1"/>
      <c r="F142" s="1"/>
      <c r="G142" s="1"/>
      <c r="H142" s="1"/>
    </row>
    <row r="143" spans="5:8">
      <c r="E143" s="1"/>
      <c r="F143" s="1"/>
      <c r="G143" s="1"/>
      <c r="H143" s="1"/>
    </row>
    <row r="144" spans="5:8">
      <c r="E144" s="1"/>
      <c r="F144" s="1"/>
      <c r="G144" s="1"/>
      <c r="H144" s="1"/>
    </row>
    <row r="145" spans="5:8">
      <c r="E145" s="1"/>
      <c r="F145" s="1"/>
      <c r="G145" s="1"/>
      <c r="H145" s="1"/>
    </row>
    <row r="146" spans="5:8">
      <c r="E146" s="1"/>
      <c r="F146" s="1"/>
      <c r="G146" s="1"/>
      <c r="H146" s="1"/>
    </row>
    <row r="147" spans="5:8">
      <c r="E147" s="1"/>
      <c r="F147" s="1"/>
      <c r="G147" s="1"/>
      <c r="H147" s="1"/>
    </row>
    <row r="148" spans="5:8">
      <c r="E148" s="1"/>
      <c r="F148" s="1"/>
      <c r="G148" s="1"/>
      <c r="H148" s="1"/>
    </row>
    <row r="149" spans="5:8">
      <c r="E149" s="1"/>
      <c r="F149" s="1"/>
      <c r="G149" s="1"/>
      <c r="H149" s="1"/>
    </row>
    <row r="150" spans="5:8">
      <c r="E150" s="1"/>
      <c r="F150" s="1"/>
      <c r="G150" s="1"/>
      <c r="H150" s="1"/>
    </row>
    <row r="151" spans="5:8">
      <c r="E151" s="1"/>
      <c r="F151" s="1"/>
      <c r="G151" s="1"/>
      <c r="H151" s="1"/>
    </row>
    <row r="152" spans="5:8">
      <c r="E152" s="1"/>
      <c r="F152" s="1"/>
      <c r="G152" s="1"/>
      <c r="H152" s="1"/>
    </row>
    <row r="153" spans="5:8">
      <c r="E153" s="1"/>
      <c r="F153" s="1"/>
      <c r="G153" s="1"/>
      <c r="H153" s="1"/>
    </row>
    <row r="154" spans="5:8">
      <c r="E154" s="1"/>
      <c r="F154" s="1"/>
      <c r="G154" s="1"/>
      <c r="H154" s="1"/>
    </row>
    <row r="155" spans="5:8">
      <c r="E155" s="1"/>
      <c r="F155" s="1"/>
      <c r="G155" s="1"/>
      <c r="H155" s="1"/>
    </row>
    <row r="156" spans="5:8">
      <c r="E156" s="1"/>
      <c r="F156" s="1"/>
      <c r="G156" s="1"/>
      <c r="H156" s="1"/>
    </row>
  </sheetData>
  <mergeCells count="8">
    <mergeCell ref="A2:H2"/>
    <mergeCell ref="A27:A32"/>
    <mergeCell ref="A34:A37"/>
    <mergeCell ref="A4:C4"/>
    <mergeCell ref="A5:A9"/>
    <mergeCell ref="A11:A15"/>
    <mergeCell ref="A17:A20"/>
    <mergeCell ref="A22:A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POA</vt:lpstr>
      <vt:lpstr>Incentivo Modular - Alianzas</vt:lpstr>
      <vt:lpstr>Regionalización 37</vt:lpstr>
      <vt:lpstr>Seguimiento y Monitoreo</vt:lpstr>
      <vt:lpstr>Contratación EIP</vt:lpstr>
      <vt:lpstr>Viaticos</vt:lpstr>
    </vt:vector>
  </TitlesOfParts>
  <Manager/>
  <Company>Hewlett-Packard Company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Angelica Melissa Carvajal Infante</dc:creator>
  <cp:keywords/>
  <dc:description/>
  <cp:lastModifiedBy>pc</cp:lastModifiedBy>
  <cp:revision/>
  <cp:lastPrinted>2020-03-06T16:35:37Z</cp:lastPrinted>
  <dcterms:created xsi:type="dcterms:W3CDTF">2020-02-19T15:24:05Z</dcterms:created>
  <dcterms:modified xsi:type="dcterms:W3CDTF">2020-08-18T13:51:33Z</dcterms:modified>
  <cp:category/>
  <cp:contentStatus/>
</cp:coreProperties>
</file>