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D:\archivos PLANTAS\"/>
    </mc:Choice>
  </mc:AlternateContent>
  <xr:revisionPtr revIDLastSave="0" documentId="8_{81EFC56C-23A7-4D0E-8DCF-DF5EAFAE282D}" xr6:coauthVersionLast="45" xr6:coauthVersionMax="45" xr10:uidLastSave="{00000000-0000-0000-0000-000000000000}"/>
  <bookViews>
    <workbookView xWindow="-108" yWindow="-108" windowWidth="23256" windowHeight="12576" xr2:uid="{00000000-000D-0000-FFFF-FFFF00000000}"/>
  </bookViews>
  <sheets>
    <sheet name="Ppto PLANTAS ELECTRICAS " sheetId="1" r:id="rId1"/>
    <sheet name="Especificaciones TECNICAS " sheetId="2" r:id="rId2"/>
    <sheet name="Especificaciones " sheetId="3" r:id="rId3"/>
    <sheet name="COTIZACION 1" sheetId="4" state="hidden" r:id="rId4"/>
    <sheet name="COTIZACION 2" sheetId="5" state="hidden" r:id="rId5"/>
    <sheet name="PROMEDIO" sheetId="6" state="hidden" r:id="rId6"/>
    <sheet name="A.P.U." sheetId="7" state="hidden" r:id="rId7"/>
    <sheet name="A.P.U.2" sheetId="8" state="hidden" r:id="rId8"/>
  </sheets>
  <externalReferences>
    <externalReference r:id="rId9"/>
  </externalReferences>
  <definedNames>
    <definedName name="_Hlk32324144" localSheetId="0">'Ppto PLANTAS ELECTRICAS '!$C$59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9" i="1" l="1"/>
  <c r="G36" i="1" l="1"/>
  <c r="G35" i="1"/>
  <c r="G34" i="1"/>
  <c r="G33" i="1"/>
  <c r="G32" i="1"/>
  <c r="G31" i="1"/>
  <c r="G30" i="1"/>
  <c r="G29" i="1"/>
  <c r="G28" i="1"/>
  <c r="G27" i="1"/>
  <c r="G26" i="1"/>
  <c r="G25" i="1"/>
  <c r="G24" i="1"/>
  <c r="G23" i="1"/>
  <c r="G22" i="1"/>
  <c r="G21" i="1"/>
  <c r="F120" i="8" l="1"/>
  <c r="D120" i="8"/>
  <c r="G120" i="8" s="1"/>
  <c r="G121" i="8" s="1"/>
  <c r="C120" i="8"/>
  <c r="B120" i="8"/>
  <c r="G117" i="8"/>
  <c r="F117" i="8"/>
  <c r="E117" i="8"/>
  <c r="D117" i="8"/>
  <c r="B117" i="8"/>
  <c r="F116" i="8"/>
  <c r="E116" i="8"/>
  <c r="D116" i="8"/>
  <c r="G116" i="8" s="1"/>
  <c r="B116" i="8"/>
  <c r="F111" i="8"/>
  <c r="D111" i="8"/>
  <c r="C111" i="8"/>
  <c r="B111" i="8"/>
  <c r="F109" i="8"/>
  <c r="E109" i="8"/>
  <c r="D109" i="8"/>
  <c r="G109" i="8" s="1"/>
  <c r="B109" i="8"/>
  <c r="F104" i="8"/>
  <c r="G104" i="8" s="1"/>
  <c r="G105" i="8" s="1"/>
  <c r="B104" i="8"/>
  <c r="G100" i="8"/>
  <c r="E100" i="8"/>
  <c r="F99" i="8"/>
  <c r="G99" i="8" s="1"/>
  <c r="E99" i="8"/>
  <c r="B99" i="8"/>
  <c r="F98" i="8"/>
  <c r="G98" i="8" s="1"/>
  <c r="G101" i="8" s="1"/>
  <c r="E98" i="8"/>
  <c r="B98" i="8"/>
  <c r="F91" i="8"/>
  <c r="E91" i="8"/>
  <c r="D91" i="8"/>
  <c r="C91" i="8"/>
  <c r="B91" i="8"/>
  <c r="G88" i="8"/>
  <c r="G89" i="8" s="1"/>
  <c r="E88" i="8"/>
  <c r="G86" i="8"/>
  <c r="E86" i="8"/>
  <c r="B86" i="8"/>
  <c r="F85" i="8"/>
  <c r="G85" i="8" s="1"/>
  <c r="E85" i="8"/>
  <c r="B85" i="8"/>
  <c r="F84" i="8"/>
  <c r="G84" i="8" s="1"/>
  <c r="G87" i="8" s="1"/>
  <c r="E84" i="8"/>
  <c r="B84" i="8"/>
  <c r="F77" i="8"/>
  <c r="G76" i="8"/>
  <c r="F76" i="8"/>
  <c r="G74" i="8"/>
  <c r="G73" i="8"/>
  <c r="E73" i="8"/>
  <c r="G71" i="8"/>
  <c r="E71" i="8"/>
  <c r="G70" i="8"/>
  <c r="E70" i="8"/>
  <c r="G69" i="8"/>
  <c r="E69" i="8"/>
  <c r="G68" i="8"/>
  <c r="E68" i="8"/>
  <c r="G67" i="8"/>
  <c r="E67" i="8"/>
  <c r="G66" i="8"/>
  <c r="G72" i="8" s="1"/>
  <c r="G61" i="8" s="1"/>
  <c r="E66" i="8"/>
  <c r="G65" i="8"/>
  <c r="E65" i="8"/>
  <c r="G64" i="8"/>
  <c r="E64" i="8"/>
  <c r="F53" i="8"/>
  <c r="F52" i="8"/>
  <c r="G52" i="8" s="1"/>
  <c r="G50" i="8"/>
  <c r="G49" i="8"/>
  <c r="G47" i="8"/>
  <c r="G46" i="8"/>
  <c r="G45" i="8"/>
  <c r="G44" i="8"/>
  <c r="G43" i="8"/>
  <c r="G42" i="8"/>
  <c r="G41" i="8"/>
  <c r="G40" i="8"/>
  <c r="G39" i="8"/>
  <c r="F28" i="8"/>
  <c r="G27" i="8"/>
  <c r="F27" i="8"/>
  <c r="F24" i="8"/>
  <c r="E24" i="8"/>
  <c r="D24" i="8"/>
  <c r="G24" i="8" s="1"/>
  <c r="G25" i="8" s="1"/>
  <c r="G21" i="8"/>
  <c r="E21" i="8"/>
  <c r="G20" i="8"/>
  <c r="E20" i="8"/>
  <c r="G19" i="8"/>
  <c r="E19" i="8"/>
  <c r="G18" i="8"/>
  <c r="E18" i="8"/>
  <c r="G17" i="8"/>
  <c r="E17" i="8"/>
  <c r="G16" i="8"/>
  <c r="E16" i="8"/>
  <c r="G15" i="8"/>
  <c r="E15" i="8"/>
  <c r="G14" i="8"/>
  <c r="G22" i="8" s="1"/>
  <c r="G1599" i="7"/>
  <c r="H1598" i="7" s="1"/>
  <c r="E1599" i="7"/>
  <c r="G1598" i="7"/>
  <c r="E1598" i="7"/>
  <c r="F1594" i="7"/>
  <c r="E1594" i="7"/>
  <c r="D1594" i="7"/>
  <c r="C1594" i="7"/>
  <c r="F1590" i="7"/>
  <c r="E1590" i="7"/>
  <c r="G1590" i="7" s="1"/>
  <c r="F1589" i="7"/>
  <c r="E1589" i="7"/>
  <c r="G1589" i="7" s="1"/>
  <c r="F1588" i="7"/>
  <c r="E1588" i="7"/>
  <c r="F1587" i="7"/>
  <c r="E1587" i="7"/>
  <c r="F1586" i="7"/>
  <c r="G1586" i="7" s="1"/>
  <c r="F1585" i="7"/>
  <c r="G1585" i="7" s="1"/>
  <c r="E1585" i="7"/>
  <c r="G1584" i="7"/>
  <c r="F1584" i="7"/>
  <c r="E1584" i="7"/>
  <c r="F1580" i="7"/>
  <c r="G1580" i="7" s="1"/>
  <c r="E1580" i="7"/>
  <c r="F1579" i="7"/>
  <c r="E1579" i="7"/>
  <c r="F1578" i="7"/>
  <c r="E1578" i="7"/>
  <c r="F1577" i="7"/>
  <c r="E1577" i="7"/>
  <c r="G1577" i="7" s="1"/>
  <c r="E1563" i="7"/>
  <c r="G1563" i="7" s="1"/>
  <c r="E1562" i="7"/>
  <c r="G1562" i="7" s="1"/>
  <c r="H1562" i="7" s="1"/>
  <c r="F1558" i="7"/>
  <c r="E1558" i="7"/>
  <c r="D1558" i="7"/>
  <c r="C1558" i="7"/>
  <c r="F1554" i="7"/>
  <c r="E1554" i="7"/>
  <c r="F1553" i="7"/>
  <c r="E1553" i="7"/>
  <c r="F1552" i="7"/>
  <c r="E1552" i="7"/>
  <c r="G1552" i="7" s="1"/>
  <c r="F1551" i="7"/>
  <c r="E1551" i="7"/>
  <c r="G1551" i="7" s="1"/>
  <c r="F1547" i="7"/>
  <c r="E1547" i="7"/>
  <c r="G1547" i="7" s="1"/>
  <c r="F1546" i="7"/>
  <c r="E1546" i="7"/>
  <c r="F1545" i="7"/>
  <c r="E1545" i="7"/>
  <c r="G1545" i="7" s="1"/>
  <c r="F1544" i="7"/>
  <c r="G1544" i="7" s="1"/>
  <c r="E1544" i="7"/>
  <c r="F1531" i="7"/>
  <c r="E1531" i="7"/>
  <c r="F1530" i="7"/>
  <c r="E1530" i="7"/>
  <c r="G1530" i="7" s="1"/>
  <c r="F1526" i="7"/>
  <c r="E1526" i="7"/>
  <c r="G1526" i="7" s="1"/>
  <c r="H1526" i="7" s="1"/>
  <c r="D1526" i="7"/>
  <c r="C1526" i="7"/>
  <c r="F1522" i="7"/>
  <c r="G1522" i="7" s="1"/>
  <c r="H1522" i="7" s="1"/>
  <c r="E1522" i="7"/>
  <c r="F1518" i="7"/>
  <c r="E1518" i="7"/>
  <c r="G1518" i="7" s="1"/>
  <c r="F1517" i="7"/>
  <c r="G1517" i="7" s="1"/>
  <c r="E1517" i="7"/>
  <c r="F1516" i="7"/>
  <c r="E1516" i="7"/>
  <c r="F1515" i="7"/>
  <c r="E1515" i="7"/>
  <c r="F1503" i="7"/>
  <c r="E1503" i="7"/>
  <c r="F1502" i="7"/>
  <c r="E1502" i="7"/>
  <c r="F1498" i="7"/>
  <c r="E1498" i="7"/>
  <c r="D1498" i="7"/>
  <c r="C1498" i="7"/>
  <c r="G1494" i="7"/>
  <c r="F1494" i="7"/>
  <c r="G1493" i="7"/>
  <c r="F1493" i="7"/>
  <c r="F1492" i="7"/>
  <c r="E1492" i="7"/>
  <c r="F1491" i="7"/>
  <c r="E1491" i="7"/>
  <c r="G1490" i="7"/>
  <c r="F1490" i="7"/>
  <c r="E1490" i="7"/>
  <c r="F1489" i="7"/>
  <c r="G1489" i="7" s="1"/>
  <c r="F1488" i="7"/>
  <c r="E1488" i="7"/>
  <c r="G1488" i="7" s="1"/>
  <c r="F1484" i="7"/>
  <c r="E1484" i="7"/>
  <c r="F1483" i="7"/>
  <c r="E1483" i="7"/>
  <c r="F1482" i="7"/>
  <c r="G1482" i="7" s="1"/>
  <c r="E1482" i="7"/>
  <c r="F1481" i="7"/>
  <c r="E1481" i="7"/>
  <c r="G1481" i="7" s="1"/>
  <c r="F1468" i="7"/>
  <c r="E1468" i="7"/>
  <c r="F1467" i="7"/>
  <c r="E1467" i="7"/>
  <c r="G1467" i="7" s="1"/>
  <c r="F1463" i="7"/>
  <c r="E1463" i="7"/>
  <c r="D1463" i="7"/>
  <c r="C1463" i="7"/>
  <c r="F1459" i="7"/>
  <c r="E1459" i="7"/>
  <c r="F1455" i="7"/>
  <c r="E1455" i="7"/>
  <c r="G1455" i="7" s="1"/>
  <c r="F1454" i="7"/>
  <c r="G1454" i="7" s="1"/>
  <c r="E1454" i="7"/>
  <c r="G1453" i="7"/>
  <c r="F1453" i="7"/>
  <c r="E1453" i="7"/>
  <c r="F1452" i="7"/>
  <c r="E1452" i="7"/>
  <c r="G1452" i="7" s="1"/>
  <c r="F1440" i="7"/>
  <c r="G1440" i="7" s="1"/>
  <c r="E1440" i="7"/>
  <c r="F1439" i="7"/>
  <c r="E1439" i="7"/>
  <c r="F1435" i="7"/>
  <c r="E1435" i="7"/>
  <c r="G1435" i="7" s="1"/>
  <c r="H1435" i="7" s="1"/>
  <c r="D1435" i="7"/>
  <c r="C1435" i="7"/>
  <c r="F1431" i="7"/>
  <c r="G1431" i="7" s="1"/>
  <c r="F1430" i="7"/>
  <c r="G1430" i="7" s="1"/>
  <c r="E1430" i="7"/>
  <c r="F1426" i="7"/>
  <c r="E1426" i="7"/>
  <c r="G1426" i="7" s="1"/>
  <c r="F1425" i="7"/>
  <c r="E1425" i="7"/>
  <c r="F1424" i="7"/>
  <c r="G1424" i="7" s="1"/>
  <c r="E1424" i="7"/>
  <c r="G1423" i="7"/>
  <c r="F1423" i="7"/>
  <c r="E1423" i="7"/>
  <c r="E1411" i="7"/>
  <c r="G1411" i="7" s="1"/>
  <c r="E1410" i="7"/>
  <c r="G1410" i="7" s="1"/>
  <c r="H1410" i="7" s="1"/>
  <c r="F1406" i="7"/>
  <c r="E1406" i="7"/>
  <c r="G1406" i="7" s="1"/>
  <c r="H1406" i="7" s="1"/>
  <c r="D1406" i="7"/>
  <c r="C1406" i="7"/>
  <c r="F1402" i="7"/>
  <c r="E1402" i="7"/>
  <c r="G1402" i="7" s="1"/>
  <c r="H1402" i="7" s="1"/>
  <c r="G1397" i="7"/>
  <c r="F1397" i="7"/>
  <c r="E1397" i="7"/>
  <c r="F1396" i="7"/>
  <c r="E1396" i="7"/>
  <c r="G1396" i="7" s="1"/>
  <c r="F1395" i="7"/>
  <c r="E1395" i="7"/>
  <c r="G1395" i="7" s="1"/>
  <c r="F1394" i="7"/>
  <c r="G1394" i="7" s="1"/>
  <c r="E1394" i="7"/>
  <c r="G1381" i="7"/>
  <c r="E1381" i="7"/>
  <c r="E1380" i="7"/>
  <c r="G1380" i="7" s="1"/>
  <c r="F1376" i="7"/>
  <c r="E1376" i="7"/>
  <c r="D1376" i="7"/>
  <c r="C1376" i="7"/>
  <c r="F1372" i="7"/>
  <c r="E1372" i="7"/>
  <c r="F1371" i="7"/>
  <c r="E1371" i="7"/>
  <c r="G1371" i="7" s="1"/>
  <c r="F1370" i="7"/>
  <c r="E1370" i="7"/>
  <c r="G1370" i="7" s="1"/>
  <c r="F1369" i="7"/>
  <c r="G1369" i="7" s="1"/>
  <c r="E1369" i="7"/>
  <c r="F1368" i="7"/>
  <c r="E1368" i="7"/>
  <c r="F1363" i="7"/>
  <c r="G1363" i="7" s="1"/>
  <c r="E1363" i="7"/>
  <c r="F1362" i="7"/>
  <c r="E1362" i="7"/>
  <c r="G1362" i="7" s="1"/>
  <c r="F1361" i="7"/>
  <c r="E1361" i="7"/>
  <c r="F1360" i="7"/>
  <c r="E1360" i="7"/>
  <c r="E1347" i="7"/>
  <c r="G1347" i="7" s="1"/>
  <c r="E1346" i="7"/>
  <c r="G1346" i="7" s="1"/>
  <c r="H1346" i="7" s="1"/>
  <c r="F1342" i="7"/>
  <c r="G1342" i="7" s="1"/>
  <c r="H1342" i="7" s="1"/>
  <c r="E1342" i="7"/>
  <c r="D1342" i="7"/>
  <c r="C1342" i="7"/>
  <c r="G1338" i="7"/>
  <c r="F1338" i="7"/>
  <c r="E1338" i="7"/>
  <c r="F1337" i="7"/>
  <c r="G1337" i="7" s="1"/>
  <c r="E1337" i="7"/>
  <c r="F1336" i="7"/>
  <c r="G1336" i="7" s="1"/>
  <c r="E1336" i="7"/>
  <c r="F1332" i="7"/>
  <c r="E1332" i="7"/>
  <c r="F1331" i="7"/>
  <c r="E1331" i="7"/>
  <c r="G1331" i="7" s="1"/>
  <c r="G1330" i="7"/>
  <c r="F1330" i="7"/>
  <c r="E1330" i="7"/>
  <c r="F1329" i="7"/>
  <c r="E1329" i="7"/>
  <c r="G1329" i="7" s="1"/>
  <c r="E1315" i="7"/>
  <c r="G1315" i="7" s="1"/>
  <c r="E1314" i="7"/>
  <c r="G1314" i="7" s="1"/>
  <c r="H1314" i="7" s="1"/>
  <c r="F1310" i="7"/>
  <c r="E1310" i="7"/>
  <c r="D1310" i="7"/>
  <c r="G1310" i="7" s="1"/>
  <c r="H1310" i="7" s="1"/>
  <c r="C1310" i="7"/>
  <c r="F1306" i="7"/>
  <c r="E1306" i="7"/>
  <c r="G1306" i="7" s="1"/>
  <c r="F1305" i="7"/>
  <c r="G1305" i="7" s="1"/>
  <c r="H1305" i="7" s="1"/>
  <c r="E1305" i="7"/>
  <c r="F1301" i="7"/>
  <c r="E1301" i="7"/>
  <c r="F1300" i="7"/>
  <c r="E1300" i="7"/>
  <c r="G1299" i="7"/>
  <c r="F1299" i="7"/>
  <c r="E1299" i="7"/>
  <c r="F1298" i="7"/>
  <c r="E1298" i="7"/>
  <c r="G1298" i="7" s="1"/>
  <c r="E1285" i="7"/>
  <c r="G1285" i="7" s="1"/>
  <c r="E1284" i="7"/>
  <c r="G1284" i="7" s="1"/>
  <c r="F1280" i="7"/>
  <c r="E1280" i="7"/>
  <c r="G1280" i="7" s="1"/>
  <c r="H1280" i="7" s="1"/>
  <c r="D1280" i="7"/>
  <c r="C1280" i="7"/>
  <c r="F1276" i="7"/>
  <c r="E1276" i="7"/>
  <c r="G1276" i="7" s="1"/>
  <c r="H1276" i="7" s="1"/>
  <c r="F1272" i="7"/>
  <c r="E1272" i="7"/>
  <c r="F1271" i="7"/>
  <c r="E1271" i="7"/>
  <c r="G1271" i="7" s="1"/>
  <c r="F1270" i="7"/>
  <c r="E1270" i="7"/>
  <c r="F1269" i="7"/>
  <c r="E1269" i="7"/>
  <c r="G1269" i="7" s="1"/>
  <c r="E1256" i="7"/>
  <c r="G1256" i="7" s="1"/>
  <c r="G1255" i="7"/>
  <c r="E1255" i="7"/>
  <c r="F1251" i="7"/>
  <c r="E1251" i="7"/>
  <c r="D1251" i="7"/>
  <c r="C1251" i="7"/>
  <c r="F1247" i="7"/>
  <c r="E1247" i="7"/>
  <c r="G1247" i="7" s="1"/>
  <c r="H1247" i="7" s="1"/>
  <c r="F1243" i="7"/>
  <c r="E1243" i="7"/>
  <c r="G1243" i="7" s="1"/>
  <c r="F1242" i="7"/>
  <c r="E1242" i="7"/>
  <c r="F1241" i="7"/>
  <c r="E1241" i="7"/>
  <c r="G1241" i="7" s="1"/>
  <c r="F1240" i="7"/>
  <c r="E1240" i="7"/>
  <c r="G1240" i="7" s="1"/>
  <c r="E1227" i="7"/>
  <c r="G1227" i="7" s="1"/>
  <c r="E1226" i="7"/>
  <c r="G1226" i="7" s="1"/>
  <c r="H1226" i="7" s="1"/>
  <c r="F1222" i="7"/>
  <c r="E1222" i="7"/>
  <c r="G1222" i="7" s="1"/>
  <c r="H1222" i="7" s="1"/>
  <c r="D1222" i="7"/>
  <c r="C1222" i="7"/>
  <c r="F1218" i="7"/>
  <c r="E1218" i="7"/>
  <c r="G1217" i="7"/>
  <c r="F1217" i="7"/>
  <c r="E1217" i="7"/>
  <c r="F1216" i="7"/>
  <c r="E1216" i="7"/>
  <c r="G1216" i="7" s="1"/>
  <c r="F1212" i="7"/>
  <c r="E1212" i="7"/>
  <c r="F1211" i="7"/>
  <c r="E1211" i="7"/>
  <c r="G1211" i="7" s="1"/>
  <c r="F1210" i="7"/>
  <c r="E1210" i="7"/>
  <c r="G1210" i="7" s="1"/>
  <c r="F1209" i="7"/>
  <c r="E1209" i="7"/>
  <c r="G1209" i="7" s="1"/>
  <c r="E1196" i="7"/>
  <c r="G1196" i="7" s="1"/>
  <c r="G1195" i="7"/>
  <c r="H1195" i="7" s="1"/>
  <c r="E1195" i="7"/>
  <c r="F1191" i="7"/>
  <c r="E1191" i="7"/>
  <c r="D1191" i="7"/>
  <c r="C1191" i="7"/>
  <c r="F1187" i="7"/>
  <c r="E1187" i="7"/>
  <c r="G1187" i="7" s="1"/>
  <c r="F1186" i="7"/>
  <c r="G1186" i="7" s="1"/>
  <c r="E1186" i="7"/>
  <c r="F1185" i="7"/>
  <c r="G1185" i="7" s="1"/>
  <c r="E1185" i="7"/>
  <c r="F1181" i="7"/>
  <c r="E1181" i="7"/>
  <c r="G1181" i="7" s="1"/>
  <c r="F1180" i="7"/>
  <c r="E1180" i="7"/>
  <c r="G1179" i="7"/>
  <c r="F1179" i="7"/>
  <c r="E1179" i="7"/>
  <c r="F1178" i="7"/>
  <c r="E1178" i="7"/>
  <c r="G1178" i="7" s="1"/>
  <c r="E1165" i="7"/>
  <c r="G1165" i="7" s="1"/>
  <c r="G1164" i="7"/>
  <c r="H1160" i="7"/>
  <c r="G1160" i="7"/>
  <c r="G1156" i="7"/>
  <c r="G1155" i="7"/>
  <c r="G1154" i="7"/>
  <c r="G1153" i="7"/>
  <c r="G1152" i="7"/>
  <c r="G1148" i="7"/>
  <c r="G1147" i="7"/>
  <c r="G1146" i="7"/>
  <c r="G1145" i="7"/>
  <c r="G1134" i="7"/>
  <c r="G1133" i="7"/>
  <c r="H1133" i="7" s="1"/>
  <c r="G1125" i="7"/>
  <c r="G1124" i="7"/>
  <c r="G1123" i="7"/>
  <c r="G1122" i="7"/>
  <c r="G1121" i="7"/>
  <c r="G1117" i="7"/>
  <c r="G1116" i="7"/>
  <c r="G1115" i="7"/>
  <c r="G1114" i="7"/>
  <c r="G1099" i="7"/>
  <c r="G1098" i="7"/>
  <c r="H1098" i="7" s="1"/>
  <c r="G1082" i="7"/>
  <c r="G1081" i="7"/>
  <c r="G1080" i="7"/>
  <c r="E1067" i="7"/>
  <c r="G1067" i="7" s="1"/>
  <c r="G1066" i="7"/>
  <c r="H1066" i="7" s="1"/>
  <c r="G1062" i="7"/>
  <c r="H1062" i="7" s="1"/>
  <c r="G1058" i="7"/>
  <c r="G1057" i="7"/>
  <c r="H1054" i="7" s="1"/>
  <c r="G1056" i="7"/>
  <c r="G1055" i="7"/>
  <c r="G1054" i="7"/>
  <c r="A1054" i="7"/>
  <c r="G1050" i="7"/>
  <c r="F1049" i="7"/>
  <c r="G1049" i="7" s="1"/>
  <c r="E1049" i="7"/>
  <c r="G1048" i="7"/>
  <c r="G1047" i="7"/>
  <c r="H1047" i="7" s="1"/>
  <c r="E1034" i="7"/>
  <c r="G1034" i="7" s="1"/>
  <c r="H1033" i="7" s="1"/>
  <c r="G1033" i="7"/>
  <c r="G1025" i="7"/>
  <c r="G1024" i="7"/>
  <c r="G1023" i="7"/>
  <c r="H1021" i="7" s="1"/>
  <c r="G1022" i="7"/>
  <c r="G1021" i="7"/>
  <c r="G1017" i="7"/>
  <c r="F1016" i="7"/>
  <c r="G1016" i="7" s="1"/>
  <c r="E1016" i="7"/>
  <c r="G1015" i="7"/>
  <c r="G1014" i="7"/>
  <c r="F1001" i="7"/>
  <c r="E1001" i="7"/>
  <c r="F1000" i="7"/>
  <c r="E1000" i="7"/>
  <c r="G1000" i="7" s="1"/>
  <c r="F996" i="7"/>
  <c r="E996" i="7"/>
  <c r="D996" i="7"/>
  <c r="C996" i="7"/>
  <c r="F992" i="7"/>
  <c r="E992" i="7"/>
  <c r="F991" i="7"/>
  <c r="E991" i="7"/>
  <c r="F990" i="7"/>
  <c r="E990" i="7"/>
  <c r="F989" i="7"/>
  <c r="E989" i="7"/>
  <c r="G989" i="7" s="1"/>
  <c r="F988" i="7"/>
  <c r="E988" i="7"/>
  <c r="G988" i="7" s="1"/>
  <c r="F987" i="7"/>
  <c r="G987" i="7" s="1"/>
  <c r="E987" i="7"/>
  <c r="F986" i="7"/>
  <c r="E986" i="7"/>
  <c r="F985" i="7"/>
  <c r="E985" i="7"/>
  <c r="G985" i="7" s="1"/>
  <c r="F984" i="7"/>
  <c r="E984" i="7"/>
  <c r="F980" i="7"/>
  <c r="E980" i="7"/>
  <c r="F979" i="7"/>
  <c r="G979" i="7" s="1"/>
  <c r="E979" i="7"/>
  <c r="F978" i="7"/>
  <c r="E978" i="7"/>
  <c r="G977" i="7"/>
  <c r="F977" i="7"/>
  <c r="E977" i="7"/>
  <c r="I974" i="7"/>
  <c r="G964" i="7"/>
  <c r="F964" i="7"/>
  <c r="E964" i="7"/>
  <c r="F963" i="7"/>
  <c r="E963" i="7"/>
  <c r="F959" i="7"/>
  <c r="E959" i="7"/>
  <c r="D959" i="7"/>
  <c r="G959" i="7" s="1"/>
  <c r="H959" i="7" s="1"/>
  <c r="C959" i="7"/>
  <c r="F955" i="7"/>
  <c r="E955" i="7"/>
  <c r="G955" i="7" s="1"/>
  <c r="F954" i="7"/>
  <c r="G954" i="7" s="1"/>
  <c r="E954" i="7"/>
  <c r="G953" i="7"/>
  <c r="F952" i="7"/>
  <c r="E952" i="7"/>
  <c r="F951" i="7"/>
  <c r="E951" i="7"/>
  <c r="F950" i="7"/>
  <c r="G950" i="7" s="1"/>
  <c r="E950" i="7"/>
  <c r="F946" i="7"/>
  <c r="E946" i="7"/>
  <c r="F945" i="7"/>
  <c r="E945" i="7"/>
  <c r="G945" i="7" s="1"/>
  <c r="F944" i="7"/>
  <c r="G944" i="7" s="1"/>
  <c r="E944" i="7"/>
  <c r="G943" i="7"/>
  <c r="F943" i="7"/>
  <c r="E943" i="7"/>
  <c r="F932" i="7"/>
  <c r="E932" i="7"/>
  <c r="F931" i="7"/>
  <c r="G931" i="7" s="1"/>
  <c r="E931" i="7"/>
  <c r="G927" i="7"/>
  <c r="H927" i="7" s="1"/>
  <c r="F927" i="7"/>
  <c r="E927" i="7"/>
  <c r="D927" i="7"/>
  <c r="C927" i="7"/>
  <c r="F923" i="7"/>
  <c r="E923" i="7"/>
  <c r="G923" i="7" s="1"/>
  <c r="F922" i="7"/>
  <c r="G922" i="7" s="1"/>
  <c r="H922" i="7" s="1"/>
  <c r="E922" i="7"/>
  <c r="G918" i="7"/>
  <c r="F918" i="7"/>
  <c r="E918" i="7"/>
  <c r="F917" i="7"/>
  <c r="E917" i="7"/>
  <c r="G917" i="7" s="1"/>
  <c r="F916" i="7"/>
  <c r="E916" i="7"/>
  <c r="G916" i="7" s="1"/>
  <c r="F915" i="7"/>
  <c r="E915" i="7"/>
  <c r="G915" i="7" s="1"/>
  <c r="F902" i="7"/>
  <c r="E902" i="7"/>
  <c r="G902" i="7" s="1"/>
  <c r="F901" i="7"/>
  <c r="E901" i="7"/>
  <c r="F897" i="7"/>
  <c r="E897" i="7"/>
  <c r="D897" i="7"/>
  <c r="C897" i="7"/>
  <c r="G893" i="7"/>
  <c r="F892" i="7"/>
  <c r="G892" i="7" s="1"/>
  <c r="E892" i="7"/>
  <c r="F891" i="7"/>
  <c r="E891" i="7"/>
  <c r="G890" i="7"/>
  <c r="F890" i="7"/>
  <c r="E890" i="7"/>
  <c r="F886" i="7"/>
  <c r="E886" i="7"/>
  <c r="G886" i="7" s="1"/>
  <c r="F885" i="7"/>
  <c r="E885" i="7"/>
  <c r="G885" i="7" s="1"/>
  <c r="F884" i="7"/>
  <c r="E884" i="7"/>
  <c r="F883" i="7"/>
  <c r="E883" i="7"/>
  <c r="G883" i="7" s="1"/>
  <c r="F869" i="7"/>
  <c r="G869" i="7" s="1"/>
  <c r="E869" i="7"/>
  <c r="G868" i="7"/>
  <c r="F868" i="7"/>
  <c r="E868" i="7"/>
  <c r="F864" i="7"/>
  <c r="E864" i="7"/>
  <c r="G864" i="7" s="1"/>
  <c r="H864" i="7" s="1"/>
  <c r="D864" i="7"/>
  <c r="C864" i="7"/>
  <c r="F860" i="7"/>
  <c r="E860" i="7"/>
  <c r="F859" i="7"/>
  <c r="G859" i="7" s="1"/>
  <c r="E859" i="7"/>
  <c r="F858" i="7"/>
  <c r="E858" i="7"/>
  <c r="G858" i="7" s="1"/>
  <c r="F854" i="7"/>
  <c r="E854" i="7"/>
  <c r="F853" i="7"/>
  <c r="E853" i="7"/>
  <c r="G853" i="7" s="1"/>
  <c r="F852" i="7"/>
  <c r="E852" i="7"/>
  <c r="G852" i="7" s="1"/>
  <c r="G851" i="7"/>
  <c r="F851" i="7"/>
  <c r="E851" i="7"/>
  <c r="F839" i="7"/>
  <c r="E839" i="7"/>
  <c r="G839" i="7" s="1"/>
  <c r="F838" i="7"/>
  <c r="E838" i="7"/>
  <c r="G838" i="7" s="1"/>
  <c r="H838" i="7" s="1"/>
  <c r="F834" i="7"/>
  <c r="E834" i="7"/>
  <c r="D834" i="7"/>
  <c r="G834" i="7" s="1"/>
  <c r="H834" i="7" s="1"/>
  <c r="C834" i="7"/>
  <c r="F830" i="7"/>
  <c r="E830" i="7"/>
  <c r="G830" i="7" s="1"/>
  <c r="F829" i="7"/>
  <c r="E829" i="7"/>
  <c r="G828" i="7"/>
  <c r="F828" i="7"/>
  <c r="E828" i="7"/>
  <c r="F824" i="7"/>
  <c r="E824" i="7"/>
  <c r="G824" i="7" s="1"/>
  <c r="G823" i="7"/>
  <c r="F823" i="7"/>
  <c r="E823" i="7"/>
  <c r="F822" i="7"/>
  <c r="E822" i="7"/>
  <c r="G822" i="7" s="1"/>
  <c r="F821" i="7"/>
  <c r="E821" i="7"/>
  <c r="G821" i="7" s="1"/>
  <c r="F810" i="7"/>
  <c r="E810" i="7"/>
  <c r="F809" i="7"/>
  <c r="E809" i="7"/>
  <c r="F804" i="7"/>
  <c r="E804" i="7"/>
  <c r="D804" i="7"/>
  <c r="C804" i="7"/>
  <c r="F800" i="7"/>
  <c r="G800" i="7" s="1"/>
  <c r="H800" i="7" s="1"/>
  <c r="E800" i="7"/>
  <c r="F796" i="7"/>
  <c r="E796" i="7"/>
  <c r="F795" i="7"/>
  <c r="E795" i="7"/>
  <c r="F794" i="7"/>
  <c r="E794" i="7"/>
  <c r="G794" i="7" s="1"/>
  <c r="F793" i="7"/>
  <c r="G793" i="7" s="1"/>
  <c r="E793" i="7"/>
  <c r="G780" i="7"/>
  <c r="F780" i="7"/>
  <c r="E780" i="7"/>
  <c r="F779" i="7"/>
  <c r="G779" i="7" s="1"/>
  <c r="H779" i="7" s="1"/>
  <c r="E779" i="7"/>
  <c r="G775" i="7"/>
  <c r="H775" i="7" s="1"/>
  <c r="F775" i="7"/>
  <c r="E775" i="7"/>
  <c r="D775" i="7"/>
  <c r="C775" i="7"/>
  <c r="F771" i="7"/>
  <c r="E771" i="7"/>
  <c r="F770" i="7"/>
  <c r="E770" i="7"/>
  <c r="G770" i="7" s="1"/>
  <c r="F766" i="7"/>
  <c r="E766" i="7"/>
  <c r="G766" i="7" s="1"/>
  <c r="F765" i="7"/>
  <c r="E765" i="7"/>
  <c r="G765" i="7" s="1"/>
  <c r="F764" i="7"/>
  <c r="E764" i="7"/>
  <c r="F763" i="7"/>
  <c r="G763" i="7" s="1"/>
  <c r="E763" i="7"/>
  <c r="F749" i="7"/>
  <c r="E749" i="7"/>
  <c r="F748" i="7"/>
  <c r="G748" i="7" s="1"/>
  <c r="E748" i="7"/>
  <c r="F744" i="7"/>
  <c r="E744" i="7"/>
  <c r="D744" i="7"/>
  <c r="C744" i="7"/>
  <c r="F740" i="7"/>
  <c r="E740" i="7"/>
  <c r="G740" i="7" s="1"/>
  <c r="H740" i="7" s="1"/>
  <c r="F736" i="7"/>
  <c r="G736" i="7" s="1"/>
  <c r="E736" i="7"/>
  <c r="G735" i="7"/>
  <c r="F735" i="7"/>
  <c r="E735" i="7"/>
  <c r="F734" i="7"/>
  <c r="E734" i="7"/>
  <c r="G734" i="7" s="1"/>
  <c r="F733" i="7"/>
  <c r="E733" i="7"/>
  <c r="F720" i="7"/>
  <c r="E720" i="7"/>
  <c r="F719" i="7"/>
  <c r="E719" i="7"/>
  <c r="G719" i="7" s="1"/>
  <c r="F715" i="7"/>
  <c r="E715" i="7"/>
  <c r="D715" i="7"/>
  <c r="C715" i="7"/>
  <c r="F711" i="7"/>
  <c r="G711" i="7" s="1"/>
  <c r="H711" i="7" s="1"/>
  <c r="E711" i="7"/>
  <c r="F707" i="7"/>
  <c r="E707" i="7"/>
  <c r="G707" i="7" s="1"/>
  <c r="F706" i="7"/>
  <c r="E706" i="7"/>
  <c r="G705" i="7"/>
  <c r="F705" i="7"/>
  <c r="E705" i="7"/>
  <c r="F704" i="7"/>
  <c r="E704" i="7"/>
  <c r="G704" i="7" s="1"/>
  <c r="G691" i="7"/>
  <c r="F691" i="7"/>
  <c r="E691" i="7"/>
  <c r="F690" i="7"/>
  <c r="E690" i="7"/>
  <c r="G690" i="7" s="1"/>
  <c r="H690" i="7" s="1"/>
  <c r="F686" i="7"/>
  <c r="E686" i="7"/>
  <c r="G686" i="7" s="1"/>
  <c r="H686" i="7" s="1"/>
  <c r="D686" i="7"/>
  <c r="C686" i="7"/>
  <c r="G682" i="7"/>
  <c r="F681" i="7"/>
  <c r="E681" i="7"/>
  <c r="G680" i="7"/>
  <c r="F676" i="7"/>
  <c r="G676" i="7" s="1"/>
  <c r="E676" i="7"/>
  <c r="G675" i="7"/>
  <c r="F675" i="7"/>
  <c r="E675" i="7"/>
  <c r="F674" i="7"/>
  <c r="E674" i="7"/>
  <c r="G674" i="7" s="1"/>
  <c r="F673" i="7"/>
  <c r="E673" i="7"/>
  <c r="F659" i="7"/>
  <c r="E659" i="7"/>
  <c r="F658" i="7"/>
  <c r="E658" i="7"/>
  <c r="F654" i="7"/>
  <c r="E654" i="7"/>
  <c r="D654" i="7"/>
  <c r="C654" i="7"/>
  <c r="F650" i="7"/>
  <c r="E650" i="7"/>
  <c r="F649" i="7"/>
  <c r="E649" i="7"/>
  <c r="F645" i="7"/>
  <c r="E645" i="7"/>
  <c r="G644" i="7"/>
  <c r="F644" i="7"/>
  <c r="E644" i="7"/>
  <c r="F643" i="7"/>
  <c r="E643" i="7"/>
  <c r="G643" i="7" s="1"/>
  <c r="F642" i="7"/>
  <c r="E642" i="7"/>
  <c r="F629" i="7"/>
  <c r="G629" i="7" s="1"/>
  <c r="E629" i="7"/>
  <c r="G628" i="7"/>
  <c r="F628" i="7"/>
  <c r="E628" i="7"/>
  <c r="F624" i="7"/>
  <c r="E624" i="7"/>
  <c r="G624" i="7" s="1"/>
  <c r="H624" i="7" s="1"/>
  <c r="D624" i="7"/>
  <c r="C624" i="7"/>
  <c r="G620" i="7"/>
  <c r="F620" i="7"/>
  <c r="F619" i="7"/>
  <c r="E619" i="7"/>
  <c r="F618" i="7"/>
  <c r="E618" i="7"/>
  <c r="G618" i="7" s="1"/>
  <c r="F614" i="7"/>
  <c r="E614" i="7"/>
  <c r="F613" i="7"/>
  <c r="E613" i="7"/>
  <c r="F612" i="7"/>
  <c r="G612" i="7" s="1"/>
  <c r="E612" i="7"/>
  <c r="F611" i="7"/>
  <c r="E611" i="7"/>
  <c r="G598" i="7"/>
  <c r="E598" i="7"/>
  <c r="F597" i="7"/>
  <c r="E597" i="7"/>
  <c r="F593" i="7"/>
  <c r="E593" i="7"/>
  <c r="D593" i="7"/>
  <c r="C593" i="7"/>
  <c r="F588" i="7"/>
  <c r="G588" i="7" s="1"/>
  <c r="H587" i="7" s="1"/>
  <c r="E588" i="7"/>
  <c r="G583" i="7"/>
  <c r="F583" i="7"/>
  <c r="E583" i="7"/>
  <c r="F582" i="7"/>
  <c r="E582" i="7"/>
  <c r="F581" i="7"/>
  <c r="E581" i="7"/>
  <c r="F580" i="7"/>
  <c r="G580" i="7" s="1"/>
  <c r="E580" i="7"/>
  <c r="F567" i="7"/>
  <c r="E567" i="7"/>
  <c r="F566" i="7"/>
  <c r="E566" i="7"/>
  <c r="G566" i="7" s="1"/>
  <c r="F562" i="7"/>
  <c r="E562" i="7"/>
  <c r="D562" i="7"/>
  <c r="C562" i="7"/>
  <c r="F558" i="7"/>
  <c r="E558" i="7"/>
  <c r="G558" i="7" s="1"/>
  <c r="F557" i="7"/>
  <c r="E557" i="7"/>
  <c r="G557" i="7" s="1"/>
  <c r="F556" i="7"/>
  <c r="G556" i="7" s="1"/>
  <c r="E556" i="7"/>
  <c r="F555" i="7"/>
  <c r="G555" i="7" s="1"/>
  <c r="E555" i="7"/>
  <c r="F554" i="7"/>
  <c r="E554" i="7"/>
  <c r="G554" i="7" s="1"/>
  <c r="F553" i="7"/>
  <c r="E553" i="7"/>
  <c r="G552" i="7"/>
  <c r="F552" i="7"/>
  <c r="E552" i="7"/>
  <c r="F551" i="7"/>
  <c r="E551" i="7"/>
  <c r="F550" i="7"/>
  <c r="G550" i="7" s="1"/>
  <c r="E550" i="7"/>
  <c r="G546" i="7"/>
  <c r="F546" i="7"/>
  <c r="E546" i="7"/>
  <c r="F545" i="7"/>
  <c r="E545" i="7"/>
  <c r="G545" i="7" s="1"/>
  <c r="F544" i="7"/>
  <c r="E544" i="7"/>
  <c r="G544" i="7" s="1"/>
  <c r="F543" i="7"/>
  <c r="E543" i="7"/>
  <c r="G543" i="7" s="1"/>
  <c r="F542" i="7"/>
  <c r="E542" i="7"/>
  <c r="F529" i="7"/>
  <c r="E529" i="7"/>
  <c r="G529" i="7" s="1"/>
  <c r="G528" i="7"/>
  <c r="F528" i="7"/>
  <c r="E528" i="7"/>
  <c r="F524" i="7"/>
  <c r="E524" i="7"/>
  <c r="D524" i="7"/>
  <c r="C524" i="7"/>
  <c r="F520" i="7"/>
  <c r="E520" i="7"/>
  <c r="G520" i="7" s="1"/>
  <c r="F519" i="7"/>
  <c r="E519" i="7"/>
  <c r="F518" i="7"/>
  <c r="E518" i="7"/>
  <c r="G518" i="7" s="1"/>
  <c r="F517" i="7"/>
  <c r="E517" i="7"/>
  <c r="G517" i="7" s="1"/>
  <c r="F516" i="7"/>
  <c r="G516" i="7" s="1"/>
  <c r="E516" i="7"/>
  <c r="G512" i="7"/>
  <c r="F512" i="7"/>
  <c r="E512" i="7"/>
  <c r="F511" i="7"/>
  <c r="E511" i="7"/>
  <c r="G511" i="7" s="1"/>
  <c r="F510" i="7"/>
  <c r="E510" i="7"/>
  <c r="F509" i="7"/>
  <c r="G509" i="7" s="1"/>
  <c r="E509" i="7"/>
  <c r="F497" i="7"/>
  <c r="E497" i="7"/>
  <c r="F496" i="7"/>
  <c r="E496" i="7"/>
  <c r="G496" i="7" s="1"/>
  <c r="F492" i="7"/>
  <c r="E492" i="7"/>
  <c r="G492" i="7" s="1"/>
  <c r="H492" i="7" s="1"/>
  <c r="D492" i="7"/>
  <c r="C492" i="7"/>
  <c r="F488" i="7"/>
  <c r="G488" i="7" s="1"/>
  <c r="F487" i="7"/>
  <c r="G487" i="7" s="1"/>
  <c r="H486" i="7" s="1"/>
  <c r="E487" i="7"/>
  <c r="F486" i="7"/>
  <c r="E486" i="7"/>
  <c r="G486" i="7" s="1"/>
  <c r="F482" i="7"/>
  <c r="E482" i="7"/>
  <c r="G482" i="7" s="1"/>
  <c r="G481" i="7"/>
  <c r="F481" i="7"/>
  <c r="E481" i="7"/>
  <c r="F480" i="7"/>
  <c r="E480" i="7"/>
  <c r="G480" i="7" s="1"/>
  <c r="F479" i="7"/>
  <c r="E479" i="7"/>
  <c r="G479" i="7" s="1"/>
  <c r="F466" i="7"/>
  <c r="E466" i="7"/>
  <c r="G466" i="7" s="1"/>
  <c r="F465" i="7"/>
  <c r="E465" i="7"/>
  <c r="F461" i="7"/>
  <c r="E461" i="7"/>
  <c r="D461" i="7"/>
  <c r="C461" i="7"/>
  <c r="F457" i="7"/>
  <c r="G457" i="7" s="1"/>
  <c r="H457" i="7" s="1"/>
  <c r="E457" i="7"/>
  <c r="F453" i="7"/>
  <c r="E453" i="7"/>
  <c r="F452" i="7"/>
  <c r="E452" i="7"/>
  <c r="F451" i="7"/>
  <c r="E451" i="7"/>
  <c r="F450" i="7"/>
  <c r="E450" i="7"/>
  <c r="F437" i="7"/>
  <c r="E437" i="7"/>
  <c r="G436" i="7"/>
  <c r="F436" i="7"/>
  <c r="E436" i="7"/>
  <c r="F432" i="7"/>
  <c r="E432" i="7"/>
  <c r="D432" i="7"/>
  <c r="C432" i="7"/>
  <c r="F428" i="7"/>
  <c r="E428" i="7"/>
  <c r="F424" i="7"/>
  <c r="E424" i="7"/>
  <c r="G424" i="7" s="1"/>
  <c r="G423" i="7"/>
  <c r="F423" i="7"/>
  <c r="E423" i="7"/>
  <c r="F422" i="7"/>
  <c r="E422" i="7"/>
  <c r="G422" i="7" s="1"/>
  <c r="F421" i="7"/>
  <c r="E421" i="7"/>
  <c r="F408" i="7"/>
  <c r="E408" i="7"/>
  <c r="G408" i="7" s="1"/>
  <c r="F407" i="7"/>
  <c r="E407" i="7"/>
  <c r="F403" i="7"/>
  <c r="E403" i="7"/>
  <c r="G403" i="7" s="1"/>
  <c r="H403" i="7" s="1"/>
  <c r="D403" i="7"/>
  <c r="C403" i="7"/>
  <c r="F399" i="7"/>
  <c r="G399" i="7" s="1"/>
  <c r="E399" i="7"/>
  <c r="G398" i="7"/>
  <c r="F398" i="7"/>
  <c r="F397" i="7"/>
  <c r="E397" i="7"/>
  <c r="F393" i="7"/>
  <c r="E393" i="7"/>
  <c r="G393" i="7" s="1"/>
  <c r="F392" i="7"/>
  <c r="E392" i="7"/>
  <c r="G391" i="7"/>
  <c r="F391" i="7"/>
  <c r="E391" i="7"/>
  <c r="F390" i="7"/>
  <c r="E390" i="7"/>
  <c r="G390" i="7" s="1"/>
  <c r="I387" i="7"/>
  <c r="F377" i="7"/>
  <c r="E377" i="7"/>
  <c r="F376" i="7"/>
  <c r="E376" i="7"/>
  <c r="F371" i="7"/>
  <c r="E371" i="7"/>
  <c r="D371" i="7"/>
  <c r="G371" i="7" s="1"/>
  <c r="H371" i="7" s="1"/>
  <c r="C371" i="7"/>
  <c r="F367" i="7"/>
  <c r="E367" i="7"/>
  <c r="G367" i="7" s="1"/>
  <c r="H367" i="7" s="1"/>
  <c r="F363" i="7"/>
  <c r="E363" i="7"/>
  <c r="G363" i="7" s="1"/>
  <c r="F362" i="7"/>
  <c r="E362" i="7"/>
  <c r="F361" i="7"/>
  <c r="E361" i="7"/>
  <c r="F360" i="7"/>
  <c r="E360" i="7"/>
  <c r="G360" i="7" s="1"/>
  <c r="F348" i="7"/>
  <c r="E348" i="7"/>
  <c r="F347" i="7"/>
  <c r="E347" i="7"/>
  <c r="G347" i="7" s="1"/>
  <c r="F343" i="7"/>
  <c r="E343" i="7"/>
  <c r="D343" i="7"/>
  <c r="C343" i="7"/>
  <c r="F338" i="7"/>
  <c r="E338" i="7"/>
  <c r="G338" i="7" s="1"/>
  <c r="F337" i="7"/>
  <c r="E337" i="7"/>
  <c r="F336" i="7"/>
  <c r="G336" i="7" s="1"/>
  <c r="E336" i="7"/>
  <c r="G332" i="7"/>
  <c r="F332" i="7"/>
  <c r="E332" i="7"/>
  <c r="F331" i="7"/>
  <c r="E331" i="7"/>
  <c r="F330" i="7"/>
  <c r="E330" i="7"/>
  <c r="F329" i="7"/>
  <c r="G329" i="7" s="1"/>
  <c r="E329" i="7"/>
  <c r="F317" i="7"/>
  <c r="E317" i="7"/>
  <c r="F316" i="7"/>
  <c r="E316" i="7"/>
  <c r="G316" i="7" s="1"/>
  <c r="F312" i="7"/>
  <c r="E312" i="7"/>
  <c r="G312" i="7" s="1"/>
  <c r="H312" i="7" s="1"/>
  <c r="D312" i="7"/>
  <c r="C312" i="7"/>
  <c r="F308" i="7"/>
  <c r="E308" i="7"/>
  <c r="F307" i="7"/>
  <c r="E307" i="7"/>
  <c r="F306" i="7"/>
  <c r="G306" i="7" s="1"/>
  <c r="E306" i="7"/>
  <c r="G305" i="7"/>
  <c r="F305" i="7"/>
  <c r="E305" i="7"/>
  <c r="F304" i="7"/>
  <c r="E304" i="7"/>
  <c r="G304" i="7" s="1"/>
  <c r="F300" i="7"/>
  <c r="E300" i="7"/>
  <c r="G300" i="7" s="1"/>
  <c r="F299" i="7"/>
  <c r="E299" i="7"/>
  <c r="G299" i="7" s="1"/>
  <c r="F298" i="7"/>
  <c r="E298" i="7"/>
  <c r="F297" i="7"/>
  <c r="G297" i="7" s="1"/>
  <c r="E297" i="7"/>
  <c r="F284" i="7"/>
  <c r="G284" i="7" s="1"/>
  <c r="E284" i="7"/>
  <c r="G283" i="7"/>
  <c r="F283" i="7"/>
  <c r="E283" i="7"/>
  <c r="F279" i="7"/>
  <c r="E279" i="7"/>
  <c r="D279" i="7"/>
  <c r="C279" i="7"/>
  <c r="F275" i="7"/>
  <c r="E275" i="7"/>
  <c r="G275" i="7" s="1"/>
  <c r="F274" i="7"/>
  <c r="E274" i="7"/>
  <c r="F273" i="7"/>
  <c r="G273" i="7" s="1"/>
  <c r="E273" i="7"/>
  <c r="F269" i="7"/>
  <c r="E269" i="7"/>
  <c r="F268" i="7"/>
  <c r="E268" i="7"/>
  <c r="F267" i="7"/>
  <c r="E267" i="7"/>
  <c r="G267" i="7" s="1"/>
  <c r="F266" i="7"/>
  <c r="E266" i="7"/>
  <c r="G266" i="7" s="1"/>
  <c r="I263" i="7"/>
  <c r="F252" i="7"/>
  <c r="E252" i="7"/>
  <c r="F251" i="7"/>
  <c r="E251" i="7"/>
  <c r="G247" i="7"/>
  <c r="H247" i="7" s="1"/>
  <c r="F247" i="7"/>
  <c r="E247" i="7"/>
  <c r="D247" i="7"/>
  <c r="C247" i="7"/>
  <c r="G243" i="7"/>
  <c r="F242" i="7"/>
  <c r="E242" i="7"/>
  <c r="G242" i="7" s="1"/>
  <c r="G241" i="7"/>
  <c r="H241" i="7" s="1"/>
  <c r="F237" i="7"/>
  <c r="E237" i="7"/>
  <c r="G237" i="7" s="1"/>
  <c r="F236" i="7"/>
  <c r="E236" i="7"/>
  <c r="G236" i="7" s="1"/>
  <c r="F235" i="7"/>
  <c r="E235" i="7"/>
  <c r="G235" i="7" s="1"/>
  <c r="F234" i="7"/>
  <c r="E234" i="7"/>
  <c r="G234" i="7" s="1"/>
  <c r="H234" i="7" s="1"/>
  <c r="F220" i="7"/>
  <c r="G220" i="7" s="1"/>
  <c r="E220" i="7"/>
  <c r="F219" i="7"/>
  <c r="E219" i="7"/>
  <c r="F215" i="7"/>
  <c r="E215" i="7"/>
  <c r="D215" i="7"/>
  <c r="C215" i="7"/>
  <c r="G211" i="7"/>
  <c r="F210" i="7"/>
  <c r="E210" i="7"/>
  <c r="G210" i="7" s="1"/>
  <c r="H209" i="7" s="1"/>
  <c r="G209" i="7"/>
  <c r="F205" i="7"/>
  <c r="E205" i="7"/>
  <c r="F204" i="7"/>
  <c r="E204" i="7"/>
  <c r="G204" i="7" s="1"/>
  <c r="F203" i="7"/>
  <c r="E203" i="7"/>
  <c r="F202" i="7"/>
  <c r="E202" i="7"/>
  <c r="G202" i="7" s="1"/>
  <c r="F189" i="7"/>
  <c r="E189" i="7"/>
  <c r="F188" i="7"/>
  <c r="E188" i="7"/>
  <c r="G188" i="7" s="1"/>
  <c r="F184" i="7"/>
  <c r="E184" i="7"/>
  <c r="D184" i="7"/>
  <c r="C184" i="7"/>
  <c r="G180" i="7"/>
  <c r="G179" i="7"/>
  <c r="H178" i="7" s="1"/>
  <c r="F179" i="7"/>
  <c r="E179" i="7"/>
  <c r="G178" i="7"/>
  <c r="G174" i="7"/>
  <c r="F174" i="7"/>
  <c r="E174" i="7"/>
  <c r="F173" i="7"/>
  <c r="G173" i="7" s="1"/>
  <c r="E173" i="7"/>
  <c r="G172" i="7"/>
  <c r="F172" i="7"/>
  <c r="E172" i="7"/>
  <c r="F171" i="7"/>
  <c r="E171" i="7"/>
  <c r="F158" i="7"/>
  <c r="D158" i="7"/>
  <c r="F157" i="7"/>
  <c r="D157" i="7"/>
  <c r="F153" i="7"/>
  <c r="E153" i="7"/>
  <c r="D153" i="7"/>
  <c r="C153" i="7"/>
  <c r="G149" i="7"/>
  <c r="G148" i="7"/>
  <c r="F148" i="7"/>
  <c r="E148" i="7"/>
  <c r="G147" i="7"/>
  <c r="H147" i="7" s="1"/>
  <c r="F143" i="7"/>
  <c r="E143" i="7"/>
  <c r="F142" i="7"/>
  <c r="G142" i="7" s="1"/>
  <c r="E142" i="7"/>
  <c r="G141" i="7"/>
  <c r="F141" i="7"/>
  <c r="E141" i="7"/>
  <c r="F140" i="7"/>
  <c r="E140" i="7"/>
  <c r="G140" i="7" s="1"/>
  <c r="I137" i="7"/>
  <c r="F127" i="7"/>
  <c r="D127" i="7"/>
  <c r="F126" i="7"/>
  <c r="D126" i="7"/>
  <c r="F122" i="7"/>
  <c r="E122" i="7"/>
  <c r="D122" i="7"/>
  <c r="C122" i="7"/>
  <c r="G118" i="7"/>
  <c r="F117" i="7"/>
  <c r="E117" i="7"/>
  <c r="G116" i="7"/>
  <c r="F112" i="7"/>
  <c r="G112" i="7" s="1"/>
  <c r="E112" i="7"/>
  <c r="F111" i="7"/>
  <c r="E111" i="7"/>
  <c r="G110" i="7"/>
  <c r="F110" i="7"/>
  <c r="E110" i="7"/>
  <c r="F109" i="7"/>
  <c r="E109" i="7"/>
  <c r="G109" i="7" s="1"/>
  <c r="F96" i="7"/>
  <c r="D96" i="7"/>
  <c r="C96" i="7"/>
  <c r="E96" i="7" s="1"/>
  <c r="G96" i="7" s="1"/>
  <c r="F95" i="7"/>
  <c r="D95" i="7"/>
  <c r="F91" i="7"/>
  <c r="E91" i="7"/>
  <c r="D91" i="7"/>
  <c r="C91" i="7"/>
  <c r="F87" i="7"/>
  <c r="E87" i="7"/>
  <c r="F86" i="7"/>
  <c r="E86" i="7"/>
  <c r="F85" i="7"/>
  <c r="G85" i="7" s="1"/>
  <c r="F84" i="7"/>
  <c r="E84" i="7"/>
  <c r="F83" i="7"/>
  <c r="E83" i="7"/>
  <c r="F82" i="7"/>
  <c r="E82" i="7"/>
  <c r="G82" i="7" s="1"/>
  <c r="F78" i="7"/>
  <c r="E78" i="7"/>
  <c r="G78" i="7" s="1"/>
  <c r="F77" i="7"/>
  <c r="E77" i="7"/>
  <c r="G77" i="7" s="1"/>
  <c r="F76" i="7"/>
  <c r="E76" i="7"/>
  <c r="F75" i="7"/>
  <c r="G75" i="7" s="1"/>
  <c r="E75" i="7"/>
  <c r="F63" i="7"/>
  <c r="D63" i="7"/>
  <c r="C63" i="7"/>
  <c r="E63" i="7" s="1"/>
  <c r="F62" i="7"/>
  <c r="D62" i="7"/>
  <c r="F58" i="7"/>
  <c r="E58" i="7"/>
  <c r="D58" i="7"/>
  <c r="G58" i="7" s="1"/>
  <c r="H58" i="7" s="1"/>
  <c r="C58" i="7"/>
  <c r="F54" i="7"/>
  <c r="E54" i="7"/>
  <c r="G54" i="7" s="1"/>
  <c r="F53" i="7"/>
  <c r="G53" i="7" s="1"/>
  <c r="E53" i="7"/>
  <c r="E52" i="7"/>
  <c r="F51" i="7"/>
  <c r="F52" i="7" s="1"/>
  <c r="E51" i="7"/>
  <c r="G51" i="7" s="1"/>
  <c r="F50" i="7"/>
  <c r="E50" i="7"/>
  <c r="G50" i="7" s="1"/>
  <c r="F49" i="7"/>
  <c r="G49" i="7" s="1"/>
  <c r="E49" i="7"/>
  <c r="G45" i="7"/>
  <c r="F45" i="7"/>
  <c r="E45" i="7"/>
  <c r="F44" i="7"/>
  <c r="E44" i="7"/>
  <c r="G44" i="7" s="1"/>
  <c r="F43" i="7"/>
  <c r="E43" i="7"/>
  <c r="G43" i="7" s="1"/>
  <c r="F42" i="7"/>
  <c r="E42" i="7"/>
  <c r="G42" i="7" s="1"/>
  <c r="D29" i="7"/>
  <c r="F28" i="7"/>
  <c r="E28" i="7"/>
  <c r="G28" i="7" s="1"/>
  <c r="D28" i="7"/>
  <c r="C28" i="7"/>
  <c r="F24" i="7"/>
  <c r="E24" i="7"/>
  <c r="G24" i="7" s="1"/>
  <c r="H24" i="7" s="1"/>
  <c r="D24" i="7"/>
  <c r="C24" i="7"/>
  <c r="F20" i="7"/>
  <c r="E20" i="7"/>
  <c r="G20" i="7" s="1"/>
  <c r="F19" i="7"/>
  <c r="E19" i="7"/>
  <c r="G19" i="7" s="1"/>
  <c r="F18" i="7"/>
  <c r="E18" i="7"/>
  <c r="G18" i="7" s="1"/>
  <c r="F14" i="7"/>
  <c r="E14" i="7"/>
  <c r="G14" i="7" s="1"/>
  <c r="F13" i="7"/>
  <c r="E13" i="7"/>
  <c r="G13" i="7" s="1"/>
  <c r="F12" i="7"/>
  <c r="E12" i="7"/>
  <c r="G12" i="7" s="1"/>
  <c r="F11" i="7"/>
  <c r="E11" i="7"/>
  <c r="G11" i="7" s="1"/>
  <c r="L9" i="7"/>
  <c r="C1066" i="7" s="1"/>
  <c r="L8" i="7"/>
  <c r="C1067" i="7" s="1"/>
  <c r="I61" i="6"/>
  <c r="G61" i="6"/>
  <c r="D61" i="6"/>
  <c r="G60" i="6"/>
  <c r="I60" i="6" s="1"/>
  <c r="G59" i="6"/>
  <c r="I59" i="6" s="1"/>
  <c r="D59" i="6"/>
  <c r="I58" i="6"/>
  <c r="G58" i="6"/>
  <c r="D58" i="6"/>
  <c r="G57" i="6"/>
  <c r="I57" i="6" s="1"/>
  <c r="G56" i="6"/>
  <c r="I56" i="6" s="1"/>
  <c r="G55" i="6"/>
  <c r="I55" i="6" s="1"/>
  <c r="G54" i="6"/>
  <c r="I54" i="6" s="1"/>
  <c r="G53" i="6"/>
  <c r="I53" i="6" s="1"/>
  <c r="G52" i="6"/>
  <c r="I52" i="6" s="1"/>
  <c r="G51" i="6"/>
  <c r="I51" i="6" s="1"/>
  <c r="G50" i="6"/>
  <c r="I50" i="6" s="1"/>
  <c r="G49" i="6"/>
  <c r="I49" i="6" s="1"/>
  <c r="G48" i="6"/>
  <c r="I48" i="6" s="1"/>
  <c r="G47" i="6"/>
  <c r="I47" i="6" s="1"/>
  <c r="G46" i="6"/>
  <c r="I46" i="6" s="1"/>
  <c r="G45" i="6"/>
  <c r="I45" i="6" s="1"/>
  <c r="G44" i="6"/>
  <c r="I44" i="6" s="1"/>
  <c r="G43" i="6"/>
  <c r="I43" i="6" s="1"/>
  <c r="G42" i="6"/>
  <c r="I42" i="6" s="1"/>
  <c r="G41" i="6"/>
  <c r="I41" i="6" s="1"/>
  <c r="G40" i="6"/>
  <c r="I40" i="6" s="1"/>
  <c r="G39" i="6"/>
  <c r="I39" i="6" s="1"/>
  <c r="G38" i="6"/>
  <c r="I38" i="6" s="1"/>
  <c r="G37" i="6"/>
  <c r="I37" i="6" s="1"/>
  <c r="G36" i="6"/>
  <c r="I36" i="6" s="1"/>
  <c r="G35" i="6"/>
  <c r="I35" i="6" s="1"/>
  <c r="G34" i="6"/>
  <c r="I34" i="6" s="1"/>
  <c r="G33" i="6"/>
  <c r="I33" i="6" s="1"/>
  <c r="G32" i="6"/>
  <c r="I32" i="6" s="1"/>
  <c r="G31" i="6"/>
  <c r="I31" i="6" s="1"/>
  <c r="G30" i="6"/>
  <c r="I30" i="6" s="1"/>
  <c r="G29" i="6"/>
  <c r="I29" i="6" s="1"/>
  <c r="G28" i="6"/>
  <c r="I28" i="6" s="1"/>
  <c r="G27" i="6"/>
  <c r="I27" i="6" s="1"/>
  <c r="G26" i="6"/>
  <c r="I26" i="6" s="1"/>
  <c r="G25" i="6"/>
  <c r="I25" i="6" s="1"/>
  <c r="G24" i="6"/>
  <c r="I24" i="6" s="1"/>
  <c r="G23" i="6"/>
  <c r="I23" i="6" s="1"/>
  <c r="G22" i="6"/>
  <c r="I22" i="6" s="1"/>
  <c r="G21" i="6"/>
  <c r="I21" i="6" s="1"/>
  <c r="G20" i="6"/>
  <c r="I20" i="6" s="1"/>
  <c r="G19" i="6"/>
  <c r="I19" i="6" s="1"/>
  <c r="G18" i="6"/>
  <c r="I18" i="6" s="1"/>
  <c r="G17" i="6"/>
  <c r="I17" i="6" s="1"/>
  <c r="G16" i="6"/>
  <c r="I16" i="6" s="1"/>
  <c r="G15" i="6"/>
  <c r="I15" i="6" s="1"/>
  <c r="I14" i="6"/>
  <c r="G13" i="6"/>
  <c r="I13" i="6" s="1"/>
  <c r="G12" i="6"/>
  <c r="I12" i="6" s="1"/>
  <c r="G11" i="6"/>
  <c r="I11" i="6" s="1"/>
  <c r="G10" i="6"/>
  <c r="I10" i="6" s="1"/>
  <c r="D71" i="5"/>
  <c r="F71" i="5" s="1"/>
  <c r="F72" i="5" s="1"/>
  <c r="D68" i="5"/>
  <c r="F68" i="5" s="1"/>
  <c r="D67" i="5"/>
  <c r="F67" i="5" s="1"/>
  <c r="F66" i="5"/>
  <c r="F65" i="5"/>
  <c r="F62" i="5"/>
  <c r="F61" i="5"/>
  <c r="F58" i="5"/>
  <c r="F57" i="5"/>
  <c r="F56" i="5"/>
  <c r="F55" i="5"/>
  <c r="F54" i="5"/>
  <c r="F53" i="5"/>
  <c r="F50" i="5"/>
  <c r="F49" i="5"/>
  <c r="F48" i="5"/>
  <c r="F47" i="5"/>
  <c r="F46" i="5"/>
  <c r="F45" i="5"/>
  <c r="F44" i="5"/>
  <c r="F51" i="5" s="1"/>
  <c r="F41" i="5"/>
  <c r="F40" i="5"/>
  <c r="F39" i="5"/>
  <c r="F38" i="5"/>
  <c r="F42" i="5" s="1"/>
  <c r="F37" i="5"/>
  <c r="F34" i="5"/>
  <c r="F33" i="5"/>
  <c r="F32" i="5"/>
  <c r="F29" i="5"/>
  <c r="F28" i="5"/>
  <c r="F27" i="5"/>
  <c r="F26" i="5"/>
  <c r="F25" i="5"/>
  <c r="F24" i="5"/>
  <c r="F23" i="5"/>
  <c r="F22" i="5"/>
  <c r="F19" i="5"/>
  <c r="F18" i="5"/>
  <c r="F17" i="5"/>
  <c r="F14" i="5"/>
  <c r="F13" i="5"/>
  <c r="F12" i="5"/>
  <c r="F11" i="5"/>
  <c r="D69" i="4"/>
  <c r="F69" i="4" s="1"/>
  <c r="F70" i="4" s="1"/>
  <c r="D66" i="4"/>
  <c r="F66" i="4" s="1"/>
  <c r="D65" i="4"/>
  <c r="F65" i="4" s="1"/>
  <c r="F64" i="4"/>
  <c r="F63" i="4"/>
  <c r="F60" i="4"/>
  <c r="F59" i="4"/>
  <c r="F61" i="4" s="1"/>
  <c r="F56" i="4"/>
  <c r="F55" i="4"/>
  <c r="F54" i="4"/>
  <c r="F53" i="4"/>
  <c r="F52" i="4"/>
  <c r="F51" i="4"/>
  <c r="F57" i="4" s="1"/>
  <c r="F48" i="4"/>
  <c r="F47" i="4"/>
  <c r="F46" i="4"/>
  <c r="F45" i="4"/>
  <c r="F44" i="4"/>
  <c r="F43" i="4"/>
  <c r="F42" i="4"/>
  <c r="F39" i="4"/>
  <c r="F38" i="4"/>
  <c r="F37" i="4"/>
  <c r="F36" i="4"/>
  <c r="F35" i="4"/>
  <c r="F32" i="4"/>
  <c r="F31" i="4"/>
  <c r="F30" i="4"/>
  <c r="F27" i="4"/>
  <c r="F26" i="4"/>
  <c r="F25" i="4"/>
  <c r="F24" i="4"/>
  <c r="F23" i="4"/>
  <c r="F22" i="4"/>
  <c r="F21" i="4"/>
  <c r="F20" i="4"/>
  <c r="F17" i="4"/>
  <c r="F16" i="4"/>
  <c r="F15" i="4"/>
  <c r="F12" i="4"/>
  <c r="F11" i="4"/>
  <c r="F10" i="4"/>
  <c r="F9" i="4"/>
  <c r="E48" i="1"/>
  <c r="G41" i="1"/>
  <c r="G40" i="1"/>
  <c r="G39" i="1"/>
  <c r="G38" i="1"/>
  <c r="G18" i="1"/>
  <c r="G17" i="1"/>
  <c r="G16" i="1"/>
  <c r="G15" i="1"/>
  <c r="G14" i="1"/>
  <c r="G13" i="1"/>
  <c r="H821" i="7" l="1"/>
  <c r="H496" i="7"/>
  <c r="H566" i="7"/>
  <c r="H828" i="7"/>
  <c r="H1336" i="7"/>
  <c r="G48" i="8"/>
  <c r="G36" i="8" s="1"/>
  <c r="F28" i="4"/>
  <c r="F33" i="4"/>
  <c r="F49" i="4"/>
  <c r="G86" i="7"/>
  <c r="G117" i="7"/>
  <c r="H116" i="7" s="1"/>
  <c r="G279" i="7"/>
  <c r="H279" i="7" s="1"/>
  <c r="G343" i="7"/>
  <c r="H343" i="7" s="1"/>
  <c r="G377" i="7"/>
  <c r="H376" i="7" s="1"/>
  <c r="G407" i="7"/>
  <c r="H407" i="7" s="1"/>
  <c r="G450" i="7"/>
  <c r="G519" i="7"/>
  <c r="G553" i="7"/>
  <c r="G614" i="7"/>
  <c r="G673" i="7"/>
  <c r="H673" i="7" s="1"/>
  <c r="G670" i="7" s="1"/>
  <c r="G706" i="7"/>
  <c r="H704" i="7" s="1"/>
  <c r="G701" i="7" s="1"/>
  <c r="G715" i="7"/>
  <c r="H715" i="7" s="1"/>
  <c r="G810" i="7"/>
  <c r="G829" i="7"/>
  <c r="G854" i="7"/>
  <c r="G984" i="7"/>
  <c r="H1145" i="7"/>
  <c r="G1180" i="7"/>
  <c r="G1372" i="7"/>
  <c r="G1425" i="7"/>
  <c r="G1468" i="7"/>
  <c r="H1467" i="7" s="1"/>
  <c r="G1484" i="7"/>
  <c r="G1503" i="7"/>
  <c r="G1554" i="7"/>
  <c r="G83" i="7"/>
  <c r="H82" i="7" s="1"/>
  <c r="G963" i="7"/>
  <c r="H963" i="7" s="1"/>
  <c r="G1212" i="7"/>
  <c r="H1209" i="7" s="1"/>
  <c r="G1272" i="7"/>
  <c r="G11" i="8"/>
  <c r="F13" i="4"/>
  <c r="F20" i="5"/>
  <c r="G63" i="7"/>
  <c r="G111" i="7"/>
  <c r="G215" i="7"/>
  <c r="H215" i="7" s="1"/>
  <c r="H347" i="7"/>
  <c r="H479" i="7"/>
  <c r="G476" i="7" s="1"/>
  <c r="G593" i="7"/>
  <c r="H593" i="7" s="1"/>
  <c r="G611" i="7"/>
  <c r="G642" i="7"/>
  <c r="H1114" i="7"/>
  <c r="G1111" i="7" s="1"/>
  <c r="H1178" i="7"/>
  <c r="G1376" i="7"/>
  <c r="H1376" i="7" s="1"/>
  <c r="G1463" i="7"/>
  <c r="H1463" i="7" s="1"/>
  <c r="G1558" i="7"/>
  <c r="H1558" i="7" s="1"/>
  <c r="G1594" i="7"/>
  <c r="H1594" i="7" s="1"/>
  <c r="G95" i="8"/>
  <c r="H851" i="7"/>
  <c r="G76" i="7"/>
  <c r="G307" i="7"/>
  <c r="G361" i="7"/>
  <c r="F40" i="4"/>
  <c r="F63" i="5"/>
  <c r="G84" i="7"/>
  <c r="G91" i="7"/>
  <c r="H91" i="7" s="1"/>
  <c r="G122" i="7"/>
  <c r="H122" i="7" s="1"/>
  <c r="G143" i="7"/>
  <c r="H140" i="7" s="1"/>
  <c r="G153" i="7"/>
  <c r="H153" i="7" s="1"/>
  <c r="G171" i="7"/>
  <c r="H171" i="7" s="1"/>
  <c r="G184" i="7"/>
  <c r="H184" i="7" s="1"/>
  <c r="G219" i="7"/>
  <c r="H219" i="7" s="1"/>
  <c r="G252" i="7"/>
  <c r="G268" i="7"/>
  <c r="H266" i="7" s="1"/>
  <c r="G274" i="7"/>
  <c r="G298" i="7"/>
  <c r="H297" i="7" s="1"/>
  <c r="G317" i="7"/>
  <c r="H316" i="7" s="1"/>
  <c r="G337" i="7"/>
  <c r="H336" i="7" s="1"/>
  <c r="G397" i="7"/>
  <c r="H397" i="7" s="1"/>
  <c r="G421" i="7"/>
  <c r="H421" i="7" s="1"/>
  <c r="G452" i="7"/>
  <c r="G461" i="7"/>
  <c r="H461" i="7" s="1"/>
  <c r="G497" i="7"/>
  <c r="G551" i="7"/>
  <c r="G567" i="7"/>
  <c r="G619" i="7"/>
  <c r="H618" i="7" s="1"/>
  <c r="G649" i="7"/>
  <c r="H649" i="7" s="1"/>
  <c r="G658" i="7"/>
  <c r="G681" i="7"/>
  <c r="H680" i="7" s="1"/>
  <c r="G720" i="7"/>
  <c r="G795" i="7"/>
  <c r="H793" i="7" s="1"/>
  <c r="G790" i="7" s="1"/>
  <c r="G804" i="7"/>
  <c r="H804" i="7" s="1"/>
  <c r="G932" i="7"/>
  <c r="G946" i="7"/>
  <c r="H943" i="7" s="1"/>
  <c r="G952" i="7"/>
  <c r="G992" i="7"/>
  <c r="H1079" i="7"/>
  <c r="G1076" i="7" s="1"/>
  <c r="G1301" i="7"/>
  <c r="G1492" i="7"/>
  <c r="G1498" i="7"/>
  <c r="H1498" i="7" s="1"/>
  <c r="G1516" i="7"/>
  <c r="G1578" i="7"/>
  <c r="H1577" i="7" s="1"/>
  <c r="G1588" i="7"/>
  <c r="G91" i="8"/>
  <c r="G92" i="8" s="1"/>
  <c r="F30" i="5"/>
  <c r="H1185" i="7"/>
  <c r="G1191" i="7"/>
  <c r="H1191" i="7" s="1"/>
  <c r="G1251" i="7"/>
  <c r="H1251" i="7" s="1"/>
  <c r="H1380" i="7"/>
  <c r="H1423" i="7"/>
  <c r="G87" i="7"/>
  <c r="G189" i="7"/>
  <c r="H188" i="7" s="1"/>
  <c r="G654" i="7"/>
  <c r="H654" i="7" s="1"/>
  <c r="H719" i="7"/>
  <c r="F18" i="4"/>
  <c r="F15" i="5"/>
  <c r="F69" i="5" s="1"/>
  <c r="F74" i="5" s="1"/>
  <c r="F35" i="5"/>
  <c r="F59" i="5"/>
  <c r="G203" i="7"/>
  <c r="G269" i="7"/>
  <c r="G348" i="7"/>
  <c r="G376" i="7"/>
  <c r="G428" i="7"/>
  <c r="H428" i="7" s="1"/>
  <c r="G437" i="7"/>
  <c r="H436" i="7" s="1"/>
  <c r="G453" i="7"/>
  <c r="G524" i="7"/>
  <c r="H524" i="7" s="1"/>
  <c r="G542" i="7"/>
  <c r="G613" i="7"/>
  <c r="G650" i="7"/>
  <c r="G659" i="7"/>
  <c r="G733" i="7"/>
  <c r="H733" i="7" s="1"/>
  <c r="G796" i="7"/>
  <c r="G809" i="7"/>
  <c r="H809" i="7" s="1"/>
  <c r="G860" i="7"/>
  <c r="G884" i="7"/>
  <c r="G891" i="7"/>
  <c r="G897" i="7"/>
  <c r="H897" i="7" s="1"/>
  <c r="G980" i="7"/>
  <c r="G1242" i="7"/>
  <c r="H1240" i="7" s="1"/>
  <c r="G1360" i="7"/>
  <c r="G1368" i="7"/>
  <c r="H1368" i="7" s="1"/>
  <c r="G1439" i="7"/>
  <c r="G1459" i="7"/>
  <c r="H1459" i="7" s="1"/>
  <c r="G1483" i="7"/>
  <c r="H1481" i="7" s="1"/>
  <c r="G1502" i="7"/>
  <c r="G1531" i="7"/>
  <c r="G1546" i="7"/>
  <c r="H1544" i="7" s="1"/>
  <c r="G1579" i="7"/>
  <c r="G12" i="1"/>
  <c r="G37" i="1"/>
  <c r="H628" i="7"/>
  <c r="H75" i="7"/>
  <c r="G20" i="1"/>
  <c r="H273" i="7"/>
  <c r="H516" i="7"/>
  <c r="G114" i="8"/>
  <c r="G119" i="8"/>
  <c r="G818" i="7"/>
  <c r="H11" i="7"/>
  <c r="G52" i="7"/>
  <c r="H49" i="7" s="1"/>
  <c r="H109" i="7"/>
  <c r="H283" i="7"/>
  <c r="H18" i="7"/>
  <c r="H42" i="7"/>
  <c r="H542" i="7"/>
  <c r="H890" i="7"/>
  <c r="C126" i="7"/>
  <c r="E126" i="7" s="1"/>
  <c r="G126" i="7" s="1"/>
  <c r="G432" i="7"/>
  <c r="H432" i="7" s="1"/>
  <c r="H858" i="7"/>
  <c r="G848" i="7" s="1"/>
  <c r="H915" i="7"/>
  <c r="H931" i="7"/>
  <c r="H1014" i="7"/>
  <c r="G1011" i="7" s="1"/>
  <c r="H1430" i="7"/>
  <c r="H1439" i="7"/>
  <c r="C62" i="7"/>
  <c r="E62" i="7" s="1"/>
  <c r="G62" i="7" s="1"/>
  <c r="H62" i="7" s="1"/>
  <c r="G251" i="7"/>
  <c r="H251" i="7" s="1"/>
  <c r="G231" i="7" s="1"/>
  <c r="G330" i="7"/>
  <c r="G581" i="7"/>
  <c r="H580" i="7" s="1"/>
  <c r="G597" i="7"/>
  <c r="H597" i="7" s="1"/>
  <c r="G744" i="7"/>
  <c r="H744" i="7" s="1"/>
  <c r="G951" i="7"/>
  <c r="G990" i="7"/>
  <c r="G996" i="7"/>
  <c r="H996" i="7" s="1"/>
  <c r="H1164" i="7"/>
  <c r="G1142" i="7" s="1"/>
  <c r="H1255" i="7"/>
  <c r="G1332" i="7"/>
  <c r="H1329" i="7" s="1"/>
  <c r="G1326" i="7" s="1"/>
  <c r="H1530" i="7"/>
  <c r="G1553" i="7"/>
  <c r="H1551" i="7" s="1"/>
  <c r="G110" i="8"/>
  <c r="C95" i="7"/>
  <c r="E95" i="7" s="1"/>
  <c r="G95" i="7" s="1"/>
  <c r="H95" i="7" s="1"/>
  <c r="H550" i="7"/>
  <c r="G1044" i="7"/>
  <c r="H1502" i="7"/>
  <c r="C158" i="7"/>
  <c r="E158" i="7" s="1"/>
  <c r="G158" i="7" s="1"/>
  <c r="G331" i="7"/>
  <c r="G392" i="7"/>
  <c r="H390" i="7" s="1"/>
  <c r="G562" i="7"/>
  <c r="H562" i="7" s="1"/>
  <c r="G582" i="7"/>
  <c r="G764" i="7"/>
  <c r="H763" i="7" s="1"/>
  <c r="G760" i="7" s="1"/>
  <c r="G901" i="7"/>
  <c r="H901" i="7" s="1"/>
  <c r="G978" i="7"/>
  <c r="H977" i="7" s="1"/>
  <c r="G991" i="7"/>
  <c r="H1394" i="7"/>
  <c r="G1391" i="7" s="1"/>
  <c r="G205" i="7"/>
  <c r="H202" i="7" s="1"/>
  <c r="H528" i="7"/>
  <c r="C1033" i="7"/>
  <c r="G81" i="8"/>
  <c r="C157" i="7"/>
  <c r="E157" i="7" s="1"/>
  <c r="G157" i="7" s="1"/>
  <c r="H883" i="7"/>
  <c r="H1284" i="7"/>
  <c r="H1452" i="7"/>
  <c r="C29" i="7"/>
  <c r="E29" i="7" s="1"/>
  <c r="G29" i="7" s="1"/>
  <c r="H28" i="7" s="1"/>
  <c r="C127" i="7"/>
  <c r="E127" i="7" s="1"/>
  <c r="G127" i="7" s="1"/>
  <c r="G308" i="7"/>
  <c r="G362" i="7"/>
  <c r="G451" i="7"/>
  <c r="G465" i="7"/>
  <c r="H465" i="7" s="1"/>
  <c r="G510" i="7"/>
  <c r="H509" i="7" s="1"/>
  <c r="G506" i="7" s="1"/>
  <c r="G645" i="7"/>
  <c r="H642" i="7" s="1"/>
  <c r="G749" i="7"/>
  <c r="H748" i="7" s="1"/>
  <c r="G771" i="7"/>
  <c r="H770" i="7" s="1"/>
  <c r="H868" i="7"/>
  <c r="G986" i="7"/>
  <c r="G1001" i="7"/>
  <c r="H1000" i="7" s="1"/>
  <c r="C1034" i="7"/>
  <c r="G1218" i="7"/>
  <c r="H1216" i="7" s="1"/>
  <c r="G1270" i="7"/>
  <c r="H1269" i="7" s="1"/>
  <c r="G1300" i="7"/>
  <c r="H1298" i="7" s="1"/>
  <c r="G1295" i="7" s="1"/>
  <c r="G1361" i="7"/>
  <c r="G1491" i="7"/>
  <c r="H1488" i="7" s="1"/>
  <c r="G1515" i="7"/>
  <c r="G1587" i="7"/>
  <c r="G111" i="8"/>
  <c r="G112" i="8" s="1"/>
  <c r="G44" i="1" l="1"/>
  <c r="G47" i="1" s="1"/>
  <c r="G168" i="7"/>
  <c r="G263" i="7"/>
  <c r="G1175" i="7"/>
  <c r="H1584" i="7"/>
  <c r="G1574" i="7" s="1"/>
  <c r="G1237" i="7"/>
  <c r="H984" i="7"/>
  <c r="G974" i="7" s="1"/>
  <c r="I986" i="7" s="1"/>
  <c r="G577" i="7"/>
  <c r="G418" i="7"/>
  <c r="H1515" i="7"/>
  <c r="G1512" i="7" s="1"/>
  <c r="G1478" i="7"/>
  <c r="H1360" i="7"/>
  <c r="G1357" i="7" s="1"/>
  <c r="H950" i="7"/>
  <c r="H611" i="7"/>
  <c r="G608" i="7" s="1"/>
  <c r="F67" i="4"/>
  <c r="F71" i="4" s="1"/>
  <c r="G1449" i="7"/>
  <c r="G1206" i="7"/>
  <c r="H329" i="7"/>
  <c r="G326" i="7" s="1"/>
  <c r="H450" i="7"/>
  <c r="G447" i="7" s="1"/>
  <c r="H360" i="7"/>
  <c r="G357" i="7" s="1"/>
  <c r="H304" i="7"/>
  <c r="G294" i="7" s="1"/>
  <c r="G199" i="7"/>
  <c r="G387" i="7"/>
  <c r="G1420" i="7"/>
  <c r="H658" i="7"/>
  <c r="G639" i="7" s="1"/>
  <c r="G730" i="7"/>
  <c r="G912" i="7"/>
  <c r="G539" i="7"/>
  <c r="G880" i="7"/>
  <c r="G107" i="8"/>
  <c r="G1541" i="7"/>
  <c r="H157" i="7"/>
  <c r="G137" i="7" s="1"/>
  <c r="G39" i="7"/>
  <c r="G8" i="7"/>
  <c r="H126" i="7"/>
  <c r="G106" i="7" s="1"/>
  <c r="I106" i="7" s="1"/>
  <c r="F77" i="5"/>
  <c r="F76" i="5"/>
  <c r="F75" i="5"/>
  <c r="G1266" i="7"/>
  <c r="G940" i="7"/>
  <c r="G72" i="7"/>
  <c r="F72" i="4" l="1"/>
  <c r="F73" i="4"/>
  <c r="F74" i="4"/>
  <c r="G45" i="1"/>
  <c r="G46" i="1"/>
  <c r="G49" i="1"/>
  <c r="F80" i="5"/>
  <c r="F78" i="5"/>
  <c r="F77" i="4" l="1"/>
  <c r="F75" i="4"/>
  <c r="G48" i="1"/>
  <c r="G51" i="1" s="1"/>
  <c r="G54" i="1" s="1"/>
  <c r="F82" i="5"/>
  <c r="F78" i="4" l="1"/>
</calcChain>
</file>

<file path=xl/sharedStrings.xml><?xml version="1.0" encoding="utf-8"?>
<sst xmlns="http://schemas.openxmlformats.org/spreadsheetml/2006/main" count="3450" uniqueCount="518">
  <si>
    <t>SUBGERENCIA ADMINISTRATIVA Y FINANCIERA</t>
  </si>
  <si>
    <t>GRUPO GESTION DE INFRAESTRUCUTRA FISICA Y MANTENIMIENTO</t>
  </si>
  <si>
    <t>MANTENIMIENTO PLANTAS ELECTRICAS</t>
  </si>
  <si>
    <t>PRESUPUESTO OFICIAL DE OBRA.</t>
  </si>
  <si>
    <t xml:space="preserve">ITEM </t>
  </si>
  <si>
    <t>DESCRIPCION</t>
  </si>
  <si>
    <t>UND.</t>
  </si>
  <si>
    <t>CANT.</t>
  </si>
  <si>
    <t>V/UNIT.</t>
  </si>
  <si>
    <t>V/TOT.</t>
  </si>
  <si>
    <t>MANTENIMIENTO PLANTAS  ELECTRICAS</t>
  </si>
  <si>
    <t>1.1</t>
  </si>
  <si>
    <t>Und</t>
  </si>
  <si>
    <t>TRANSLADO PLANTA ELECTRICA</t>
  </si>
  <si>
    <t>Translasdo de planta electrica LUMA de 125KW ubicada en CEISA, el traslado es dentro del mismo complejo en CEISA, para ubicarla en la caseta que se va a construir.</t>
  </si>
  <si>
    <t>UN</t>
  </si>
  <si>
    <t>Suministro e instalacion deTransferencia  Automática para 500A, 150KVA a 220VAC, 3 Fases, 4 Hilos en cofre de Acero Cold Rolled. Incluye control de transferencia, muletillas de operación automático-manual. Todo debidamente marcado. Con certificación RETIE</t>
  </si>
  <si>
    <t>UND</t>
  </si>
  <si>
    <t>Suministro e instalación de acometida doble cable Cu THWN-2/THHN 90° C 2X(3X4/0 F AWG + 4/0 N AWG + 3/0 T AWG), incluye ductos 4", accesorios de fijación, capacetes, cajas de paso. En conformidad con normas del O.R, RETIE y NTC-2050</t>
  </si>
  <si>
    <t>Ml</t>
  </si>
  <si>
    <t>Puesta a tierra planta electrica, debe cumplir norma NTC-2050 y RETIE</t>
  </si>
  <si>
    <t>Puesta a tierra tablero de distribucion general, debe cumplir norma NTC-2050 y RETIE</t>
  </si>
  <si>
    <t>CASETA PLANTA ELECTRICA</t>
  </si>
  <si>
    <t>Suministro e instalación de cerramiento en polisombras h=2.00 m</t>
  </si>
  <si>
    <t>ML</t>
  </si>
  <si>
    <t>Localización y replanteo</t>
  </si>
  <si>
    <t>M2</t>
  </si>
  <si>
    <t>Excavación manual</t>
  </si>
  <si>
    <t>M3</t>
  </si>
  <si>
    <t>Solado de limpieza e=5 cms</t>
  </si>
  <si>
    <t>Relleno en recebo comun compactado</t>
  </si>
  <si>
    <t>Cargue y retiro de sobrantes y escombros</t>
  </si>
  <si>
    <t>Levante de mamposteria h= 0.40 m, en ladrillo prensado a la vista</t>
  </si>
  <si>
    <t>Suministro e instalación de cerramiento en malla galvanizada eslabonada calibre 10, angulo, tubo cuadrado estructural 135x135x600 mm, con pintura anticorrosiva y esmalte</t>
  </si>
  <si>
    <t>Suministro e instalación de estructura metalica PHR C 160x60x15 mm, para soporte de cubierta</t>
  </si>
  <si>
    <t>Suministro e instalación de cubierta termo-acustica  UPVC Forte color verde o rojo exterior/blanco interior</t>
  </si>
  <si>
    <t>Suministro e instalación de caballete fijo para teja termoacustica</t>
  </si>
  <si>
    <t>INSTALACIONES  ELECTRICAS CASETA</t>
  </si>
  <si>
    <t>Salida para iluminación. Incluye conexion con toma corriente doble y clavija, caja fundida, tapa, cable de Cu 7 hilos No.12 AWG, THHN/THWN 90°C, 600V, LSZH, ductos (EMT sobre cielo raso o sobrepuesto y PVC empotrado en muros) y retiro de cableado existente.Todos los elementos deben tener certificacion RETIE</t>
  </si>
  <si>
    <t>Luminaria tipo hermetica LED de sobreponer o descolgar en techo, 2x18 T8 DL, IP65, 36 Watios, 89 lm/w , temperatura de color 6500 k, 40.000 horas, flujo luminoso 4500 lm, dimensiones de 122 x 8,5 x 7,5 cms, Sylvania, Philips o mejor calidad</t>
  </si>
  <si>
    <t>Salida para toma corriente doble,  con polo a tierra (Tomacorriente normal, tipo legrand o similar), Cable Cobre 7 Hilos No.12 AWG THHN/THWN 90°C 600V Marcado LSZH. Incluye cableado, cajas, accesorios de fijación,Ductos PVC (En muros) y EMT (Sobre Cielo Raso) y Marquillado</t>
  </si>
  <si>
    <t>Salida con interruptor sencillo. incluye cajas, tapas, cableado en cable de Cu 7 Hilos No. 12 AWG THHN/THWN 90°C, 600V, LSZH, ductos PVC (En muros) y EMT (Sobre Cielo Raso) y retiro de cableado existente</t>
  </si>
  <si>
    <t>TOTAL COSTOS DIRECTOS</t>
  </si>
  <si>
    <t xml:space="preserve">ADMINISTRACION </t>
  </si>
  <si>
    <t xml:space="preserve">IMPREVISTOS </t>
  </si>
  <si>
    <t xml:space="preserve">UTILIDAD </t>
  </si>
  <si>
    <t xml:space="preserve">TOTAL AIU </t>
  </si>
  <si>
    <t>IVA S/UTILIDAD</t>
  </si>
  <si>
    <t>Un</t>
  </si>
  <si>
    <t>m2</t>
  </si>
  <si>
    <t>2.1</t>
  </si>
  <si>
    <t>2.2</t>
  </si>
  <si>
    <t>kg</t>
  </si>
  <si>
    <t>2.3</t>
  </si>
  <si>
    <t>2.4</t>
  </si>
  <si>
    <t>ml</t>
  </si>
  <si>
    <t>2.5</t>
  </si>
  <si>
    <t>3.1</t>
  </si>
  <si>
    <t>3.2</t>
  </si>
  <si>
    <t>3.3</t>
  </si>
  <si>
    <t>4.1</t>
  </si>
  <si>
    <t xml:space="preserve">Resumen </t>
  </si>
  <si>
    <t xml:space="preserve">Comentario </t>
  </si>
  <si>
    <t>Cant.</t>
  </si>
  <si>
    <t xml:space="preserve"> La forma de pago sera  concertada con el supervisor del contrato y se cancelara  por metro cuadrado "m2"  de superficie intervenida, por  corte de obra.  </t>
  </si>
  <si>
    <t xml:space="preserve"> La forma de pago sera  concertada con el supervisor del contrato y se cancelara  por unidad "Und", instalada. </t>
  </si>
  <si>
    <t>COTIZACION No 135</t>
  </si>
  <si>
    <t>PROYECTO: MANTENIMIENTO Y ADECUACION  SEDE SECCIONAL PUERTO BERRIO -ANTIOQUIA</t>
  </si>
  <si>
    <t>CAP.</t>
  </si>
  <si>
    <t xml:space="preserve">SEDE ADMINISTRATIVA </t>
  </si>
  <si>
    <t>Desmonte de cerramiento actual en malla en mal estado</t>
  </si>
  <si>
    <t>Desmonte cielo raso hall principa y oficinas.</t>
  </si>
  <si>
    <t>Desmonte de puerta en triplex tamboradas.</t>
  </si>
  <si>
    <t>und.</t>
  </si>
  <si>
    <t>Demolicion de piso actual</t>
  </si>
  <si>
    <t>SUBTOTAL</t>
  </si>
  <si>
    <t xml:space="preserve">AREA ADMINISTRATIVA </t>
  </si>
  <si>
    <t>SIPS de cielo raso en lamina yeso carton( dry will) 6mm incluye estructura de soporte y  pintura de acabado final a 2 manos tipo 1</t>
  </si>
  <si>
    <t>SIPS de puertas tamboradas en triplex, pintadas en barniz transparente, con sus cerradura y todos los accesorios necesarios para su funcionamiento. DE ,80X 2,00 MTS</t>
  </si>
  <si>
    <t xml:space="preserve">Resane en estuco para muros y Pintura en vinilo tipo 1 aplicación en dos manos </t>
  </si>
  <si>
    <t xml:space="preserve">EXPEDICION DE GUIAS E IDENTIFICA </t>
  </si>
  <si>
    <t>SIPS de puertas tamboradas en triplex, pintadas en barniz transparente, con sus cerradura y todos los accesorios necesarios para su funcionamiento.</t>
  </si>
  <si>
    <t xml:space="preserve">Piso en ceramica ,40x,40 trafico 5 </t>
  </si>
  <si>
    <t>SIPS de muros en lamina yeso carton( dry will) 6mm incluye estructura de soporte y  pintura de acabado final a 2 manos tipo 1</t>
  </si>
  <si>
    <t xml:space="preserve">Puestos de trabajo para la atencion al publico, superficies en en triplex 18m.m. forrado en formica, soportes metalicos pintados en pintura electroestatica  </t>
  </si>
  <si>
    <t xml:space="preserve">SIPS de TAND de sillas para sala de espera de 4 puestos </t>
  </si>
  <si>
    <t xml:space="preserve">Suministro e instalacion  Aires acondicionados tipo mini split de 12.000 btu </t>
  </si>
  <si>
    <t>ud.</t>
  </si>
  <si>
    <t>AUDITORIO</t>
  </si>
  <si>
    <t>SIPS de puertas tamboradas en triplex, pintadas en barniz transparente, con sus cerradura y todos los accesorios necesarios para su funcionamiento.2,50 X 2,00 MTS</t>
  </si>
  <si>
    <t>BAÑOS Y COCINA</t>
  </si>
  <si>
    <t>Suministro e instalación de sanitario ref. acuario o similar, incluye el desmonte  y retiro de los existentes.</t>
  </si>
  <si>
    <t>Mantenimiento a las  divisiones de baño metálicas en lámina  acabado en pintura esmalte, incluye  2  puertas.</t>
  </si>
  <si>
    <t>Suministro e instalación de lavamanos  ref. acuario o similar, incluye el desmonte  y retiro de los existentes.</t>
  </si>
  <si>
    <t>CERRAMIENTO PERIMETRAL</t>
  </si>
  <si>
    <t>Suministro e instalacion Cerramiento en malla eslabonada galvanizada 2" x 2" de altura de 2,00 mts.</t>
  </si>
  <si>
    <t xml:space="preserve">Sumistro  e instalacion de posteria galvanizada de 2 pulg. Altura de 3,00 mts, pintada en esmalte dos manos. </t>
  </si>
  <si>
    <t xml:space="preserve">Resane de muro de antepecho actual y pintura en vinilo tipo imterperie </t>
  </si>
  <si>
    <t xml:space="preserve">Mantenimiento de malla actual en pintura de esmalte </t>
  </si>
  <si>
    <t xml:space="preserve">Mantenimiento de posteria en concreto, resane y pintura vinilo tipo imterperie </t>
  </si>
  <si>
    <t xml:space="preserve">Muro en bloque .15 relleno en concreto y reforzado con varillas D : 5/8 cada 20 cms ranurado a la vista </t>
  </si>
  <si>
    <t xml:space="preserve">Relleno en material arena negra de jardineria </t>
  </si>
  <si>
    <t>m3</t>
  </si>
  <si>
    <t xml:space="preserve">INSTALACION ELECTRICA </t>
  </si>
  <si>
    <t xml:space="preserve">Totalizador tripolar de 150 amperios, borneras en cobre,  para sobreponer en caja metalica  </t>
  </si>
  <si>
    <t>Sumistro  e instalacion de tablero trifasico de distribucion de 30 circuitos, con puerta con cerradura y espacio para totalizador.con polo a tierra,  con sus respectivos barrajes en cobre. Accesorios de fijacion y obras civiles.</t>
  </si>
  <si>
    <t>Ramales de distribucion en cable THWN/THHN Nº 12 en ducteria EMT de  2" y 1/2 con sus respectivos accesorios de paso y ensambles.</t>
  </si>
  <si>
    <t xml:space="preserve">Puntos de electrico para toma corriente 110 voltios, con polo a tierra caja 2x4,  tuberia y demas accesorios.  </t>
  </si>
  <si>
    <t xml:space="preserve">Puntos de electrico para iluminacion 110 voltios, con polo a tierra caja octagonal,  tuberia y demas accesorios.  </t>
  </si>
  <si>
    <t>Suministro  e instalacion de paneles  led de ,30 x ,30 mts, 45 watios , 110 voltios, color blanco para instalar de sobreponer en cielo razo.</t>
  </si>
  <si>
    <t>CUBIERTAS</t>
  </si>
  <si>
    <t xml:space="preserve">Mantenimiento de cubierta de lamina ondulada perfil 7, consisite en remplazo de laminas en mal estado, impermeabilizacion  de terminales laterales y canaletas de aguas lluvias </t>
  </si>
  <si>
    <t>SIPS de cielo raso en lamina yeso carton( dry will) 6mm incluye estructura de soporte y  pintura de acabado final a 2 manos tipo 1 en el area del hall acceso fachada principal</t>
  </si>
  <si>
    <t>FACHADAS</t>
  </si>
  <si>
    <t xml:space="preserve">Puerta principal en aluminio color blanco, sistema proyectante tipo pesado montado en esquyinero 415 y contramarco 2" x 1" y vidrio color verde 5m.m. de 4.10 x 2.20 mts </t>
  </si>
  <si>
    <t>Mantenimiento de ventaneria de fachada consiste en pintura de esmalte en marcos y cambio de vidrios averiados .Medidas 2.70 x 1.20</t>
  </si>
  <si>
    <t>Rampa en concretro de 3.000 psi  para minusvalidos, incluye demolicion jardineras, compactacion de terreno con material seleccionado, construccion de muros de base para las rampas, plantilla en concreto a la vista. Barandas en tuberia galvanizada de 2". Ancho : 1.00 mts</t>
  </si>
  <si>
    <t>OTROS</t>
  </si>
  <si>
    <t>Aseo y retiro de escombros</t>
  </si>
  <si>
    <t>gb</t>
  </si>
  <si>
    <t>TOTAL PRESUPUESTO MANTENIMIENTO Y ADECUACION  SEDE SECCIONAL PUERTO BERRIO -ANTIOQUIA</t>
  </si>
  <si>
    <t>IVAN POLO POLO</t>
  </si>
  <si>
    <t>Diretor de Obras</t>
  </si>
  <si>
    <t>CONSTRUCTORES E INTERVENTORES LTDA.</t>
  </si>
  <si>
    <t>VALIDEZ DE LA OFERTA : 30 DIAS</t>
  </si>
  <si>
    <t>OBJETO: MANTENIMIENTO Y ADECUACION  SEDE SECCIONAL PUERTO BERRIO -ANTIOQUIA</t>
  </si>
  <si>
    <t>PROPUESTA ECONOMICA</t>
  </si>
  <si>
    <t>ing. JANDY SOCARRAS</t>
  </si>
  <si>
    <t>Rep. Legal J.Soluciones</t>
  </si>
  <si>
    <t>INSTITUTO COLOMBIANO AGROPECUARIO ICA</t>
  </si>
  <si>
    <t>MANTENIMIENTO Y ADECUACION  SEDE SECCIONAL PUERTO BERRIO -ANTIOQUIA</t>
  </si>
  <si>
    <t>PROMEDIO</t>
  </si>
  <si>
    <t>COTIZACION 1</t>
  </si>
  <si>
    <t>COTIZACION 2</t>
  </si>
  <si>
    <t>VR. PROM/TOT.</t>
  </si>
  <si>
    <t>Ing JORGE LUIS CASTRO</t>
  </si>
  <si>
    <t>Coordinador del Grupo de Mnatenimieto Fisica e infraestructura</t>
  </si>
  <si>
    <t xml:space="preserve">ANALISIS DE PRECIOS UNITARIOS </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</si>
  <si>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</si>
  <si>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ITEM</t>
  </si>
  <si>
    <t>CODIGO</t>
  </si>
  <si>
    <t>0.001</t>
  </si>
  <si>
    <t>UNIDAD</t>
  </si>
  <si>
    <t>TOTAL</t>
  </si>
  <si>
    <t>Cuadrilla ayudante</t>
  </si>
  <si>
    <t>I. EQUIPOS</t>
  </si>
  <si>
    <t>Cuadrilla oficial</t>
  </si>
  <si>
    <t>DESCRIPCCION</t>
  </si>
  <si>
    <t>Tipo</t>
  </si>
  <si>
    <t>Tarifa/ Hora</t>
  </si>
  <si>
    <t>Rendimiento</t>
  </si>
  <si>
    <t>Valor. Unt.</t>
  </si>
  <si>
    <t>Subtotal</t>
  </si>
  <si>
    <t>Pulidora</t>
  </si>
  <si>
    <t>Taladro elecrico</t>
  </si>
  <si>
    <t>Equipo de soldadura</t>
  </si>
  <si>
    <t xml:space="preserve">Herramientas menores </t>
  </si>
  <si>
    <t>II. MATERIALES EN OBRA</t>
  </si>
  <si>
    <t>Unidad</t>
  </si>
  <si>
    <t>Prec.-Unit.</t>
  </si>
  <si>
    <t>Cantidad</t>
  </si>
  <si>
    <t>Valor. Parc.</t>
  </si>
  <si>
    <t>Boquilla polvo para junta de pisos</t>
  </si>
  <si>
    <t>Ceramica 40x40 trafico 5</t>
  </si>
  <si>
    <t>mortero</t>
  </si>
  <si>
    <t>III. TRANSPORTES</t>
  </si>
  <si>
    <t>Vol. Peso</t>
  </si>
  <si>
    <t>Distancia</t>
  </si>
  <si>
    <t>m3-km</t>
  </si>
  <si>
    <t>Tarifa</t>
  </si>
  <si>
    <t>Valor.Unt.</t>
  </si>
  <si>
    <t>Material de recolección</t>
  </si>
  <si>
    <t>IV. MANO DE OBRA</t>
  </si>
  <si>
    <t>Jornal/Dia</t>
  </si>
  <si>
    <t>Prestaciones</t>
  </si>
  <si>
    <t>Jornal Total</t>
  </si>
  <si>
    <t>Val.Unt.</t>
  </si>
  <si>
    <t>OFICIAL</t>
  </si>
  <si>
    <t>AYUDANTE -(1)</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</si>
  <si>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</si>
  <si>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Construcción caja de inspección de aguas servidas del laboratorio</t>
  </si>
  <si>
    <t>0.002</t>
  </si>
  <si>
    <t>Excavacion 60 x 60 x 50 cm</t>
  </si>
  <si>
    <t>Concreto 3000 psi base de fondo 7 cm</t>
  </si>
  <si>
    <t xml:space="preserve">Sobreniv el ladrillo </t>
  </si>
  <si>
    <t>Pañete mortero 1:4</t>
  </si>
  <si>
    <t>Tapa en concreto E:7cm incluye ref,</t>
  </si>
  <si>
    <r>
      <t>Filtros en acero inoxidable 4"</t>
    </r>
    <r>
      <rPr>
        <sz val="11"/>
        <color rgb="FF000000"/>
        <rFont val="Calibri"/>
      </rPr>
      <t>Ø</t>
    </r>
  </si>
  <si>
    <t>AYUDANTE -(2)</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</si>
  <si>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</si>
  <si>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0.003</t>
  </si>
  <si>
    <t>GLOBAL</t>
  </si>
  <si>
    <t>Bloque bivroprensado</t>
  </si>
  <si>
    <t>Concreto 3000 psi viga cimiento (fundacion) de fondo 30x40 cm</t>
  </si>
  <si>
    <t xml:space="preserve">varilla de 5/8" </t>
  </si>
  <si>
    <t xml:space="preserve">varilla de 3/8" </t>
  </si>
  <si>
    <t>Mortero 1:4</t>
  </si>
  <si>
    <t>Filte en granito</t>
  </si>
  <si>
    <t>IV. MANO DE OBRA incluye excavacion de 30x40</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</si>
  <si>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</si>
  <si>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Arreglo de ventana recepción de muestras, se retira una de las  correderas existente y se adapta una ventana tipo guillotina de 1,3 * 1,4 m con cristal incoloro de 5 mm</t>
  </si>
  <si>
    <t>0.004</t>
  </si>
  <si>
    <t xml:space="preserve"> Ventana tipo guillotina de 1,3 * 1,4 m con cristal incoloro de 5 mm</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</si>
  <si>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</si>
  <si>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 xml:space="preserve">Suministro e instalación de entrepaño en cristal incoloro de 10 mm pulido brillado de a=0,5 m incluye apoyos en aluminio </t>
  </si>
  <si>
    <t>0.005</t>
  </si>
  <si>
    <t xml:space="preserve">Entrepaño en cristal incoloro de 10 mm pulido brillado de a=0,5 m incluye apoyos en aluminio </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</si>
  <si>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</si>
  <si>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Puertas tamboradas en triplex, pintadas en barniz transparente, con sus cerradura y todos los accesorios necesarios para su funcionamiento. DE ,80X 2,00 MTS</t>
  </si>
  <si>
    <t>0.006</t>
  </si>
  <si>
    <t>Puerta tamboradas en triplex, pintadas en barniz transparente, con sus cerradura y todos los accesorios necesarios para su funcionamiento. DE ,80X 2,00 MTS</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</si>
  <si>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</si>
  <si>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0.007</t>
  </si>
  <si>
    <t>lavamanos acuario de 0,56*0,37 m h=30 cm con griferias</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</si>
  <si>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</si>
  <si>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Desmonte de las existente,  suministro, e instalación de grifería tipo monocontrol ref.19401 D'acqua o similar.</t>
  </si>
  <si>
    <t>0.008</t>
  </si>
  <si>
    <t>Grifería tipo monocontrol ref.19401 D'acqua o similar.</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</si>
  <si>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</si>
  <si>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Enchape de mesón exterior en concreto atención público con porcelanato pulido medidas 3.0*0,7 m, incluye remates.</t>
  </si>
  <si>
    <t>0.009</t>
  </si>
  <si>
    <t>Porcelanato</t>
  </si>
  <si>
    <t>Pegacor</t>
  </si>
  <si>
    <t>Remates en aluminio</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</si>
  <si>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</si>
  <si>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 xml:space="preserve">Estuco y pintura </t>
  </si>
  <si>
    <t>0.010</t>
  </si>
  <si>
    <t>Estuco exterior plastico</t>
  </si>
  <si>
    <t>GALON</t>
  </si>
  <si>
    <t xml:space="preserve">Pintura tipo coraza </t>
  </si>
  <si>
    <t>Lija 160</t>
  </si>
  <si>
    <t>Rodillo</t>
  </si>
  <si>
    <t>Brocha 3"</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</si>
  <si>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</si>
  <si>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0.011</t>
  </si>
  <si>
    <t>HORA</t>
  </si>
  <si>
    <t>Tubo galvanizado de 2 pulgadas</t>
  </si>
  <si>
    <t>concreto de 300psi</t>
  </si>
  <si>
    <t>Pintura esmalte</t>
  </si>
  <si>
    <t>galon</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</si>
  <si>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</si>
  <si>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Cambio de ventanería existente, incluye desmonte,alistado de vano y remates finales; suministro e instalación de ventanería en aluminio anodizado blanco mate, sistema proyectante tipo pesado , montado en esquinero 415 y contramarco de 2"*1",  cristal incoloro de  5 mm.</t>
  </si>
  <si>
    <t>0.012</t>
  </si>
  <si>
    <t>Ventana en aluminio anodizado blanco mate, sistema proyectante tipo pesado , montado en esquinero 415 y contramarco de 2"*1",  cristal incoloro de  5 mm.</t>
  </si>
  <si>
    <t>Cambio de ventanería existente, incluye desmonte,alistado de vano y remates finales</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</si>
  <si>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</si>
  <si>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Construcción de mediacaña en mortero  esquinero vertical para matar angulo, incluye estuco y pintura bioxida.</t>
  </si>
  <si>
    <t>0.013</t>
  </si>
  <si>
    <t xml:space="preserve"> MorterO 1:4</t>
  </si>
  <si>
    <t>Pintura bioxida</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</si>
  <si>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</si>
  <si>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Suministro e instalación cajonera metálica medidas 0,8*0,6*0,5, pinura electrostática , incluye cerraduras y rodachinas plásticas.</t>
  </si>
  <si>
    <t>0.014</t>
  </si>
  <si>
    <t>Cajonera metálica con medidas de 0,8*0,6*0,5, pinura electrostática , incluye cerraduras y rodachinas plásticas.</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</si>
  <si>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</si>
  <si>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Suministro e instalación de cajonera  metálica tipo instrumental de 0,8*0,6*0,5 de 7 cajones pintura electrostática , incluye cerraduras y rodachinas plástica</t>
  </si>
  <si>
    <t>0.015</t>
  </si>
  <si>
    <t>cajonera  metálica tipo instrumental con medisdas de 0,8*0,6*0,5 de 7 y cajones pintura electrostática , incluye cerraduras y rodachinas plástica</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</si>
  <si>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</si>
  <si>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Sumistro y cambio de griferia existente, tipo cuello de cisne de manija.</t>
  </si>
  <si>
    <t>0.016</t>
  </si>
  <si>
    <t>Griferia lavaplatos monocontrol en bronce cuello de cisne</t>
  </si>
  <si>
    <t xml:space="preserve">Cinta teflon </t>
  </si>
  <si>
    <t>Saldadura pvc pavco 1/4 GL</t>
  </si>
  <si>
    <t xml:space="preserve">Estuco y pintura alero de 4.3*0,5 </t>
  </si>
  <si>
    <t>0.017</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</si>
  <si>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</si>
  <si>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Suministro de cielo raso en dry wall</t>
  </si>
  <si>
    <t>0.025</t>
  </si>
  <si>
    <t xml:space="preserve">Rodillo </t>
  </si>
  <si>
    <t>Tablon rustico</t>
  </si>
  <si>
    <t>Andamios</t>
  </si>
  <si>
    <t>Angulo de aluminio</t>
  </si>
  <si>
    <t>Principal</t>
  </si>
  <si>
    <t>tornillo estructura</t>
  </si>
  <si>
    <t>Tornillo lamina</t>
  </si>
  <si>
    <t>Lamina de dray wall 1,4 mm</t>
  </si>
  <si>
    <t>Omega</t>
  </si>
  <si>
    <t>Cinta malla</t>
  </si>
  <si>
    <t>GL</t>
  </si>
  <si>
    <t>Estuco toptec</t>
  </si>
  <si>
    <t>Vinilo color blanco tipo II</t>
  </si>
  <si>
    <t>MATERIAL DE RECOLECCION</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</si>
  <si>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</si>
  <si>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Suministro e instalación de puerta en aluminio y  cristal  de 6  mm de 2,1*0,82 m.Incluye un montante  de 70 cm para aislar la esclusa.</t>
  </si>
  <si>
    <t>0.026</t>
  </si>
  <si>
    <t>Puerta en aluminio y  cristal  de 6  mm de 2,1*0,82 m.Incluye un montante  de 70 cm</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</si>
  <si>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</si>
  <si>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0.028</t>
  </si>
  <si>
    <t>Cemnto blanco</t>
  </si>
  <si>
    <t>Kg</t>
  </si>
  <si>
    <t>Inodoro / sanitario ref. acuario o similar</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</si>
  <si>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</si>
  <si>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Suministro e instalación de divisiones de baño metálicas en lámina coll-roys cal.18 con acabado en pintura electrostática, incluye  2  puertas.</t>
  </si>
  <si>
    <t>0.029</t>
  </si>
  <si>
    <t xml:space="preserve">Divisiones de baño metálicas en lámina coll-roys cal.18 </t>
  </si>
  <si>
    <t xml:space="preserve">Puerta metálicas en lámina coll-roys cal.18 </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</si>
  <si>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</si>
  <si>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 xml:space="preserve">Suministro e instalación de entrepaño en cristal incoloro de 10 mm pulido brillado de a=0,6*1,3 m incluye apoyos en aluminio. </t>
  </si>
  <si>
    <t>0.030</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</si>
  <si>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</si>
  <si>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Cortar muro existente  de 0,30 cm  sobre el  meson central en granito natural y  volver a fundir y pulir el granito para lograr la homogeneidad del acabado.</t>
  </si>
  <si>
    <t>0.037</t>
  </si>
  <si>
    <t xml:space="preserve">Fundido en granito </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</si>
  <si>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</si>
  <si>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ASEO GENERAL</t>
  </si>
  <si>
    <t>0.052</t>
  </si>
  <si>
    <t>Aditivos</t>
  </si>
  <si>
    <t>KG</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</si>
  <si>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</si>
  <si>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Construcción de pollos de 0,9 m</t>
  </si>
  <si>
    <t>0.054</t>
  </si>
  <si>
    <t>Tabla cepillada de 9 cm</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</si>
  <si>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</si>
  <si>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 xml:space="preserve">Puerta principal en aluminio color blanco, sistema proyectante tipo pesado montado en esquinero 415 y contramarco 2" x 1" y vidrio color verde 5m.m. de 4.10 x 2.20 mts </t>
  </si>
  <si>
    <t>0.057</t>
  </si>
  <si>
    <t>Pintura exterior con pintura acrílica para exteriores tipo KORAZA o similar, incluye pintura exterior de puerta de acceso con esmalte acrílico.</t>
  </si>
  <si>
    <t>0.058</t>
  </si>
  <si>
    <t xml:space="preserve">Pintura coraza </t>
  </si>
  <si>
    <t xml:space="preserve">Pintura interior con pintura bioxida, incluye resanes y pintura interna de la puerta con esmalte acrílico. </t>
  </si>
  <si>
    <t>0.059</t>
  </si>
  <si>
    <t>Pintura Bioxida</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</si>
  <si>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</si>
  <si>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Construcción de anden perimetral de 0,5 m, e=8 cm</t>
  </si>
  <si>
    <t>0.060</t>
  </si>
  <si>
    <t>Barra de 12 lb.</t>
  </si>
  <si>
    <t>Martillo retractil</t>
  </si>
  <si>
    <t>Malla electrosoñdada 15 x 15 2,36 x 6 4 x 4 mm</t>
  </si>
  <si>
    <t>Afinado en cemento gris</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</si>
  <si>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</si>
  <si>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Desmonte y retiro  de tela asfaltica existente en mal estado</t>
  </si>
  <si>
    <t>0.061</t>
  </si>
  <si>
    <t>0.062</t>
  </si>
  <si>
    <t xml:space="preserve">lamina de eternit </t>
  </si>
  <si>
    <t>tornillo lamina 3,5"</t>
  </si>
  <si>
    <t>Pintura Bituminosa</t>
  </si>
  <si>
    <t>alumol sika 0,8 kg</t>
  </si>
  <si>
    <t xml:space="preserve">Manto P3 Pro 10 M x 1m x 3mm
</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</si>
  <si>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</si>
  <si>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Cielo raso en lamina yeso carton (driwill),  incluye estructura de soporte y  pintura de acabado final a 2 manos tipo 1</t>
  </si>
  <si>
    <t>0.063</t>
  </si>
  <si>
    <r>
      <rPr>
        <b/>
        <sz val="11"/>
        <color rgb="FFFFC000"/>
        <rFont val="Calibri"/>
      </rPr>
      <t xml:space="preserve">INSTITUTO </t>
    </r>
    <r>
      <rPr>
        <b/>
        <sz val="11"/>
        <color rgb="FF0070C0"/>
        <rFont val="Calibri"/>
      </rPr>
      <t>COLOMBIANO</t>
    </r>
    <r>
      <rPr>
        <sz val="11"/>
        <color rgb="FF000000"/>
        <rFont val="Calibri"/>
      </rPr>
      <t xml:space="preserve"> </t>
    </r>
    <r>
      <rPr>
        <b/>
        <sz val="11"/>
        <color rgb="FFFF0000"/>
        <rFont val="Calibri"/>
      </rPr>
      <t>AGROPECUARIO</t>
    </r>
    <r>
      <rPr>
        <b/>
        <sz val="11"/>
        <color rgb="FF000000"/>
        <rFont val="Calibri"/>
      </rPr>
      <t xml:space="preserve"> </t>
    </r>
    <r>
      <rPr>
        <b/>
        <sz val="11"/>
        <color rgb="FF00B050"/>
        <rFont val="Calibri"/>
      </rPr>
      <t>ICA</t>
    </r>
  </si>
  <si>
    <t>Cerramiento en malla eslabonada plastificada H=2.00</t>
  </si>
  <si>
    <t>0.064</t>
  </si>
  <si>
    <t>DIA</t>
  </si>
  <si>
    <t>Malla eslabonada plastificada hueco 2X1/4 X 2X1/4 h=2.00 metros</t>
  </si>
  <si>
    <t>Tubo galvanizado para cerramiento 1 1/2" L: 6 verival</t>
  </si>
  <si>
    <t xml:space="preserve">Tubo galvanizado para cerramiento 1" L: 6 </t>
  </si>
  <si>
    <t xml:space="preserve">soldadura 6011 </t>
  </si>
  <si>
    <t>Alambre plastificado para malla eslabonada</t>
  </si>
  <si>
    <r>
      <rPr>
        <b/>
        <sz val="11"/>
        <color rgb="FFFFC000"/>
        <rFont val="Calibri"/>
      </rPr>
      <t xml:space="preserve">INSTITUTO </t>
    </r>
    <r>
      <rPr>
        <b/>
        <sz val="11"/>
        <color rgb="FF0070C0"/>
        <rFont val="Calibri"/>
      </rPr>
      <t>COLOMBIANO</t>
    </r>
    <r>
      <rPr>
        <b/>
        <sz val="11"/>
        <color rgb="FF000000"/>
        <rFont val="Calibri"/>
      </rPr>
      <t xml:space="preserve"> </t>
    </r>
    <r>
      <rPr>
        <b/>
        <sz val="11"/>
        <color rgb="FFFF0000"/>
        <rFont val="Calibri"/>
      </rPr>
      <t>AGROPECUARIO</t>
    </r>
    <r>
      <rPr>
        <b/>
        <sz val="11"/>
        <color rgb="FF000000"/>
        <rFont val="Calibri"/>
      </rPr>
      <t xml:space="preserve"> </t>
    </r>
    <r>
      <rPr>
        <b/>
        <sz val="11"/>
        <color rgb="FF00B050"/>
        <rFont val="Calibri"/>
      </rPr>
      <t>ICA</t>
    </r>
  </si>
  <si>
    <t>0.065</t>
  </si>
  <si>
    <r>
      <rPr>
        <b/>
        <sz val="11"/>
        <color rgb="FFFFC000"/>
        <rFont val="Calibri"/>
      </rPr>
      <t>INSTITUTO</t>
    </r>
    <r>
      <rPr>
        <b/>
        <sz val="11"/>
        <color rgb="FF000000"/>
        <rFont val="Calibri"/>
      </rPr>
      <t xml:space="preserve"> </t>
    </r>
    <r>
      <rPr>
        <b/>
        <sz val="11"/>
        <color rgb="FF0070C0"/>
        <rFont val="Calibri"/>
      </rPr>
      <t>COLOMBIANO</t>
    </r>
    <r>
      <rPr>
        <b/>
        <sz val="11"/>
        <color rgb="FFFF0000"/>
        <rFont val="Calibri"/>
      </rPr>
      <t xml:space="preserve"> AGROPECUARIO</t>
    </r>
    <r>
      <rPr>
        <b/>
        <sz val="11"/>
        <color rgb="FF000000"/>
        <rFont val="Calibri"/>
      </rPr>
      <t xml:space="preserve"> </t>
    </r>
    <r>
      <rPr>
        <b/>
        <sz val="11"/>
        <color rgb="FF00B050"/>
        <rFont val="Calibri"/>
      </rPr>
      <t>ICA</t>
    </r>
  </si>
  <si>
    <t>0.066</t>
  </si>
  <si>
    <t>andamios</t>
  </si>
  <si>
    <r>
      <rPr>
        <b/>
        <sz val="11"/>
        <color rgb="FFFFC000"/>
        <rFont val="Calibri"/>
      </rPr>
      <t>INSTITUTO</t>
    </r>
    <r>
      <rPr>
        <b/>
        <sz val="11"/>
        <color rgb="FF0070C0"/>
        <rFont val="Calibri"/>
      </rPr>
      <t xml:space="preserve"> COLOMBIANO </t>
    </r>
    <r>
      <rPr>
        <b/>
        <sz val="11"/>
        <color rgb="FFFF0000"/>
        <rFont val="Calibri"/>
      </rPr>
      <t>AGROPECUARIO</t>
    </r>
    <r>
      <rPr>
        <b/>
        <sz val="11"/>
        <color rgb="FF00B050"/>
        <rFont val="Calibri"/>
      </rPr>
      <t xml:space="preserve"> ICA</t>
    </r>
  </si>
  <si>
    <r>
      <rPr>
        <sz val="11"/>
        <color rgb="FFFFC000"/>
        <rFont val="Calibri"/>
      </rPr>
      <t xml:space="preserve">INSTITUTO </t>
    </r>
    <r>
      <rPr>
        <sz val="11"/>
        <color rgb="FF0070C0"/>
        <rFont val="Calibri"/>
      </rPr>
      <t>COLOMBIANO</t>
    </r>
    <r>
      <rPr>
        <sz val="11"/>
        <color rgb="FF000000"/>
        <rFont val="Calibri"/>
      </rPr>
      <t xml:space="preserve"> </t>
    </r>
    <r>
      <rPr>
        <b/>
        <sz val="11"/>
        <color rgb="FFFF0000"/>
        <rFont val="Calibri"/>
      </rPr>
      <t xml:space="preserve">AGROPECUARIO </t>
    </r>
    <r>
      <rPr>
        <b/>
        <sz val="11"/>
        <color rgb="FF00B050"/>
        <rFont val="Calibri"/>
      </rPr>
      <t>ICA</t>
    </r>
  </si>
  <si>
    <t>Desmolicion de piso acual.</t>
  </si>
  <si>
    <t>0.067</t>
  </si>
  <si>
    <r>
      <rPr>
        <b/>
        <sz val="11"/>
        <color rgb="FFFFC000"/>
        <rFont val="Calibri"/>
      </rPr>
      <t>INSTITUTO</t>
    </r>
    <r>
      <rPr>
        <b/>
        <sz val="11"/>
        <color rgb="FF000000"/>
        <rFont val="Calibri"/>
      </rPr>
      <t xml:space="preserve"> </t>
    </r>
    <r>
      <rPr>
        <b/>
        <sz val="11"/>
        <color rgb="FF0070C0"/>
        <rFont val="Calibri"/>
      </rPr>
      <t xml:space="preserve">COLOMBIANO </t>
    </r>
    <r>
      <rPr>
        <b/>
        <sz val="11"/>
        <color rgb="FFFF0000"/>
        <rFont val="Calibri"/>
      </rPr>
      <t>AGROPECUARIO</t>
    </r>
    <r>
      <rPr>
        <b/>
        <sz val="11"/>
        <color rgb="FF00B050"/>
        <rFont val="Calibri"/>
      </rPr>
      <t xml:space="preserve"> ICA</t>
    </r>
  </si>
  <si>
    <t>0.068</t>
  </si>
  <si>
    <t>Pintura vinilo tipo 1</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</si>
  <si>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B050"/>
        <rFont val="Calibri"/>
      </rPr>
      <t xml:space="preserve"> ICA</t>
    </r>
  </si>
  <si>
    <t>0.069</t>
  </si>
  <si>
    <t>Equipo de pintura electroestatica</t>
  </si>
  <si>
    <t xml:space="preserve">superficies en en triplex 18m.m. forrado en formica, </t>
  </si>
  <si>
    <t>unidad</t>
  </si>
  <si>
    <t xml:space="preserve">Soportes metalicos </t>
  </si>
  <si>
    <t xml:space="preserve">Pintura electroestatica  </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</si>
  <si>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0000"/>
        <rFont val="Calibri"/>
      </rPr>
      <t xml:space="preserve"> I</t>
    </r>
    <r>
      <rPr>
        <b/>
        <sz val="11"/>
        <color rgb="FF00B050"/>
        <rFont val="Calibri"/>
      </rPr>
      <t>CA</t>
    </r>
  </si>
  <si>
    <t>0.070</t>
  </si>
  <si>
    <t>Escalera metalica plegable</t>
  </si>
  <si>
    <t>Aire acondicionado mini split de 12000 btu</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</si>
  <si>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0000"/>
        <rFont val="Calibri"/>
      </rPr>
      <t xml:space="preserve"> I</t>
    </r>
    <r>
      <rPr>
        <b/>
        <sz val="11"/>
        <color rgb="FF00B050"/>
        <rFont val="Calibri"/>
      </rPr>
      <t>CA</t>
    </r>
  </si>
  <si>
    <t>0.071</t>
  </si>
  <si>
    <t>Tadem de 4 puestos silla sala de espera metalica tapizada color azul 1a</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</si>
  <si>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0000"/>
        <rFont val="Calibri"/>
      </rPr>
      <t xml:space="preserve"> I</t>
    </r>
    <r>
      <rPr>
        <b/>
        <sz val="11"/>
        <color rgb="FF00B050"/>
        <rFont val="Calibri"/>
      </rPr>
      <t>CA</t>
    </r>
  </si>
  <si>
    <t>0.072</t>
  </si>
  <si>
    <t>puerta parabaño en lamina acrilica</t>
  </si>
  <si>
    <t xml:space="preserve">IV. MANO DE OBRA mantenimiento general </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</si>
  <si>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0000"/>
        <rFont val="Calibri"/>
      </rPr>
      <t xml:space="preserve"> I</t>
    </r>
    <r>
      <rPr>
        <b/>
        <sz val="11"/>
        <color rgb="FF00B050"/>
        <rFont val="Calibri"/>
      </rPr>
      <t>CA</t>
    </r>
  </si>
  <si>
    <t>0.073</t>
  </si>
  <si>
    <t>Brocha 1"</t>
  </si>
  <si>
    <t>Tiener diluible</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</si>
  <si>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0000"/>
        <rFont val="Calibri"/>
      </rPr>
      <t xml:space="preserve"> I</t>
    </r>
    <r>
      <rPr>
        <b/>
        <sz val="11"/>
        <color rgb="FF00B050"/>
        <rFont val="Calibri"/>
      </rPr>
      <t>CA</t>
    </r>
  </si>
  <si>
    <t>0.074</t>
  </si>
  <si>
    <t xml:space="preserve">SikaTop®-122 Plus Monocomponente Mortero acrilico de un componente para reparaciones estructurales 25kg
</t>
  </si>
  <si>
    <t>SikaLátex® Aditivo adherente para morteros 25kg</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</si>
  <si>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0000"/>
        <rFont val="Calibri"/>
      </rPr>
      <t xml:space="preserve"> I</t>
    </r>
    <r>
      <rPr>
        <b/>
        <sz val="11"/>
        <color rgb="FF00B050"/>
        <rFont val="Calibri"/>
      </rPr>
      <t>CA</t>
    </r>
  </si>
  <si>
    <t>0.075</t>
  </si>
  <si>
    <t xml:space="preserve">arena organica 
</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</si>
  <si>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</si>
  <si>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 xml:space="preserve">Totalizador tripolar de 150 amperios, borneras en cobre,  para sobreponer en caja metalica </t>
  </si>
  <si>
    <t>0.076</t>
  </si>
  <si>
    <t>Totalizador tripolar de 150 amperios</t>
  </si>
  <si>
    <t>borneras en cobre</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</si>
  <si>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</si>
  <si>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0.077</t>
  </si>
  <si>
    <t>Tablero trifásico de 30 circuitos</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</si>
  <si>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</si>
  <si>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0.078</t>
  </si>
  <si>
    <t>Escalera plegable</t>
  </si>
  <si>
    <t>Pegante para PVC 1/8</t>
  </si>
  <si>
    <t>Cinta aislante</t>
  </si>
  <si>
    <t>Tubo Berman de 3/4 pulg</t>
  </si>
  <si>
    <t>Alambre aislado Nº 10</t>
  </si>
  <si>
    <t>Alambre aislado Nº 12</t>
  </si>
  <si>
    <t>curva electrica 3/4"</t>
  </si>
  <si>
    <t xml:space="preserve">cruceta electrica </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</si>
  <si>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</si>
  <si>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0.094</t>
  </si>
  <si>
    <t>paneles  led de ,30 x ,30 mts, 45 watios , 110 voltios, color blanco</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</si>
  <si>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0000"/>
        <rFont val="Calibri"/>
      </rPr>
      <t xml:space="preserve"> I</t>
    </r>
    <r>
      <rPr>
        <b/>
        <sz val="11"/>
        <color rgb="FF00B050"/>
        <rFont val="Calibri"/>
      </rPr>
      <t>CA</t>
    </r>
  </si>
  <si>
    <t>Mantenimiento de ventaneria de fachada consiste en pintura de esmalte en marcos y cambio de vidrios averiados .</t>
  </si>
  <si>
    <t>0.095</t>
  </si>
  <si>
    <t>Vidrios</t>
  </si>
  <si>
    <r>
      <rPr>
        <b/>
        <sz val="11"/>
        <color rgb="FFFFC000"/>
        <rFont val="Calibri"/>
      </rPr>
      <t>INSTITUTO</t>
    </r>
    <r>
      <rPr>
        <b/>
        <sz val="11"/>
        <color rgb="FF000000"/>
        <rFont val="Calibri"/>
      </rPr>
      <t xml:space="preserve"> </t>
    </r>
    <r>
      <rPr>
        <b/>
        <sz val="11"/>
        <color rgb="FF0070C0"/>
        <rFont val="Calibri"/>
      </rPr>
      <t>COLOMBIANO</t>
    </r>
    <r>
      <rPr>
        <b/>
        <sz val="11"/>
        <color rgb="FF000000"/>
        <rFont val="Calibri"/>
      </rPr>
      <t xml:space="preserve"> </t>
    </r>
    <r>
      <rPr>
        <b/>
        <sz val="11"/>
        <color rgb="FFFF0000"/>
        <rFont val="Calibri"/>
      </rPr>
      <t>AGROPECUARIO</t>
    </r>
    <r>
      <rPr>
        <b/>
        <sz val="11"/>
        <color rgb="FF00B050"/>
        <rFont val="Calibri"/>
      </rPr>
      <t xml:space="preserve"> ICA</t>
    </r>
  </si>
  <si>
    <t>Rampa en concretro de 3.000 psi  para minusvalidos, incluye demolicion jardineras, compactacion de terreno con material seleccionado, construccion de muros de base para las rampas, plantilla en concreto a la vista. Barandas en tuberia galvanizada de 2"</t>
  </si>
  <si>
    <t>0.096</t>
  </si>
  <si>
    <t>Canguro DISSEL</t>
  </si>
  <si>
    <t xml:space="preserve">varilla de 1/2" </t>
  </si>
  <si>
    <t>Placa de Concreto 3000 psi base de fondo 7 cm</t>
  </si>
  <si>
    <t>Relleno seleccionado</t>
  </si>
  <si>
    <t>pasamnos en tubo galvanizado de 2"</t>
  </si>
  <si>
    <r>
      <t>IV. MANO DE OBRA</t>
    </r>
    <r>
      <rPr>
        <sz val="11"/>
        <color rgb="FF000000"/>
        <rFont val="Calibri"/>
      </rPr>
      <t xml:space="preserve"> incluye excavacion, vaceado y armado de acero, compacion de relleno mas demolicion de jardineras</t>
    </r>
  </si>
  <si>
    <t xml:space="preserve">ELECTRICAS </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</si>
  <si>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</si>
  <si>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codigo</t>
  </si>
  <si>
    <t>0.092</t>
  </si>
  <si>
    <t>Salida de tomacorriente de 110 V</t>
  </si>
  <si>
    <t>Cod.</t>
  </si>
  <si>
    <t>Descripcion</t>
  </si>
  <si>
    <t>D.%</t>
  </si>
  <si>
    <t>Valor</t>
  </si>
  <si>
    <t>subtotal</t>
  </si>
  <si>
    <t>MATERIAL</t>
  </si>
  <si>
    <t>ALAMBRE AISLADO #12</t>
  </si>
  <si>
    <t>TUBERIA CONDUIT 1/2</t>
  </si>
  <si>
    <t>CURVA 90 X 1/2"</t>
  </si>
  <si>
    <t>ADAPTADOR PARA CAJA 1/2"</t>
  </si>
  <si>
    <t>TOMA DOBLE</t>
  </si>
  <si>
    <t xml:space="preserve">CAJA RECTANGULAR </t>
  </si>
  <si>
    <t>CINTA AISLANTE</t>
  </si>
  <si>
    <t>ROLLO</t>
  </si>
  <si>
    <t>SOLDADURA LIQUIDA PVC</t>
  </si>
  <si>
    <t xml:space="preserve">GL </t>
  </si>
  <si>
    <t>Equipos y herraminetas</t>
  </si>
  <si>
    <t>MO</t>
  </si>
  <si>
    <t>jornal</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</si>
  <si>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</si>
  <si>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0.091</t>
  </si>
  <si>
    <t>Salida de alumbrado 110 V</t>
  </si>
  <si>
    <t>INTERRUPTOR SENCILLO</t>
  </si>
  <si>
    <t>CAJA OCTOGONAL</t>
  </si>
  <si>
    <t>HERRAMIENTA MENOR</t>
  </si>
  <si>
    <t>GLOB</t>
  </si>
  <si>
    <r>
      <rPr>
        <b/>
        <sz val="11"/>
        <color rgb="FFFFC000"/>
        <rFont val="Calibri"/>
      </rPr>
      <t xml:space="preserve">INSTITUTO </t>
    </r>
    <r>
      <rPr>
        <b/>
        <sz val="11"/>
        <color rgb="FF0070C0"/>
        <rFont val="Calibri"/>
      </rPr>
      <t xml:space="preserve">COLOMBIANO </t>
    </r>
    <r>
      <rPr>
        <b/>
        <sz val="11"/>
        <color rgb="FFFF0000"/>
        <rFont val="Calibri"/>
      </rPr>
      <t>AGROPECUARIO</t>
    </r>
    <r>
      <rPr>
        <b/>
        <sz val="11"/>
        <color rgb="FF000000"/>
        <rFont val="Calibri"/>
      </rPr>
      <t xml:space="preserve"> </t>
    </r>
    <r>
      <rPr>
        <b/>
        <sz val="11"/>
        <color rgb="FF33CC33"/>
        <rFont val="Calibri"/>
      </rPr>
      <t>ICA</t>
    </r>
  </si>
  <si>
    <t>0.090</t>
  </si>
  <si>
    <t>Salida para aire acondicionado 220 V</t>
  </si>
  <si>
    <t xml:space="preserve">TOTAL </t>
  </si>
  <si>
    <t>TOMA PARA AIRE ACONDICIONADO</t>
  </si>
  <si>
    <t>CAJA CUADRADA</t>
  </si>
  <si>
    <t>Tablero de distribucionde  3 circuitos</t>
  </si>
  <si>
    <t>Herramienta menor</t>
  </si>
  <si>
    <t>SPT Sistema de puesta a tierra TG</t>
  </si>
  <si>
    <t>Descripción</t>
  </si>
  <si>
    <t>Unidad.</t>
  </si>
  <si>
    <t>Cantidad.</t>
  </si>
  <si>
    <t>Vr. Unitario</t>
  </si>
  <si>
    <t>Vr. Parcial</t>
  </si>
  <si>
    <t>Materiales:</t>
  </si>
  <si>
    <t>m</t>
  </si>
  <si>
    <t xml:space="preserve">Varilla cadweld 2.4 m </t>
  </si>
  <si>
    <t>Dias</t>
  </si>
  <si>
    <t>Suministro e Instalación lampara industrial T5 P 54W</t>
  </si>
  <si>
    <t>suttotal</t>
  </si>
  <si>
    <t xml:space="preserve">Suministro e Instalación bombilla espiral E27 120W </t>
  </si>
  <si>
    <t>Diseño, construcción e instalación de tablero de distribución general, cofre 16, para alojar totalizador general de 500A  y  interruptores termomagnéticos tripolares de caja moldeada 1x400A (1),  1x125A (1), 3x100A (3), 3x80A (3), con espacio para reservas, DPS, barraje de fase neutro y tierra, incluye: Obras civiles, conexionado de circuitos existentes, marquillado, termomagneticos, retiro de tablero existente. Cumplimiento de normas NTC 2050 y RETIE</t>
  </si>
  <si>
    <t>2.6</t>
  </si>
  <si>
    <t>3.4</t>
  </si>
  <si>
    <t xml:space="preserve">Construcción de dado de 40x40 cms h=35 cms en concreto </t>
  </si>
  <si>
    <t>Construccion de pedestal de columna seccion 25x25 cm. h=60 cm. en concreto reforzado</t>
  </si>
  <si>
    <t>Placa de contrapiso en concreto reforzado e=0.20 m, 3.000 psi</t>
  </si>
  <si>
    <t>Acero de refuerzo corrugado D=1/2 y D=3/8</t>
  </si>
  <si>
    <t>Suministro e instalación de puerta doble hoja de 1.90x2.20 m con tubo metalica y malla galvanizada eslabonada; incluye cerradura</t>
  </si>
  <si>
    <r>
      <t xml:space="preserve">Mantenimiento preventivo y/o correctivo de plantas electricas que incluye cambio de filtros de aceite, filtros de combustible, filtros de aire, cambio de baterías, precalentador (según sea el caso), diagnóstico (si no esta funcionando),tarjetas de control (según el caso), automatizacion de carga de combustible (segun el caso) y elementos adicionales que sean necesarios para su correcto funcionamiento. Para las plantas eléctricas ubicadas en las sedes, Tibataita Mosquera LNDF y CEISA Universidad Nacional Bogota. Asi:                                                                                                                                          </t>
    </r>
    <r>
      <rPr>
        <b/>
        <sz val="9"/>
        <rFont val="Arial"/>
        <family val="2"/>
      </rPr>
      <t xml:space="preserve">Planta Electrica </t>
    </r>
    <r>
      <rPr>
        <sz val="9"/>
        <rFont val="Arial"/>
        <family val="2"/>
      </rPr>
      <t xml:space="preserve"> Marca LOVOL de 143 KW ubicada en TIBATAITA MOSQUERA Requiere:CAMBIO DE FILTROS DE COMBUSTIBLE, DE ACEITE,  DE REFRIGERANTE,  DE BATERÍAS, INSTALAR PRECALENTADOR, CAMBIO DE CARGADOR DE BATERIAS,  PRUEBA EN VACÍO,  AJUSTE DE TORNILLERÍA. ABRIR VENTANA PARA ACEDER A TOTALIZADOR, CONEXIÓN AUTOMÁTICA ENTRE LOS DOS TANQUES EL DE BASE Y EL DE RESERVA. ACTUALMENTE SE ENCUENTRA EN SERVICIO                                                                                                                                  </t>
    </r>
    <r>
      <rPr>
        <b/>
        <sz val="9"/>
        <rFont val="Arial"/>
        <family val="2"/>
      </rPr>
      <t>Planta Electrica</t>
    </r>
    <r>
      <rPr>
        <sz val="9"/>
        <rFont val="Arial"/>
        <family val="2"/>
      </rPr>
      <t xml:space="preserve">  Marca PERKINS de 44 KW ubicada en TIBATAITA MOSQUERA Requiere:CAMBIO DE FILTROS DE COMBUSTIBLE, DE ACEITE,  DE REFRIGERANTE,  DE BATERÍAS, INSTALAR PRECALENTADOR, CAMBIO DE CARGADOR DE BATERIAS,  PRUEBA EN VACÍO,  AJUSTE DE TORNILLERÍA, PUESTA EN FUNCIONAMIENTO,  ACTUALMENTE  NO SE ENCUENTRA EN SERVICIO.                                                                                                                                               </t>
    </r>
    <r>
      <rPr>
        <b/>
        <sz val="9"/>
        <rFont val="Arial"/>
        <family val="2"/>
      </rPr>
      <t>Planta Electrica</t>
    </r>
    <r>
      <rPr>
        <sz val="9"/>
        <rFont val="Arial"/>
        <family val="2"/>
      </rPr>
      <t xml:space="preserve">  Marca POWER LINK de 438 KW ubicada en CEISA Bogota. Requiere:CAMBIO DE FILTROS DE COMBUSTIBLE, DE ACEITE,  DE REFRIGERANTE,  DE BATERÍAS, PRECALENTADOR,  PRUEBA EN VACÍO,  AJUSTE DE TORNILLERÍA,  CAMBIAR TOTALIZADOR REF. DM1N 1600. ACTUALMENTE SE ENCUENTRA EN SERVICIO.                                                                                                                                                                                                     </t>
    </r>
    <r>
      <rPr>
        <b/>
        <sz val="9"/>
        <rFont val="Arial"/>
        <family val="2"/>
      </rPr>
      <t>Planta Electrica</t>
    </r>
    <r>
      <rPr>
        <sz val="9"/>
        <rFont val="Arial"/>
        <family val="2"/>
      </rPr>
      <t xml:space="preserve">  Marca LUMA de 125 KW ubicada en CEISA Bogota. Requiere:CAMBIO DE FILTROS DE COMBUSTIBLE, DE ACEITE,  DE REFRIGERANTE,  DE BATERÍAS, PRECALENTADOR,  PRUEBA EN VACÍO, PUESTA EN FUNCIONAMIENTO,  AJUSTE DE TORNILLERÍA.  ACTUALMENTE NO SE ENCUENTRA EN SERVICIO. </t>
    </r>
  </si>
  <si>
    <t>3.5</t>
  </si>
  <si>
    <t>3.6</t>
  </si>
  <si>
    <t>3.7</t>
  </si>
  <si>
    <t>3.8</t>
  </si>
  <si>
    <t>3.9</t>
  </si>
  <si>
    <t>3.10</t>
  </si>
  <si>
    <t>3.11</t>
  </si>
  <si>
    <t>3.12</t>
  </si>
  <si>
    <t>3.13</t>
  </si>
  <si>
    <t>3.14</t>
  </si>
  <si>
    <t>3.15</t>
  </si>
  <si>
    <t>3.16</t>
  </si>
  <si>
    <t>4.2</t>
  </si>
  <si>
    <t>4.3</t>
  </si>
  <si>
    <t>4.4</t>
  </si>
  <si>
    <t>MANTENIMIENTO PLANTAS ELECTRICAS, CALDERAS Y BIOCONTENCION</t>
  </si>
  <si>
    <t xml:space="preserve">El contratista debera tener en cuenta los costos adicionales que puedan surgir una vez este desarrollando esta actividad.La forma de pago sera  concertada con el supervisor del contrato y se cancelara  por un costo global GL  </t>
  </si>
  <si>
    <t xml:space="preserve">El contratista debera tener en cuenta los costos adicionales que puedan surgir una vez este desarrollando esta actividad.La forma de pago sera  concertada con el supervisor del contrato y se cancelara  por unidad UN  </t>
  </si>
  <si>
    <t xml:space="preserve">El contratista debera tener en cuenta los costos adicionales que puedan surgir una vez este desarrollando esta actividad.La forma de pago sera  concertada con el supervisor del contrato y se cancelara  por metro lineal ML  </t>
  </si>
  <si>
    <t xml:space="preserve"> La forma de pago sera  concertada con el supervisor del contrato y se cancelara  por ML  de cerramiento instalado.  (Establecido en las actas de mayores y menores cantidades de obra ). </t>
  </si>
  <si>
    <t xml:space="preserve"> La forma de pago sera  concertada con el supervisor del contrato y se cancelara  por M2.  (Establecido en las actas de mayores y menores cantidades de obra ). </t>
  </si>
  <si>
    <t xml:space="preserve"> La forma de pago sera  concertada con el supervisor del contrato y se cancelara  por M3.  (Establecido en las actas de mayores y menores cantidades de obra ). </t>
  </si>
  <si>
    <t xml:space="preserve"> La forma de pago sera  concertada con el supervisor del contrato y se cancelara  por metro lineal "Ml", instalada. </t>
  </si>
  <si>
    <t xml:space="preserve"> La forma de pago sera  concertada con el supervisor del contrato y se cancelara  por metro cuadrado "M2", instalada. </t>
  </si>
  <si>
    <t xml:space="preserve"> La forma de pago sera  concertada con el supervisor del contrato y se cancelara  por unidad "Un"  de superficie intervenida, por  corte de obra.  </t>
  </si>
  <si>
    <t xml:space="preserve"> La forma de pago sera  concertada con el supervisor del contrato y se cancelara  por kilogramo   "Kg" .  (Establecido en las actas de mayores y menores cantidades de obra ). </t>
  </si>
  <si>
    <t>Gl</t>
  </si>
  <si>
    <t>TRANSLADO PLANTA ELECTRICA LNDV</t>
  </si>
  <si>
    <t>MANTENIMIENTO DE PLANTAS ELECTRICAS MAS ADECUACION PARA TRASLADO DE PLANTA LUMA DE 125KW</t>
  </si>
  <si>
    <r>
      <t xml:space="preserve">Mantenimiento preventivo y/o correctivo de plantas electricas que incluye cambio de filtros de aceite, filtros de combustible, filtros de aire, cambio de baterías, precalentador (según sea el caso), diagnóstico (si no esta funcionando),tarjetas de control (según el caso), automatizacion de carga de combustible (segun el caso) y elementos adicionales que sean necesarios para su correcto funcionamiento. Para las plantas eléctricas ubicadas en las sedes, Tibataita Mosquera LNDF y CEISA Universidad Nacional Bogota. Asi:                                                                                                                                          </t>
    </r>
    <r>
      <rPr>
        <b/>
        <sz val="9"/>
        <rFont val="Arial"/>
      </rPr>
      <t xml:space="preserve">Planta Electrica </t>
    </r>
    <r>
      <rPr>
        <sz val="9"/>
        <rFont val="Arial"/>
      </rPr>
      <t xml:space="preserve"> Marca LOVOL de 143 KW ubicada en TIBATAITA MOSQUERA Requiere cambio: DE FILTROS DE COMBUSTIBLE, FILTRO IDE ACEITE, FILTRO  DE AIRE,  DE REFRIGERANTE,  DE BATERÍAS. INSTALAR PRECALENTADOR, CAMBIO DE CARGADOR DE BATERIAS,  PRUEBA EN VACÍO,  ACTUALIZACION DE LA TARJETA DEL TABLERO DE TRANSFERENCIA AUTOMATICA DE LA PLANTA, AJUSTE DE TORNILLERÍA. ABRIR VENTANA PARA ACEDER A TOTALIZADOR, CONEXIÓN AUTOMÁTICA ENTRE LOS DOS TANQUES EL DE BASE Y EL DE RESERVA (SI ES NECESARIO). ACTUALMENTE SE ENCUENTRA EN SERVICIO.                                                                                                                                   </t>
    </r>
    <r>
      <rPr>
        <b/>
        <sz val="9"/>
        <rFont val="Arial"/>
      </rPr>
      <t>Planta Electrica</t>
    </r>
    <r>
      <rPr>
        <sz val="9"/>
        <rFont val="Arial"/>
      </rPr>
      <t xml:space="preserve">  Marca PERKINS de 44 KW ubicada en TIBATAITA MOSQUERA Requiere cambio: DE FILTROS DE COMBUSTIBLE, FILTRO DE ACEITE, FILTRO AIRE,  DE REFRIGERANTE,  DE BATERÍAS. INSTALAR PRECALENTADOR, CAMBIO DE CARGADOR DE BATERIAS,  PRUEBA EN VACÍO,  AJUSTE DE TORNILLERÍA, PUESTA EN FUNCIONAMIENTO,  ACTUALMENTE  NO SE ENCUENTRA EN SERVICIO. SE REQUIERE REALIZAR UN DIAGNOSTICO.                                                                                                                                               </t>
    </r>
    <r>
      <rPr>
        <b/>
        <sz val="9"/>
        <rFont val="Arial"/>
      </rPr>
      <t>Planta Electrica</t>
    </r>
    <r>
      <rPr>
        <sz val="9"/>
        <rFont val="Arial"/>
      </rPr>
      <t xml:space="preserve">  Marca POWER LINK de 438 KW ubicada en CEISA Bogota. Requiere:CAMBIO DE FILTROS DE COMBUSTIBLE, DE ACEITE, DE AIRE,  DE REFRIGERANTE,  DE BATERÍAS, PRECALENTADOR,  PRUEBA EN VACÍO,  AJUSTE DE TORNILLERÍA,  CAMBIAR TOTALIZADOR REF. DM1N 1600. ACTUALMENTE SE ENCUENTRA EN SERVICIO.                                                                                                                                                                                                     </t>
    </r>
    <r>
      <rPr>
        <b/>
        <sz val="9"/>
        <rFont val="Arial"/>
      </rPr>
      <t>Planta Electrica</t>
    </r>
    <r>
      <rPr>
        <sz val="9"/>
        <rFont val="Arial"/>
      </rPr>
      <t xml:space="preserve">  Marca LUMA de 125 KW ubicada en CEISA Bogota. Requiere:CAMBIO DE FILTROS DE COMBUSTIBLE, DE ACEITE, DE AIRE,   DE REFRIGERANTE,  DE BATERÍAS, PRECALENTADOR,  PRUEBA EN VACÍO, PUESTA EN FUNCIONAMIENTO,  AJUSTE DE TORNILLERÍA.  ACTUALMENTE NO SE ENCUENTRA EN SERVICIO. SE REQUIERE REALIZAR UN DIAGNOSTICO.</t>
    </r>
  </si>
  <si>
    <t>GRUPO1</t>
  </si>
  <si>
    <t>GRUPO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</si>
</sst>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4" formatCode="_-&quot;$&quot;\ * #,##0.00_-;\-&quot;$&quot;\ * #,##0.00_-;_-&quot;$&quot;\ * &quot;-&quot;??_-;_-@_-"/>
    <numFmt numFmtId="164" formatCode="&quot;$&quot;\ #,##0_);\(&quot;$&quot;\ #,##0\)"/>
    <numFmt numFmtId="165" formatCode="&quot;$&quot;\ #,##0.00_);\(&quot;$&quot;\ #,##0.00\)"/>
    <numFmt numFmtId="166" formatCode="_(* #,##0.00_);_(* \(#,##0.00\);_(* &quot;-&quot;??_);_(@_)"/>
    <numFmt numFmtId="167" formatCode="_-&quot;$&quot;* #,##0_-;\-&quot;$&quot;* #,##0_-;_-&quot;$&quot;* &quot;-&quot;??_-;_-@"/>
    <numFmt numFmtId="168" formatCode="_-&quot;$&quot;\ * #,##0_-;\-&quot;$&quot;\ * #,##0_-;_-&quot;$&quot;\ * &quot;-&quot;_-;_-@"/>
    <numFmt numFmtId="169" formatCode="_(* #,##0_);_(* \(#,##0\);_(* &quot;-&quot;??_);_(@_)"/>
    <numFmt numFmtId="170" formatCode="&quot;$&quot;#,##0"/>
    <numFmt numFmtId="171" formatCode="0.0"/>
    <numFmt numFmtId="172" formatCode="_-&quot;$&quot;* #,##0.00_-;\-&quot;$&quot;* #,##0.00_-;_-&quot;$&quot;* &quot;-&quot;??_-;_-@"/>
    <numFmt numFmtId="173" formatCode="_-* #,##0.0\ _€_-;\-* #,##0.0\ _€_-;_-* &quot;-&quot;??\ _€_-;_-@"/>
    <numFmt numFmtId="174" formatCode="&quot;$&quot;\ #,##0.00"/>
    <numFmt numFmtId="175" formatCode="0.0_);\(0.0\)"/>
    <numFmt numFmtId="176" formatCode="0.00_);\(0.00\)"/>
    <numFmt numFmtId="177" formatCode="0.000_);\(0.000\)"/>
    <numFmt numFmtId="178" formatCode="&quot;$&quot;\ #,##0"/>
    <numFmt numFmtId="179" formatCode="&quot;$&quot;\ #,##0.000"/>
    <numFmt numFmtId="180" formatCode="0.0%"/>
    <numFmt numFmtId="181" formatCode="&quot;$&quot;\ #,##0.0_);\(&quot;$&quot;\ #,##0.0\)"/>
    <numFmt numFmtId="182" formatCode="_-&quot;$&quot;* #,##0_-;\-&quot;$&quot;* #,##0_-;_-&quot;$&quot;* &quot;-&quot;??_-;_-@_-"/>
    <numFmt numFmtId="183" formatCode="_-&quot;$&quot;* #,##0.0_-;\-&quot;$&quot;* #,##0.0_-;_-&quot;$&quot;* &quot;-&quot;??_-;_-@"/>
    <numFmt numFmtId="184" formatCode="_-&quot;$&quot;\ * #,##0.0_-;\-&quot;$&quot;\ * #,##0.0_-;_-&quot;$&quot;\ * &quot;-&quot;_-;_-@"/>
  </numFmts>
  <fonts count="43">
    <font>
      <sz val="11"/>
      <color rgb="FF000000"/>
      <name val="Calibri"/>
    </font>
    <font>
      <sz val="10"/>
      <name val="Arial"/>
    </font>
    <font>
      <b/>
      <sz val="10"/>
      <name val="Arial"/>
    </font>
    <font>
      <sz val="11"/>
      <name val="Calibri"/>
    </font>
    <font>
      <sz val="9"/>
      <color rgb="FF000000"/>
      <name val="Arial"/>
    </font>
    <font>
      <sz val="9"/>
      <name val="Arial"/>
    </font>
    <font>
      <sz val="10"/>
      <color rgb="FF000000"/>
      <name val="Arial"/>
    </font>
    <font>
      <b/>
      <sz val="9"/>
      <name val="Arial"/>
    </font>
    <font>
      <sz val="10"/>
      <color rgb="FF000000"/>
      <name val="Century Gothic"/>
    </font>
    <font>
      <b/>
      <sz val="12"/>
      <color rgb="FF000000"/>
      <name val="Calibri"/>
    </font>
    <font>
      <b/>
      <sz val="10"/>
      <color rgb="FF000000"/>
      <name val="Stylus bt"/>
    </font>
    <font>
      <sz val="10"/>
      <color rgb="FF000000"/>
      <name val="Stylus bt"/>
    </font>
    <font>
      <b/>
      <sz val="9"/>
      <color rgb="FF000000"/>
      <name val="Stylus bt"/>
    </font>
    <font>
      <b/>
      <sz val="10"/>
      <name val="Stylus bt"/>
    </font>
    <font>
      <sz val="9"/>
      <color rgb="FF000000"/>
      <name val="Stylus bt"/>
    </font>
    <font>
      <sz val="9"/>
      <name val="Stylus bt"/>
    </font>
    <font>
      <b/>
      <sz val="9"/>
      <name val="Stylus bt"/>
    </font>
    <font>
      <sz val="12"/>
      <name val="Stylus bt"/>
    </font>
    <font>
      <sz val="12"/>
      <color rgb="FF000000"/>
      <name val="Stylus bt"/>
    </font>
    <font>
      <b/>
      <sz val="10"/>
      <color rgb="FF000000"/>
      <name val="Arial"/>
    </font>
    <font>
      <b/>
      <sz val="9"/>
      <color rgb="FF000000"/>
      <name val="Arial"/>
    </font>
    <font>
      <b/>
      <sz val="11"/>
      <color rgb="FF000000"/>
      <name val="Arial"/>
    </font>
    <font>
      <sz val="11"/>
      <color rgb="FF000000"/>
      <name val="Arial"/>
    </font>
    <font>
      <b/>
      <sz val="11"/>
      <color rgb="FF000000"/>
      <name val="Calibri"/>
    </font>
    <font>
      <sz val="11"/>
      <color rgb="FFFF0000"/>
      <name val="Calibri"/>
    </font>
    <font>
      <b/>
      <sz val="11"/>
      <name val="Arial"/>
    </font>
    <font>
      <b/>
      <sz val="11"/>
      <color rgb="FFFFC000"/>
      <name val="Calibri"/>
    </font>
    <font>
      <b/>
      <sz val="11"/>
      <color rgb="FF0070C0"/>
      <name val="Calibri"/>
    </font>
    <font>
      <b/>
      <sz val="11"/>
      <color rgb="FFFF0000"/>
      <name val="Calibri"/>
    </font>
    <font>
      <b/>
      <sz val="11"/>
      <color rgb="FF33CC33"/>
      <name val="Calibri"/>
    </font>
    <font>
      <b/>
      <sz val="11"/>
      <color rgb="FF00B050"/>
      <name val="Calibri"/>
    </font>
    <font>
      <sz val="11"/>
      <color rgb="FFFFC000"/>
      <name val="Calibri"/>
    </font>
    <font>
      <sz val="11"/>
      <color rgb="FF0070C0"/>
      <name val="Calibri"/>
    </font>
    <font>
      <sz val="11"/>
      <color rgb="FF000000"/>
      <name val="Calibri"/>
    </font>
    <font>
      <sz val="9"/>
      <name val="Arial"/>
      <family val="2"/>
    </font>
    <font>
      <sz val="10"/>
      <name val="Arial"/>
      <family val="2"/>
    </font>
    <font>
      <sz val="8"/>
      <name val="Calibri"/>
      <family val="2"/>
    </font>
    <font>
      <b/>
      <sz val="9"/>
      <name val="Arial"/>
      <family val="2"/>
    </font>
    <font>
      <sz val="9"/>
      <color theme="1"/>
      <name val="Arial"/>
      <family val="2"/>
    </font>
    <font>
      <b/>
      <sz val="10"/>
      <name val="Arial"/>
      <family val="2"/>
    </font>
    <font>
      <sz val="10"/>
      <color theme="1"/>
      <name val="Arial"/>
      <family val="2"/>
    </font>
    <font>
      <sz val="10"/>
      <color rgb="FF000000"/>
      <name val="Arial"/>
      <family val="2"/>
    </font>
    <font>
      <b/>
      <sz val="10"/>
      <color rgb="FF000000"/>
      <name val="Arial"/>
      <family val="2"/>
    </font>
  </fonts>
  <fills count="11">
    <fill>
      <patternFill patternType="none"/>
    </fill>
    <fill>
      <patternFill patternType="gray125"/>
    </fill>
    <fill>
      <patternFill patternType="solid">
        <fgColor rgb="FFA5A5A5"/>
        <bgColor rgb="FFA5A5A5"/>
      </patternFill>
    </fill>
    <fill>
      <patternFill patternType="solid">
        <fgColor rgb="FFFFFFFF"/>
        <bgColor rgb="FFFFFFFF"/>
      </patternFill>
    </fill>
    <fill>
      <patternFill patternType="solid">
        <fgColor rgb="FFD8D8D8"/>
        <bgColor rgb="FFD8D8D8"/>
      </patternFill>
    </fill>
    <fill>
      <patternFill patternType="solid">
        <fgColor rgb="FFFFFF00"/>
        <bgColor rgb="FFFFFF00"/>
      </patternFill>
    </fill>
    <fill>
      <patternFill patternType="solid">
        <fgColor rgb="FF99CCFF"/>
        <bgColor rgb="FF99CCFF"/>
      </patternFill>
    </fill>
    <fill>
      <patternFill patternType="solid">
        <fgColor rgb="FFE2EFD9"/>
        <bgColor rgb="FFE2EFD9"/>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s>
  <borders count="7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bottom/>
      <diagonal/>
    </border>
    <border>
      <left style="medium">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hair">
        <color rgb="FF000000"/>
      </bottom>
      <diagonal/>
    </border>
    <border>
      <left style="thin">
        <color rgb="FF000000"/>
      </left>
      <right style="thin">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medium">
        <color rgb="FF000000"/>
      </top>
      <bottom/>
      <diagonal/>
    </border>
    <border>
      <left/>
      <right/>
      <top/>
      <bottom style="medium">
        <color rgb="FF000000"/>
      </bottom>
      <diagonal/>
    </border>
    <border>
      <left style="thin">
        <color rgb="FF000000"/>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hair">
        <color auto="1"/>
      </top>
      <bottom style="hair">
        <color auto="1"/>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medium">
        <color rgb="FF000000"/>
      </right>
      <top style="medium">
        <color rgb="FF000000"/>
      </top>
      <bottom/>
      <diagonal/>
    </border>
    <border>
      <left style="medium">
        <color rgb="FF000000"/>
      </left>
      <right style="thin">
        <color rgb="FF000000"/>
      </right>
      <top/>
      <bottom style="medium">
        <color indexed="64"/>
      </bottom>
      <diagonal/>
    </border>
    <border>
      <left style="thin">
        <color rgb="FF000000"/>
      </left>
      <right style="thin">
        <color rgb="FF000000"/>
      </right>
      <top style="hair">
        <color rgb="FF000000"/>
      </top>
      <bottom style="medium">
        <color indexed="64"/>
      </bottom>
      <diagonal/>
    </border>
    <border>
      <left style="thin">
        <color rgb="FF000000"/>
      </left>
      <right style="thin">
        <color rgb="FF000000"/>
      </right>
      <top/>
      <bottom style="medium">
        <color indexed="64"/>
      </bottom>
      <diagonal/>
    </border>
    <border>
      <left style="thin">
        <color indexed="64"/>
      </left>
      <right style="thin">
        <color rgb="FF000000"/>
      </right>
      <top style="medium">
        <color indexed="64"/>
      </top>
      <bottom style="thin">
        <color rgb="FF000000"/>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rgb="FF000000"/>
      </left>
      <right style="thin">
        <color rgb="FF000000"/>
      </right>
      <top/>
      <bottom style="hair">
        <color rgb="FF000000"/>
      </bottom>
      <diagonal/>
    </border>
    <border>
      <left style="thin">
        <color rgb="FF000000"/>
      </left>
      <right style="thin">
        <color rgb="FF000000"/>
      </right>
      <top/>
      <bottom style="hair">
        <color rgb="FF000000"/>
      </bottom>
      <diagonal/>
    </border>
  </borders>
  <cellStyleXfs count="3">
    <xf numFmtId="0" fontId="0" fillId="0" borderId="0"/>
    <xf numFmtId="44" fontId="33" fillId="0" borderId="0" applyFont="0" applyFill="0" applyBorder="0" applyAlignment="0" applyProtection="0"/>
    <xf numFmtId="42" fontId="33" fillId="0" borderId="0" applyFont="0" applyFill="0" applyBorder="0" applyAlignment="0" applyProtection="0"/>
  </cellStyleXfs>
  <cellXfs count="531">
    <xf numFmtId="0" fontId="0" fillId="0" borderId="0" xfId="0" applyFont="1" applyAlignment="1"/>
    <xf numFmtId="0" fontId="1" fillId="0" borderId="0" xfId="0" applyFont="1"/>
    <xf numFmtId="0" fontId="2" fillId="0" borderId="1" xfId="0" applyFont="1" applyBorder="1" applyAlignment="1">
      <alignment horizontal="center"/>
    </xf>
    <xf numFmtId="0" fontId="1" fillId="0" borderId="2" xfId="0" applyFont="1" applyBorder="1" applyAlignment="1">
      <alignment horizontal="left" vertical="top" wrapText="1"/>
    </xf>
    <xf numFmtId="0" fontId="1" fillId="0" borderId="2" xfId="0" applyFont="1" applyBorder="1" applyAlignment="1">
      <alignment horizontal="center" vertical="center"/>
    </xf>
    <xf numFmtId="1" fontId="1" fillId="0" borderId="2" xfId="0" applyNumberFormat="1" applyFont="1" applyBorder="1" applyAlignment="1">
      <alignment horizontal="center" vertical="center"/>
    </xf>
    <xf numFmtId="167" fontId="1" fillId="0" borderId="2" xfId="0" applyNumberFormat="1" applyFont="1" applyBorder="1" applyAlignment="1">
      <alignment horizontal="center" vertical="center"/>
    </xf>
    <xf numFmtId="167" fontId="1" fillId="0" borderId="3" xfId="0" applyNumberFormat="1" applyFont="1" applyBorder="1" applyAlignment="1">
      <alignment horizontal="center" vertical="center"/>
    </xf>
    <xf numFmtId="0" fontId="2" fillId="0" borderId="4" xfId="0" applyFont="1" applyBorder="1" applyAlignment="1">
      <alignment horizontal="center"/>
    </xf>
    <xf numFmtId="0" fontId="2" fillId="0" borderId="0" xfId="0" applyFont="1" applyAlignment="1">
      <alignment horizontal="center"/>
    </xf>
    <xf numFmtId="0" fontId="2" fillId="0" borderId="0" xfId="0" applyFont="1" applyAlignment="1">
      <alignment horizontal="center" vertical="center"/>
    </xf>
    <xf numFmtId="1" fontId="2" fillId="0" borderId="0" xfId="0" applyNumberFormat="1" applyFont="1" applyAlignment="1">
      <alignment horizontal="center" vertical="center"/>
    </xf>
    <xf numFmtId="167" fontId="2" fillId="0" borderId="0" xfId="0" applyNumberFormat="1" applyFont="1" applyAlignment="1">
      <alignment horizontal="center" vertical="center"/>
    </xf>
    <xf numFmtId="167" fontId="1" fillId="0" borderId="5" xfId="0" applyNumberFormat="1" applyFont="1" applyBorder="1" applyAlignment="1">
      <alignment horizontal="center" vertical="center"/>
    </xf>
    <xf numFmtId="0" fontId="2" fillId="2" borderId="6" xfId="0" applyFont="1" applyFill="1" applyBorder="1" applyAlignment="1">
      <alignment horizontal="center"/>
    </xf>
    <xf numFmtId="0" fontId="2" fillId="2" borderId="7" xfId="0" applyFont="1" applyFill="1" applyBorder="1" applyAlignment="1">
      <alignment horizontal="center" vertical="center"/>
    </xf>
    <xf numFmtId="1" fontId="2" fillId="2" borderId="7" xfId="0" applyNumberFormat="1" applyFont="1" applyFill="1" applyBorder="1" applyAlignment="1">
      <alignment horizontal="center" vertical="center"/>
    </xf>
    <xf numFmtId="167" fontId="2" fillId="2" borderId="7" xfId="0" applyNumberFormat="1" applyFont="1" applyFill="1" applyBorder="1" applyAlignment="1">
      <alignment horizontal="center" vertical="center"/>
    </xf>
    <xf numFmtId="167" fontId="2" fillId="2" borderId="8" xfId="0" applyNumberFormat="1" applyFont="1" applyFill="1" applyBorder="1" applyAlignment="1">
      <alignment horizontal="center" vertical="center"/>
    </xf>
    <xf numFmtId="167" fontId="1" fillId="0" borderId="0" xfId="0" applyNumberFormat="1" applyFont="1"/>
    <xf numFmtId="0" fontId="1" fillId="3" borderId="9" xfId="0" applyFont="1" applyFill="1" applyBorder="1"/>
    <xf numFmtId="0" fontId="4" fillId="3" borderId="9" xfId="0" applyFont="1" applyFill="1" applyBorder="1"/>
    <xf numFmtId="0" fontId="6" fillId="3" borderId="12" xfId="0" applyFont="1" applyFill="1" applyBorder="1" applyAlignment="1">
      <alignment horizontal="center" vertical="center" wrapText="1"/>
    </xf>
    <xf numFmtId="168" fontId="1" fillId="3" borderId="12" xfId="0" applyNumberFormat="1" applyFont="1" applyFill="1" applyBorder="1" applyAlignment="1">
      <alignment horizontal="right" vertical="center" wrapText="1"/>
    </xf>
    <xf numFmtId="168" fontId="6" fillId="3" borderId="12" xfId="0" applyNumberFormat="1" applyFont="1" applyFill="1" applyBorder="1" applyAlignment="1">
      <alignment vertical="center"/>
    </xf>
    <xf numFmtId="0" fontId="5" fillId="4" borderId="13" xfId="0" applyFont="1" applyFill="1" applyBorder="1" applyAlignment="1">
      <alignment horizontal="center" vertical="center"/>
    </xf>
    <xf numFmtId="0" fontId="7" fillId="4" borderId="14" xfId="0" applyFont="1" applyFill="1" applyBorder="1" applyAlignment="1">
      <alignment horizontal="left" vertical="center"/>
    </xf>
    <xf numFmtId="0" fontId="5" fillId="4" borderId="14" xfId="0" applyFont="1" applyFill="1" applyBorder="1" applyAlignment="1">
      <alignment horizontal="center" vertical="center"/>
    </xf>
    <xf numFmtId="2" fontId="5" fillId="4" borderId="14" xfId="0" applyNumberFormat="1" applyFont="1" applyFill="1" applyBorder="1" applyAlignment="1">
      <alignment horizontal="center" vertical="center"/>
    </xf>
    <xf numFmtId="169" fontId="5" fillId="4" borderId="14" xfId="0" applyNumberFormat="1" applyFont="1" applyFill="1" applyBorder="1" applyAlignment="1">
      <alignment vertical="center"/>
    </xf>
    <xf numFmtId="168" fontId="6" fillId="4" borderId="12" xfId="0" applyNumberFormat="1" applyFont="1" applyFill="1" applyBorder="1" applyAlignment="1">
      <alignment vertical="center"/>
    </xf>
    <xf numFmtId="0" fontId="0" fillId="3" borderId="9" xfId="0" applyFont="1" applyFill="1" applyBorder="1"/>
    <xf numFmtId="0" fontId="4" fillId="0" borderId="0" xfId="0" applyFont="1"/>
    <xf numFmtId="0" fontId="1" fillId="0" borderId="14" xfId="0" applyFont="1" applyBorder="1" applyAlignment="1">
      <alignment horizontal="left" vertical="center" wrapText="1"/>
    </xf>
    <xf numFmtId="0" fontId="5" fillId="4" borderId="10" xfId="0" applyFont="1" applyFill="1" applyBorder="1" applyAlignment="1">
      <alignment horizontal="center" vertical="center"/>
    </xf>
    <xf numFmtId="0" fontId="5" fillId="4" borderId="17" xfId="0" applyFont="1" applyFill="1" applyBorder="1" applyAlignment="1">
      <alignment horizontal="center" vertical="center"/>
    </xf>
    <xf numFmtId="2" fontId="5" fillId="4" borderId="17" xfId="0" applyNumberFormat="1" applyFont="1" applyFill="1" applyBorder="1" applyAlignment="1">
      <alignment horizontal="center" vertical="center"/>
    </xf>
    <xf numFmtId="169" fontId="5" fillId="4" borderId="17" xfId="0" applyNumberFormat="1" applyFont="1" applyFill="1" applyBorder="1" applyAlignment="1">
      <alignment vertical="center"/>
    </xf>
    <xf numFmtId="0" fontId="4" fillId="5" borderId="9" xfId="0" applyFont="1" applyFill="1" applyBorder="1"/>
    <xf numFmtId="0" fontId="1" fillId="0" borderId="0" xfId="0" applyFont="1" applyAlignment="1">
      <alignment vertical="center"/>
    </xf>
    <xf numFmtId="0" fontId="1" fillId="0" borderId="14" xfId="0" applyFont="1" applyBorder="1" applyAlignment="1">
      <alignment horizontal="center" vertical="center"/>
    </xf>
    <xf numFmtId="1" fontId="1" fillId="0" borderId="14" xfId="0" applyNumberFormat="1" applyFont="1" applyBorder="1" applyAlignment="1">
      <alignment horizontal="center" vertical="center"/>
    </xf>
    <xf numFmtId="167" fontId="1" fillId="0" borderId="14" xfId="0" applyNumberFormat="1" applyFont="1" applyBorder="1" applyAlignment="1">
      <alignment horizontal="center" vertical="center"/>
    </xf>
    <xf numFmtId="167" fontId="1" fillId="0" borderId="18" xfId="0" applyNumberFormat="1" applyFont="1" applyBorder="1" applyAlignment="1">
      <alignment horizontal="center" vertical="center"/>
    </xf>
    <xf numFmtId="0" fontId="2" fillId="0" borderId="13" xfId="0" applyFont="1" applyBorder="1" applyAlignment="1">
      <alignment horizontal="center" vertical="center"/>
    </xf>
    <xf numFmtId="0" fontId="2" fillId="3" borderId="14" xfId="0" applyFont="1" applyFill="1" applyBorder="1" applyAlignment="1">
      <alignment horizontal="right" vertical="top" wrapText="1"/>
    </xf>
    <xf numFmtId="0" fontId="1" fillId="3" borderId="14" xfId="0" applyFont="1" applyFill="1" applyBorder="1" applyAlignment="1">
      <alignment horizontal="center" vertical="center"/>
    </xf>
    <xf numFmtId="1" fontId="1" fillId="3" borderId="14" xfId="0" applyNumberFormat="1" applyFont="1" applyFill="1" applyBorder="1" applyAlignment="1">
      <alignment horizontal="center" vertical="center"/>
    </xf>
    <xf numFmtId="167" fontId="1" fillId="3" borderId="14" xfId="0" applyNumberFormat="1" applyFont="1" applyFill="1" applyBorder="1" applyAlignment="1">
      <alignment horizontal="center" vertical="center"/>
    </xf>
    <xf numFmtId="167" fontId="2" fillId="3" borderId="18" xfId="0" applyNumberFormat="1" applyFont="1" applyFill="1" applyBorder="1" applyAlignment="1">
      <alignment horizontal="center" vertical="center"/>
    </xf>
    <xf numFmtId="0" fontId="2" fillId="0" borderId="13" xfId="0" applyFont="1" applyBorder="1" applyAlignment="1">
      <alignment horizontal="center"/>
    </xf>
    <xf numFmtId="0" fontId="2" fillId="0" borderId="14" xfId="0" applyFont="1" applyBorder="1" applyAlignment="1">
      <alignment horizontal="right" vertical="top" wrapText="1"/>
    </xf>
    <xf numFmtId="167" fontId="2" fillId="0" borderId="18" xfId="0" applyNumberFormat="1" applyFont="1" applyBorder="1" applyAlignment="1">
      <alignment horizontal="center" vertical="center"/>
    </xf>
    <xf numFmtId="0" fontId="2" fillId="0" borderId="14" xfId="0" applyFont="1" applyBorder="1" applyAlignment="1">
      <alignment horizontal="center" vertical="center"/>
    </xf>
    <xf numFmtId="9" fontId="2" fillId="0" borderId="14" xfId="0" applyNumberFormat="1" applyFont="1" applyBorder="1" applyAlignment="1">
      <alignment horizontal="center" vertical="center"/>
    </xf>
    <xf numFmtId="167" fontId="2" fillId="0" borderId="14" xfId="0" applyNumberFormat="1" applyFont="1" applyBorder="1" applyAlignment="1">
      <alignment horizontal="center" vertical="center"/>
    </xf>
    <xf numFmtId="0" fontId="1" fillId="0" borderId="14" xfId="0" applyFont="1" applyBorder="1" applyAlignment="1">
      <alignment horizontal="left" vertical="top" wrapText="1"/>
    </xf>
    <xf numFmtId="0" fontId="2" fillId="0" borderId="19" xfId="0" applyFont="1" applyBorder="1" applyAlignment="1">
      <alignment horizontal="center"/>
    </xf>
    <xf numFmtId="0" fontId="1" fillId="0" borderId="20" xfId="0" applyFont="1" applyBorder="1" applyAlignment="1">
      <alignment horizontal="left" vertical="top" wrapText="1"/>
    </xf>
    <xf numFmtId="0" fontId="1" fillId="0" borderId="20" xfId="0" applyFont="1" applyBorder="1" applyAlignment="1">
      <alignment horizontal="center" vertical="center"/>
    </xf>
    <xf numFmtId="1" fontId="1" fillId="0" borderId="20" xfId="0" applyNumberFormat="1" applyFont="1" applyBorder="1" applyAlignment="1">
      <alignment horizontal="center" vertical="center"/>
    </xf>
    <xf numFmtId="167" fontId="1" fillId="0" borderId="20" xfId="0" applyNumberFormat="1" applyFont="1" applyBorder="1" applyAlignment="1">
      <alignment horizontal="center" vertical="center"/>
    </xf>
    <xf numFmtId="167" fontId="1" fillId="0" borderId="21" xfId="0" applyNumberFormat="1" applyFont="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center" vertical="center"/>
    </xf>
    <xf numFmtId="1" fontId="1" fillId="0" borderId="0" xfId="0" applyNumberFormat="1" applyFont="1" applyAlignment="1">
      <alignment horizontal="center" vertical="center"/>
    </xf>
    <xf numFmtId="167" fontId="1"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vertical="center" wrapText="1"/>
    </xf>
    <xf numFmtId="167" fontId="1" fillId="0" borderId="0" xfId="0" applyNumberFormat="1" applyFont="1" applyAlignment="1">
      <alignment horizontal="center" vertical="center"/>
    </xf>
    <xf numFmtId="170" fontId="8" fillId="0" borderId="0" xfId="0" applyNumberFormat="1" applyFont="1"/>
    <xf numFmtId="0" fontId="9" fillId="6" borderId="23" xfId="0" applyFont="1" applyFill="1" applyBorder="1" applyAlignment="1">
      <alignment horizontal="center" vertical="center"/>
    </xf>
    <xf numFmtId="172" fontId="1" fillId="0" borderId="0" xfId="0" applyNumberFormat="1" applyFont="1" applyAlignment="1">
      <alignment vertical="center"/>
    </xf>
    <xf numFmtId="0" fontId="10" fillId="0" borderId="1" xfId="0" applyFont="1" applyBorder="1" applyAlignment="1">
      <alignment horizontal="center"/>
    </xf>
    <xf numFmtId="0" fontId="11" fillId="0" borderId="2" xfId="0" applyFont="1" applyBorder="1" applyAlignment="1">
      <alignment horizontal="left" vertical="top" wrapText="1"/>
    </xf>
    <xf numFmtId="0" fontId="11" fillId="0" borderId="2" xfId="0" applyFont="1" applyBorder="1" applyAlignment="1">
      <alignment horizontal="center" vertical="center"/>
    </xf>
    <xf numFmtId="2" fontId="11" fillId="0" borderId="2" xfId="0" applyNumberFormat="1" applyFont="1" applyBorder="1" applyAlignment="1">
      <alignment horizontal="center" vertical="center"/>
    </xf>
    <xf numFmtId="3" fontId="11" fillId="0" borderId="2" xfId="0" applyNumberFormat="1" applyFont="1" applyBorder="1" applyAlignment="1">
      <alignment horizontal="right" vertical="center"/>
    </xf>
    <xf numFmtId="3" fontId="11" fillId="0" borderId="3" xfId="0" applyNumberFormat="1" applyFont="1" applyBorder="1" applyAlignment="1">
      <alignment horizontal="right" vertical="center"/>
    </xf>
    <xf numFmtId="0" fontId="11" fillId="0" borderId="0" xfId="0" applyFont="1"/>
    <xf numFmtId="0" fontId="10" fillId="0" borderId="4" xfId="0" applyFont="1" applyBorder="1" applyAlignment="1">
      <alignment horizontal="center"/>
    </xf>
    <xf numFmtId="0" fontId="11" fillId="0" borderId="0" xfId="0" applyFont="1" applyAlignment="1">
      <alignment horizontal="left" vertical="top" wrapText="1"/>
    </xf>
    <xf numFmtId="0" fontId="11" fillId="0" borderId="0" xfId="0" applyFont="1" applyAlignment="1">
      <alignment horizontal="center" vertical="center"/>
    </xf>
    <xf numFmtId="2" fontId="11" fillId="0" borderId="0" xfId="0" applyNumberFormat="1" applyFont="1" applyAlignment="1">
      <alignment horizontal="center" vertical="center"/>
    </xf>
    <xf numFmtId="3" fontId="11" fillId="0" borderId="0" xfId="0" applyNumberFormat="1" applyFont="1" applyAlignment="1">
      <alignment horizontal="right" vertical="center"/>
    </xf>
    <xf numFmtId="3" fontId="11" fillId="0" borderId="5" xfId="0" applyNumberFormat="1" applyFont="1" applyBorder="1" applyAlignment="1">
      <alignment horizontal="right" vertical="center"/>
    </xf>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2" fontId="10" fillId="0" borderId="0" xfId="0" applyNumberFormat="1" applyFont="1" applyAlignment="1">
      <alignment horizontal="center" vertical="center"/>
    </xf>
    <xf numFmtId="3" fontId="10" fillId="0" borderId="0" xfId="0" applyNumberFormat="1" applyFont="1" applyAlignment="1">
      <alignment horizontal="right" vertical="center"/>
    </xf>
    <xf numFmtId="0" fontId="13" fillId="7" borderId="6" xfId="0" applyFont="1" applyFill="1" applyBorder="1" applyAlignment="1">
      <alignment horizontal="center"/>
    </xf>
    <xf numFmtId="0" fontId="13" fillId="7" borderId="7" xfId="0" applyFont="1" applyFill="1" applyBorder="1" applyAlignment="1">
      <alignment horizontal="center"/>
    </xf>
    <xf numFmtId="0" fontId="13" fillId="7" borderId="7" xfId="0" applyFont="1" applyFill="1" applyBorder="1" applyAlignment="1">
      <alignment horizontal="center" vertical="center"/>
    </xf>
    <xf numFmtId="2" fontId="13" fillId="7" borderId="7" xfId="0" applyNumberFormat="1" applyFont="1" applyFill="1" applyBorder="1" applyAlignment="1">
      <alignment horizontal="center" vertical="center"/>
    </xf>
    <xf numFmtId="3" fontId="13" fillId="7" borderId="7" xfId="0" applyNumberFormat="1" applyFont="1" applyFill="1" applyBorder="1" applyAlignment="1">
      <alignment horizontal="center" vertical="center"/>
    </xf>
    <xf numFmtId="3" fontId="13" fillId="7" borderId="8" xfId="0" applyNumberFormat="1" applyFont="1" applyFill="1" applyBorder="1" applyAlignment="1">
      <alignment horizontal="center" vertical="center"/>
    </xf>
    <xf numFmtId="0" fontId="12" fillId="0" borderId="13" xfId="0" applyFont="1" applyBorder="1" applyAlignment="1">
      <alignment horizontal="center"/>
    </xf>
    <xf numFmtId="0" fontId="12" fillId="0" borderId="14" xfId="0" applyFont="1" applyBorder="1" applyAlignment="1">
      <alignment horizontal="left" vertical="top" wrapText="1"/>
    </xf>
    <xf numFmtId="0" fontId="14" fillId="0" borderId="14" xfId="0" applyFont="1" applyBorder="1" applyAlignment="1">
      <alignment horizontal="center" vertical="center"/>
    </xf>
    <xf numFmtId="2" fontId="14" fillId="0" borderId="14" xfId="0" applyNumberFormat="1" applyFont="1" applyBorder="1" applyAlignment="1">
      <alignment horizontal="center" vertical="center"/>
    </xf>
    <xf numFmtId="3" fontId="14" fillId="0" borderId="14" xfId="0" applyNumberFormat="1" applyFont="1" applyBorder="1" applyAlignment="1">
      <alignment horizontal="right" vertical="center"/>
    </xf>
    <xf numFmtId="3" fontId="14" fillId="0" borderId="18" xfId="0" applyNumberFormat="1" applyFont="1" applyBorder="1" applyAlignment="1">
      <alignment horizontal="right" vertical="center"/>
    </xf>
    <xf numFmtId="0" fontId="14" fillId="0" borderId="13" xfId="0" applyFont="1" applyBorder="1" applyAlignment="1">
      <alignment horizontal="center"/>
    </xf>
    <xf numFmtId="0" fontId="14" fillId="0" borderId="14" xfId="0" applyFont="1" applyBorder="1" applyAlignment="1">
      <alignment horizontal="left" vertical="top" wrapText="1"/>
    </xf>
    <xf numFmtId="3" fontId="4" fillId="0" borderId="14" xfId="0" applyNumberFormat="1" applyFont="1" applyBorder="1" applyAlignment="1">
      <alignment horizontal="right" vertical="center"/>
    </xf>
    <xf numFmtId="0" fontId="14" fillId="0" borderId="13" xfId="0" applyFont="1" applyBorder="1" applyAlignment="1">
      <alignment horizontal="center" vertical="center"/>
    </xf>
    <xf numFmtId="0" fontId="14" fillId="3" borderId="14" xfId="0" applyFont="1" applyFill="1" applyBorder="1" applyAlignment="1">
      <alignment horizontal="left" vertical="top" wrapText="1"/>
    </xf>
    <xf numFmtId="0" fontId="14" fillId="3" borderId="14" xfId="0" applyFont="1" applyFill="1" applyBorder="1" applyAlignment="1">
      <alignment horizontal="center" vertical="center"/>
    </xf>
    <xf numFmtId="2" fontId="14" fillId="3" borderId="14" xfId="0" applyNumberFormat="1" applyFont="1" applyFill="1" applyBorder="1" applyAlignment="1">
      <alignment horizontal="center" vertical="center"/>
    </xf>
    <xf numFmtId="3" fontId="4" fillId="3" borderId="14" xfId="0" applyNumberFormat="1" applyFont="1" applyFill="1" applyBorder="1" applyAlignment="1">
      <alignment horizontal="right" vertical="center"/>
    </xf>
    <xf numFmtId="3" fontId="14" fillId="3" borderId="18" xfId="0" applyNumberFormat="1" applyFont="1" applyFill="1" applyBorder="1" applyAlignment="1">
      <alignment horizontal="right" vertical="center"/>
    </xf>
    <xf numFmtId="0" fontId="11" fillId="3" borderId="9" xfId="0" applyFont="1" applyFill="1" applyBorder="1"/>
    <xf numFmtId="0" fontId="12" fillId="0" borderId="13" xfId="0" applyFont="1" applyBorder="1" applyAlignment="1">
      <alignment horizontal="center" vertical="center"/>
    </xf>
    <xf numFmtId="0" fontId="12" fillId="3" borderId="14" xfId="0" applyFont="1" applyFill="1" applyBorder="1" applyAlignment="1">
      <alignment horizontal="left" vertical="top" wrapText="1"/>
    </xf>
    <xf numFmtId="3" fontId="14" fillId="3" borderId="14" xfId="0" applyNumberFormat="1" applyFont="1" applyFill="1" applyBorder="1" applyAlignment="1">
      <alignment horizontal="right" vertical="center"/>
    </xf>
    <xf numFmtId="3" fontId="12" fillId="3" borderId="18" xfId="0" applyNumberFormat="1" applyFont="1" applyFill="1" applyBorder="1" applyAlignment="1">
      <alignment horizontal="right" vertical="center"/>
    </xf>
    <xf numFmtId="2" fontId="14" fillId="3" borderId="26" xfId="0" applyNumberFormat="1" applyFont="1" applyFill="1" applyBorder="1" applyAlignment="1">
      <alignment horizontal="center" vertical="center"/>
    </xf>
    <xf numFmtId="3" fontId="5" fillId="3" borderId="14" xfId="0" applyNumberFormat="1" applyFont="1" applyFill="1" applyBorder="1" applyAlignment="1">
      <alignment horizontal="right" vertical="center"/>
    </xf>
    <xf numFmtId="2" fontId="15" fillId="3" borderId="14" xfId="0" applyNumberFormat="1" applyFont="1" applyFill="1" applyBorder="1" applyAlignment="1">
      <alignment horizontal="center" vertical="center"/>
    </xf>
    <xf numFmtId="0" fontId="12" fillId="3" borderId="14" xfId="0" applyFont="1" applyFill="1" applyBorder="1" applyAlignment="1">
      <alignment horizontal="right" vertical="top" wrapText="1"/>
    </xf>
    <xf numFmtId="0" fontId="12" fillId="0" borderId="14" xfId="0" applyFont="1" applyBorder="1" applyAlignment="1">
      <alignment horizontal="right" vertical="top" wrapText="1"/>
    </xf>
    <xf numFmtId="3" fontId="12" fillId="0" borderId="18" xfId="0" applyNumberFormat="1" applyFont="1" applyBorder="1" applyAlignment="1">
      <alignment horizontal="right" vertical="center"/>
    </xf>
    <xf numFmtId="3" fontId="11" fillId="0" borderId="0" xfId="0" applyNumberFormat="1" applyFont="1"/>
    <xf numFmtId="0" fontId="12" fillId="0" borderId="14" xfId="0" applyFont="1" applyBorder="1" applyAlignment="1">
      <alignment horizontal="center" vertical="center"/>
    </xf>
    <xf numFmtId="9" fontId="12" fillId="0" borderId="14" xfId="0" applyNumberFormat="1" applyFont="1" applyBorder="1" applyAlignment="1">
      <alignment horizontal="center" vertical="center"/>
    </xf>
    <xf numFmtId="3" fontId="12" fillId="0" borderId="14" xfId="0" applyNumberFormat="1" applyFont="1" applyBorder="1" applyAlignment="1">
      <alignment horizontal="right" vertical="center"/>
    </xf>
    <xf numFmtId="2" fontId="12" fillId="0" borderId="14" xfId="0" applyNumberFormat="1" applyFont="1" applyBorder="1" applyAlignment="1">
      <alignment horizontal="center" vertical="center"/>
    </xf>
    <xf numFmtId="166" fontId="11" fillId="0" borderId="0" xfId="0" applyNumberFormat="1" applyFont="1"/>
    <xf numFmtId="0" fontId="10" fillId="0" borderId="27" xfId="0" applyFont="1" applyBorder="1" applyAlignment="1">
      <alignment horizontal="center"/>
    </xf>
    <xf numFmtId="0" fontId="11" fillId="0" borderId="27" xfId="0" applyFont="1" applyBorder="1" applyAlignment="1">
      <alignment horizontal="left" vertical="top" wrapText="1"/>
    </xf>
    <xf numFmtId="0" fontId="17" fillId="0" borderId="0" xfId="0" applyFont="1" applyAlignment="1">
      <alignment horizontal="center" vertical="center"/>
    </xf>
    <xf numFmtId="173" fontId="17" fillId="0" borderId="0" xfId="0" applyNumberFormat="1" applyFont="1" applyAlignment="1">
      <alignment horizontal="center"/>
    </xf>
    <xf numFmtId="166" fontId="17" fillId="3" borderId="9" xfId="0" applyNumberFormat="1" applyFont="1" applyFill="1" applyBorder="1" applyAlignment="1">
      <alignment horizontal="center" vertical="center"/>
    </xf>
    <xf numFmtId="166" fontId="17" fillId="0" borderId="0" xfId="0" applyNumberFormat="1" applyFont="1" applyAlignment="1">
      <alignment horizontal="center"/>
    </xf>
    <xf numFmtId="0" fontId="17" fillId="0" borderId="0" xfId="0" applyFont="1"/>
    <xf numFmtId="0" fontId="18" fillId="0" borderId="0" xfId="0" applyFont="1"/>
    <xf numFmtId="0" fontId="19" fillId="0" borderId="1" xfId="0" applyFont="1" applyBorder="1" applyAlignment="1">
      <alignment horizontal="center"/>
    </xf>
    <xf numFmtId="0" fontId="6" fillId="0" borderId="2" xfId="0" applyFont="1" applyBorder="1" applyAlignment="1">
      <alignment horizontal="left" vertical="top" wrapText="1"/>
    </xf>
    <xf numFmtId="0" fontId="6" fillId="0" borderId="2" xfId="0" applyFont="1" applyBorder="1" applyAlignment="1">
      <alignment horizontal="center" vertical="center"/>
    </xf>
    <xf numFmtId="2" fontId="6" fillId="0" borderId="2" xfId="0" applyNumberFormat="1" applyFont="1" applyBorder="1" applyAlignment="1">
      <alignment horizontal="center" vertical="center"/>
    </xf>
    <xf numFmtId="3" fontId="6" fillId="0" borderId="2" xfId="0" applyNumberFormat="1" applyFont="1" applyBorder="1" applyAlignment="1">
      <alignment horizontal="right" vertical="center"/>
    </xf>
    <xf numFmtId="3" fontId="6" fillId="0" borderId="3" xfId="0" applyNumberFormat="1" applyFont="1" applyBorder="1" applyAlignment="1">
      <alignment horizontal="right" vertical="center"/>
    </xf>
    <xf numFmtId="0" fontId="6" fillId="0" borderId="0" xfId="0" applyFont="1"/>
    <xf numFmtId="0" fontId="19" fillId="0" borderId="4" xfId="0" applyFont="1" applyBorder="1" applyAlignment="1">
      <alignment horizontal="center"/>
    </xf>
    <xf numFmtId="0" fontId="6" fillId="0" borderId="0" xfId="0" applyFont="1" applyAlignment="1">
      <alignment horizontal="left" vertical="top" wrapText="1"/>
    </xf>
    <xf numFmtId="0" fontId="6" fillId="0" borderId="0" xfId="0" applyFont="1" applyAlignment="1">
      <alignment horizontal="center" vertical="center"/>
    </xf>
    <xf numFmtId="2" fontId="6" fillId="0" borderId="0" xfId="0" applyNumberFormat="1" applyFont="1" applyAlignment="1">
      <alignment horizontal="center" vertical="center"/>
    </xf>
    <xf numFmtId="3" fontId="6" fillId="0" borderId="0" xfId="0" applyNumberFormat="1" applyFont="1" applyAlignment="1">
      <alignment horizontal="right" vertical="center"/>
    </xf>
    <xf numFmtId="3" fontId="6" fillId="0" borderId="5" xfId="0" applyNumberFormat="1" applyFont="1" applyBorder="1" applyAlignment="1">
      <alignment horizontal="right" vertical="center"/>
    </xf>
    <xf numFmtId="0" fontId="19" fillId="0" borderId="0" xfId="0" applyFont="1"/>
    <xf numFmtId="0" fontId="19" fillId="0" borderId="0" xfId="0" applyFont="1" applyAlignment="1">
      <alignment horizontal="center"/>
    </xf>
    <xf numFmtId="0" fontId="19" fillId="0" borderId="0" xfId="0" applyFont="1" applyAlignment="1">
      <alignment horizontal="center" vertical="center"/>
    </xf>
    <xf numFmtId="2" fontId="19" fillId="0" borderId="0" xfId="0" applyNumberFormat="1" applyFont="1" applyAlignment="1">
      <alignment horizontal="center" vertical="center"/>
    </xf>
    <xf numFmtId="3" fontId="19" fillId="0" borderId="0" xfId="0" applyNumberFormat="1" applyFont="1" applyAlignment="1">
      <alignment horizontal="right" vertical="center"/>
    </xf>
    <xf numFmtId="0" fontId="2" fillId="7" borderId="6" xfId="0" applyFont="1" applyFill="1" applyBorder="1" applyAlignment="1">
      <alignment horizontal="center"/>
    </xf>
    <xf numFmtId="0" fontId="2" fillId="7" borderId="7" xfId="0" applyFont="1" applyFill="1" applyBorder="1" applyAlignment="1">
      <alignment horizontal="center"/>
    </xf>
    <xf numFmtId="0" fontId="2" fillId="7" borderId="7" xfId="0" applyFont="1" applyFill="1" applyBorder="1" applyAlignment="1">
      <alignment horizontal="center" vertical="center"/>
    </xf>
    <xf numFmtId="2" fontId="2" fillId="7" borderId="7" xfId="0" applyNumberFormat="1" applyFont="1" applyFill="1" applyBorder="1" applyAlignment="1">
      <alignment horizontal="center" vertical="center"/>
    </xf>
    <xf numFmtId="3" fontId="2" fillId="7" borderId="7" xfId="0" applyNumberFormat="1" applyFont="1" applyFill="1" applyBorder="1" applyAlignment="1">
      <alignment horizontal="center" vertical="center"/>
    </xf>
    <xf numFmtId="3" fontId="2" fillId="7" borderId="8" xfId="0" applyNumberFormat="1" applyFont="1" applyFill="1" applyBorder="1" applyAlignment="1">
      <alignment horizontal="center" vertical="center"/>
    </xf>
    <xf numFmtId="0" fontId="20" fillId="0" borderId="13" xfId="0" applyFont="1" applyBorder="1" applyAlignment="1">
      <alignment horizontal="center"/>
    </xf>
    <xf numFmtId="0" fontId="20" fillId="0" borderId="14" xfId="0" applyFont="1" applyBorder="1" applyAlignment="1">
      <alignment horizontal="left" vertical="top" wrapText="1"/>
    </xf>
    <xf numFmtId="0" fontId="4" fillId="0" borderId="14" xfId="0" applyFont="1" applyBorder="1" applyAlignment="1">
      <alignment horizontal="center" vertical="center"/>
    </xf>
    <xf numFmtId="2" fontId="4" fillId="0" borderId="14" xfId="0" applyNumberFormat="1" applyFont="1" applyBorder="1" applyAlignment="1">
      <alignment horizontal="center" vertical="center"/>
    </xf>
    <xf numFmtId="3" fontId="4" fillId="0" borderId="18" xfId="0" applyNumberFormat="1" applyFont="1" applyBorder="1" applyAlignment="1">
      <alignment horizontal="right" vertical="center"/>
    </xf>
    <xf numFmtId="0" fontId="4" fillId="0" borderId="13" xfId="0" applyFont="1" applyBorder="1" applyAlignment="1">
      <alignment horizontal="center"/>
    </xf>
    <xf numFmtId="0" fontId="4" fillId="0" borderId="14" xfId="0" applyFont="1" applyBorder="1" applyAlignment="1">
      <alignment horizontal="left" vertical="top" wrapText="1"/>
    </xf>
    <xf numFmtId="0" fontId="4" fillId="0" borderId="13" xfId="0" applyFont="1" applyBorder="1" applyAlignment="1">
      <alignment horizontal="center" vertical="center"/>
    </xf>
    <xf numFmtId="0" fontId="4" fillId="3" borderId="14" xfId="0" applyFont="1" applyFill="1" applyBorder="1" applyAlignment="1">
      <alignment horizontal="left" vertical="top" wrapText="1"/>
    </xf>
    <xf numFmtId="0" fontId="4" fillId="3" borderId="14" xfId="0" applyFont="1" applyFill="1" applyBorder="1" applyAlignment="1">
      <alignment horizontal="center" vertical="center"/>
    </xf>
    <xf numFmtId="2" fontId="4" fillId="3" borderId="14" xfId="0" applyNumberFormat="1" applyFont="1" applyFill="1" applyBorder="1" applyAlignment="1">
      <alignment horizontal="center" vertical="center"/>
    </xf>
    <xf numFmtId="3" fontId="4" fillId="3" borderId="18" xfId="0" applyNumberFormat="1" applyFont="1" applyFill="1" applyBorder="1" applyAlignment="1">
      <alignment horizontal="right" vertical="center"/>
    </xf>
    <xf numFmtId="0" fontId="6" fillId="3" borderId="9" xfId="0" applyFont="1" applyFill="1" applyBorder="1"/>
    <xf numFmtId="0" fontId="20" fillId="0" borderId="13" xfId="0" applyFont="1" applyBorder="1" applyAlignment="1">
      <alignment horizontal="center" vertical="center"/>
    </xf>
    <xf numFmtId="0" fontId="20" fillId="3" borderId="14" xfId="0" applyFont="1" applyFill="1" applyBorder="1" applyAlignment="1">
      <alignment horizontal="left" vertical="top" wrapText="1"/>
    </xf>
    <xf numFmtId="3" fontId="20" fillId="3" borderId="18" xfId="0" applyNumberFormat="1" applyFont="1" applyFill="1" applyBorder="1" applyAlignment="1">
      <alignment horizontal="right" vertical="center"/>
    </xf>
    <xf numFmtId="2" fontId="4" fillId="3" borderId="26" xfId="0" applyNumberFormat="1" applyFont="1" applyFill="1" applyBorder="1" applyAlignment="1">
      <alignment horizontal="center" vertical="center"/>
    </xf>
    <xf numFmtId="2" fontId="5" fillId="3" borderId="14" xfId="0" applyNumberFormat="1" applyFont="1" applyFill="1" applyBorder="1" applyAlignment="1">
      <alignment horizontal="center" vertical="center"/>
    </xf>
    <xf numFmtId="0" fontId="20" fillId="3" borderId="14" xfId="0" applyFont="1" applyFill="1" applyBorder="1" applyAlignment="1">
      <alignment horizontal="right" vertical="top" wrapText="1"/>
    </xf>
    <xf numFmtId="0" fontId="20" fillId="0" borderId="14" xfId="0" applyFont="1" applyBorder="1" applyAlignment="1">
      <alignment horizontal="right" vertical="top" wrapText="1"/>
    </xf>
    <xf numFmtId="3" fontId="20" fillId="0" borderId="18" xfId="0" applyNumberFormat="1" applyFont="1" applyBorder="1" applyAlignment="1">
      <alignment horizontal="right" vertical="center"/>
    </xf>
    <xf numFmtId="3" fontId="6" fillId="0" borderId="0" xfId="0" applyNumberFormat="1" applyFont="1"/>
    <xf numFmtId="0" fontId="20" fillId="0" borderId="14" xfId="0" applyFont="1" applyBorder="1" applyAlignment="1">
      <alignment horizontal="center" vertical="center"/>
    </xf>
    <xf numFmtId="9" fontId="20" fillId="0" borderId="14" xfId="0" applyNumberFormat="1" applyFont="1" applyBorder="1" applyAlignment="1">
      <alignment horizontal="center" vertical="center"/>
    </xf>
    <xf numFmtId="3" fontId="20" fillId="0" borderId="14" xfId="0" applyNumberFormat="1" applyFont="1" applyBorder="1" applyAlignment="1">
      <alignment horizontal="right" vertical="center"/>
    </xf>
    <xf numFmtId="166" fontId="6" fillId="0" borderId="0" xfId="0" applyNumberFormat="1" applyFont="1"/>
    <xf numFmtId="0" fontId="20" fillId="0" borderId="19" xfId="0" applyFont="1" applyBorder="1" applyAlignment="1">
      <alignment horizontal="center"/>
    </xf>
    <xf numFmtId="0" fontId="4" fillId="0" borderId="20" xfId="0" applyFont="1" applyBorder="1" applyAlignment="1">
      <alignment horizontal="left" vertical="top" wrapText="1"/>
    </xf>
    <xf numFmtId="0" fontId="4" fillId="0" borderId="20" xfId="0" applyFont="1" applyBorder="1" applyAlignment="1">
      <alignment horizontal="center" vertical="center"/>
    </xf>
    <xf numFmtId="2" fontId="4" fillId="0" borderId="20" xfId="0" applyNumberFormat="1" applyFont="1" applyBorder="1" applyAlignment="1">
      <alignment horizontal="center" vertical="center"/>
    </xf>
    <xf numFmtId="3" fontId="4" fillId="0" borderId="20" xfId="0" applyNumberFormat="1" applyFont="1" applyBorder="1" applyAlignment="1">
      <alignment horizontal="right" vertical="center"/>
    </xf>
    <xf numFmtId="3" fontId="4" fillId="0" borderId="21" xfId="0" applyNumberFormat="1" applyFont="1" applyBorder="1" applyAlignment="1">
      <alignment horizontal="right" vertical="center"/>
    </xf>
    <xf numFmtId="0" fontId="19" fillId="0" borderId="27" xfId="0" applyFont="1" applyBorder="1" applyAlignment="1">
      <alignment horizontal="center"/>
    </xf>
    <xf numFmtId="0" fontId="6" fillId="0" borderId="27" xfId="0" applyFont="1" applyBorder="1" applyAlignment="1">
      <alignment horizontal="left" vertical="top" wrapText="1"/>
    </xf>
    <xf numFmtId="3" fontId="4" fillId="0" borderId="3" xfId="0" applyNumberFormat="1" applyFont="1" applyBorder="1" applyAlignment="1">
      <alignment horizontal="right" vertical="center"/>
    </xf>
    <xf numFmtId="166" fontId="19" fillId="0" borderId="0" xfId="0" applyNumberFormat="1" applyFont="1" applyAlignment="1">
      <alignment vertical="center"/>
    </xf>
    <xf numFmtId="0" fontId="6" fillId="0" borderId="0" xfId="0" applyFont="1" applyAlignment="1">
      <alignment vertical="center"/>
    </xf>
    <xf numFmtId="3" fontId="4" fillId="0" borderId="5" xfId="0" applyNumberFormat="1" applyFont="1" applyBorder="1" applyAlignment="1">
      <alignment horizontal="right" vertical="center"/>
    </xf>
    <xf numFmtId="0" fontId="19" fillId="0" borderId="0" xfId="0" applyFont="1" applyAlignment="1">
      <alignment vertical="center"/>
    </xf>
    <xf numFmtId="0" fontId="2" fillId="7" borderId="6" xfId="0" applyFont="1" applyFill="1" applyBorder="1" applyAlignment="1">
      <alignment horizontal="center" vertical="center" wrapText="1"/>
    </xf>
    <xf numFmtId="0" fontId="2" fillId="7" borderId="7" xfId="0" applyFont="1" applyFill="1" applyBorder="1" applyAlignment="1">
      <alignment horizontal="center" vertical="center" wrapText="1"/>
    </xf>
    <xf numFmtId="2" fontId="2" fillId="7" borderId="7" xfId="0" applyNumberFormat="1" applyFont="1" applyFill="1" applyBorder="1" applyAlignment="1">
      <alignment horizontal="center" vertical="center" wrapText="1"/>
    </xf>
    <xf numFmtId="3" fontId="2" fillId="7" borderId="7" xfId="0" applyNumberFormat="1" applyFont="1" applyFill="1" applyBorder="1" applyAlignment="1">
      <alignment horizontal="center" vertical="center" wrapText="1"/>
    </xf>
    <xf numFmtId="3" fontId="7" fillId="7" borderId="8" xfId="0" applyNumberFormat="1" applyFont="1" applyFill="1" applyBorder="1" applyAlignment="1">
      <alignment horizontal="center" vertical="center" wrapText="1"/>
    </xf>
    <xf numFmtId="166" fontId="19" fillId="0" borderId="0" xfId="0" applyNumberFormat="1" applyFont="1" applyAlignment="1">
      <alignment vertical="center" wrapText="1"/>
    </xf>
    <xf numFmtId="0" fontId="6" fillId="0" borderId="0" xfId="0" applyFont="1" applyAlignment="1">
      <alignment vertical="center" wrapText="1"/>
    </xf>
    <xf numFmtId="166" fontId="20" fillId="0" borderId="18" xfId="0" applyNumberFormat="1" applyFont="1" applyBorder="1" applyAlignment="1">
      <alignment vertical="center"/>
    </xf>
    <xf numFmtId="166" fontId="6" fillId="0" borderId="0" xfId="0" applyNumberFormat="1" applyFont="1" applyAlignment="1">
      <alignment vertical="center"/>
    </xf>
    <xf numFmtId="166" fontId="19" fillId="3" borderId="9" xfId="0" applyNumberFormat="1" applyFont="1" applyFill="1" applyBorder="1" applyAlignment="1">
      <alignment vertical="center"/>
    </xf>
    <xf numFmtId="3" fontId="4" fillId="0" borderId="0" xfId="0" applyNumberFormat="1" applyFont="1" applyAlignment="1">
      <alignment horizontal="right" vertical="center"/>
    </xf>
    <xf numFmtId="0" fontId="0" fillId="0" borderId="0" xfId="0" applyFont="1" applyAlignment="1">
      <alignment horizontal="center"/>
    </xf>
    <xf numFmtId="0" fontId="23" fillId="0" borderId="0" xfId="0" applyFont="1"/>
    <xf numFmtId="0" fontId="23" fillId="0" borderId="0" xfId="0" applyFont="1" applyAlignment="1">
      <alignment horizontal="right"/>
    </xf>
    <xf numFmtId="0" fontId="23" fillId="0" borderId="0" xfId="0" applyFont="1" applyAlignment="1">
      <alignment horizontal="center"/>
    </xf>
    <xf numFmtId="0" fontId="23" fillId="0" borderId="0" xfId="0" applyFont="1" applyAlignment="1">
      <alignment horizontal="center" vertical="center"/>
    </xf>
    <xf numFmtId="0" fontId="0" fillId="0" borderId="0" xfId="0" applyFont="1" applyAlignment="1">
      <alignment horizontal="center" vertical="center"/>
    </xf>
    <xf numFmtId="164" fontId="9" fillId="0" borderId="0" xfId="0" applyNumberFormat="1" applyFont="1"/>
    <xf numFmtId="164" fontId="0" fillId="0" borderId="0" xfId="0" applyNumberFormat="1" applyFont="1"/>
    <xf numFmtId="0" fontId="0" fillId="0" borderId="7" xfId="0" applyFont="1" applyBorder="1" applyAlignment="1">
      <alignment horizontal="center"/>
    </xf>
    <xf numFmtId="0" fontId="0" fillId="0" borderId="7" xfId="0" applyFont="1" applyBorder="1"/>
    <xf numFmtId="0" fontId="0" fillId="0" borderId="8" xfId="0" applyFont="1" applyBorder="1"/>
    <xf numFmtId="0" fontId="0" fillId="0" borderId="14" xfId="0" applyFont="1" applyBorder="1" applyAlignment="1">
      <alignment horizontal="center"/>
    </xf>
    <xf numFmtId="164" fontId="0" fillId="0" borderId="14" xfId="0" applyNumberFormat="1" applyFont="1" applyBorder="1" applyAlignment="1">
      <alignment horizontal="center"/>
    </xf>
    <xf numFmtId="164" fontId="0" fillId="0" borderId="14" xfId="0" applyNumberFormat="1" applyFont="1" applyBorder="1"/>
    <xf numFmtId="0" fontId="0" fillId="0" borderId="13" xfId="0" applyFont="1" applyBorder="1"/>
    <xf numFmtId="0" fontId="0" fillId="0" borderId="14" xfId="0" applyFont="1" applyBorder="1"/>
    <xf numFmtId="0" fontId="0" fillId="0" borderId="20" xfId="0" applyFont="1" applyBorder="1" applyAlignment="1">
      <alignment horizontal="center"/>
    </xf>
    <xf numFmtId="164" fontId="0" fillId="0" borderId="20" xfId="0" applyNumberFormat="1" applyFont="1" applyBorder="1" applyAlignment="1">
      <alignment horizontal="center"/>
    </xf>
    <xf numFmtId="171" fontId="0" fillId="0" borderId="20" xfId="0" applyNumberFormat="1" applyFont="1" applyBorder="1" applyAlignment="1">
      <alignment horizontal="center"/>
    </xf>
    <xf numFmtId="164" fontId="0" fillId="0" borderId="20" xfId="0" applyNumberFormat="1" applyFont="1" applyBorder="1"/>
    <xf numFmtId="0" fontId="0" fillId="0" borderId="6" xfId="0" applyFont="1" applyBorder="1"/>
    <xf numFmtId="0" fontId="0" fillId="0" borderId="36" xfId="0" applyFont="1" applyBorder="1" applyAlignment="1">
      <alignment horizontal="center" vertical="center"/>
    </xf>
    <xf numFmtId="164" fontId="0" fillId="0" borderId="36" xfId="0" applyNumberFormat="1" applyFont="1" applyBorder="1" applyAlignment="1">
      <alignment horizontal="center" vertical="center"/>
    </xf>
    <xf numFmtId="171" fontId="0" fillId="0" borderId="36" xfId="0" applyNumberFormat="1" applyFont="1" applyBorder="1" applyAlignment="1">
      <alignment horizontal="center" vertical="center"/>
    </xf>
    <xf numFmtId="164" fontId="0" fillId="0" borderId="36" xfId="0" applyNumberFormat="1" applyFont="1" applyBorder="1" applyAlignment="1">
      <alignment vertical="center"/>
    </xf>
    <xf numFmtId="0" fontId="0" fillId="0" borderId="0" xfId="0" applyFont="1" applyAlignment="1">
      <alignment vertical="center"/>
    </xf>
    <xf numFmtId="164" fontId="24" fillId="0" borderId="36" xfId="0" applyNumberFormat="1" applyFont="1" applyBorder="1" applyAlignment="1">
      <alignment horizontal="center" vertical="center"/>
    </xf>
    <xf numFmtId="0" fontId="0" fillId="0" borderId="8" xfId="0" applyFont="1" applyBorder="1" applyAlignment="1">
      <alignment horizontal="center"/>
    </xf>
    <xf numFmtId="1" fontId="0" fillId="0" borderId="20" xfId="0" applyNumberFormat="1" applyFont="1" applyBorder="1" applyAlignment="1">
      <alignment horizontal="center"/>
    </xf>
    <xf numFmtId="164" fontId="0" fillId="0" borderId="21" xfId="0" applyNumberFormat="1" applyFont="1" applyBorder="1"/>
    <xf numFmtId="0" fontId="0" fillId="0" borderId="7" xfId="0" applyFont="1" applyBorder="1" applyAlignment="1">
      <alignment horizontal="center" vertical="center"/>
    </xf>
    <xf numFmtId="10" fontId="0" fillId="0" borderId="14" xfId="0" applyNumberFormat="1" applyFont="1" applyBorder="1" applyAlignment="1">
      <alignment horizontal="center"/>
    </xf>
    <xf numFmtId="10" fontId="0" fillId="0" borderId="20" xfId="0" applyNumberFormat="1" applyFont="1" applyBorder="1" applyAlignment="1">
      <alignment horizontal="center"/>
    </xf>
    <xf numFmtId="0" fontId="23" fillId="0" borderId="14" xfId="0" applyFont="1" applyBorder="1"/>
    <xf numFmtId="0" fontId="0" fillId="0" borderId="14" xfId="0" applyFont="1" applyBorder="1" applyAlignment="1">
      <alignment horizontal="center" vertical="center"/>
    </xf>
    <xf numFmtId="164" fontId="0" fillId="0" borderId="14" xfId="0" applyNumberFormat="1" applyFont="1" applyBorder="1" applyAlignment="1">
      <alignment horizontal="center" vertical="center"/>
    </xf>
    <xf numFmtId="175" fontId="0" fillId="0" borderId="14" xfId="0" applyNumberFormat="1" applyFont="1" applyBorder="1" applyAlignment="1">
      <alignment horizontal="center" vertical="center"/>
    </xf>
    <xf numFmtId="164" fontId="0" fillId="0" borderId="14" xfId="0" applyNumberFormat="1" applyFont="1" applyBorder="1" applyAlignment="1">
      <alignment vertical="center"/>
    </xf>
    <xf numFmtId="164" fontId="24" fillId="0" borderId="14" xfId="0" applyNumberFormat="1" applyFont="1" applyBorder="1" applyAlignment="1">
      <alignment horizontal="center" vertical="center"/>
    </xf>
    <xf numFmtId="176" fontId="0" fillId="0" borderId="14" xfId="0" applyNumberFormat="1" applyFont="1" applyBorder="1" applyAlignment="1">
      <alignment horizontal="center" vertical="center"/>
    </xf>
    <xf numFmtId="177" fontId="0" fillId="0" borderId="14" xfId="0" applyNumberFormat="1" applyFont="1" applyBorder="1" applyAlignment="1">
      <alignment horizontal="center" vertical="center"/>
    </xf>
    <xf numFmtId="0" fontId="23" fillId="0" borderId="6" xfId="0" applyFont="1" applyBorder="1"/>
    <xf numFmtId="0" fontId="0" fillId="0" borderId="18" xfId="0" applyFont="1" applyBorder="1" applyAlignment="1">
      <alignment horizontal="center"/>
    </xf>
    <xf numFmtId="0" fontId="0" fillId="0" borderId="20" xfId="0" applyFont="1" applyBorder="1" applyAlignment="1">
      <alignment horizontal="center" vertical="center"/>
    </xf>
    <xf numFmtId="164" fontId="24" fillId="0" borderId="20" xfId="0" applyNumberFormat="1" applyFont="1" applyBorder="1" applyAlignment="1">
      <alignment horizontal="center" vertical="center"/>
    </xf>
    <xf numFmtId="175" fontId="0" fillId="0" borderId="20" xfId="0" applyNumberFormat="1" applyFont="1" applyBorder="1" applyAlignment="1">
      <alignment horizontal="center" vertical="center"/>
    </xf>
    <xf numFmtId="164" fontId="0" fillId="0" borderId="20" xfId="0" applyNumberFormat="1" applyFont="1" applyBorder="1" applyAlignment="1">
      <alignment vertical="center"/>
    </xf>
    <xf numFmtId="0" fontId="0" fillId="0" borderId="20" xfId="0" applyFont="1" applyBorder="1"/>
    <xf numFmtId="0" fontId="0" fillId="0" borderId="0" xfId="0" applyFont="1"/>
    <xf numFmtId="164" fontId="0" fillId="0" borderId="0" xfId="0" applyNumberFormat="1" applyFont="1" applyAlignment="1">
      <alignment horizontal="center" vertical="center"/>
    </xf>
    <xf numFmtId="164" fontId="0" fillId="0" borderId="20" xfId="0" applyNumberFormat="1" applyFont="1" applyBorder="1" applyAlignment="1">
      <alignment horizontal="center" vertical="center"/>
    </xf>
    <xf numFmtId="164" fontId="0" fillId="0" borderId="21" xfId="0" applyNumberFormat="1" applyFont="1" applyBorder="1" applyAlignment="1">
      <alignment horizontal="center" vertical="center"/>
    </xf>
    <xf numFmtId="177" fontId="0" fillId="0" borderId="20" xfId="0" applyNumberFormat="1" applyFont="1" applyBorder="1" applyAlignment="1">
      <alignment horizontal="center" vertical="center"/>
    </xf>
    <xf numFmtId="37" fontId="0" fillId="0" borderId="14" xfId="0" applyNumberFormat="1" applyFont="1" applyBorder="1" applyAlignment="1">
      <alignment vertical="center"/>
    </xf>
    <xf numFmtId="0" fontId="0" fillId="0" borderId="19" xfId="0" applyFont="1" applyBorder="1"/>
    <xf numFmtId="37" fontId="0" fillId="0" borderId="20" xfId="0" applyNumberFormat="1" applyFont="1" applyBorder="1" applyAlignment="1">
      <alignment vertical="center"/>
    </xf>
    <xf numFmtId="0" fontId="0" fillId="0" borderId="0" xfId="0" applyFont="1" applyAlignment="1">
      <alignment horizontal="left"/>
    </xf>
    <xf numFmtId="164" fontId="0" fillId="0" borderId="0" xfId="0" applyNumberFormat="1" applyFont="1" applyAlignment="1">
      <alignment horizontal="center"/>
    </xf>
    <xf numFmtId="10" fontId="0" fillId="0" borderId="0" xfId="0" applyNumberFormat="1" applyFont="1" applyAlignment="1">
      <alignment horizontal="center"/>
    </xf>
    <xf numFmtId="0" fontId="0" fillId="0" borderId="13" xfId="0" applyFont="1" applyBorder="1" applyAlignment="1">
      <alignment horizontal="center"/>
    </xf>
    <xf numFmtId="1" fontId="0" fillId="0" borderId="14" xfId="0" applyNumberFormat="1" applyFont="1" applyBorder="1" applyAlignment="1">
      <alignment horizontal="center" vertical="center"/>
    </xf>
    <xf numFmtId="1" fontId="0" fillId="0" borderId="14" xfId="0" applyNumberFormat="1" applyFont="1" applyBorder="1" applyAlignment="1">
      <alignment horizontal="center"/>
    </xf>
    <xf numFmtId="0" fontId="0" fillId="0" borderId="37" xfId="0" applyFont="1" applyBorder="1" applyAlignment="1">
      <alignment horizontal="center"/>
    </xf>
    <xf numFmtId="164" fontId="0" fillId="0" borderId="37" xfId="0" applyNumberFormat="1" applyFont="1" applyBorder="1" applyAlignment="1">
      <alignment horizontal="center"/>
    </xf>
    <xf numFmtId="0" fontId="0" fillId="0" borderId="36" xfId="0" applyFont="1" applyBorder="1" applyAlignment="1">
      <alignment horizontal="center"/>
    </xf>
    <xf numFmtId="0" fontId="0" fillId="0" borderId="36" xfId="0" applyFont="1" applyBorder="1"/>
    <xf numFmtId="164" fontId="23" fillId="0" borderId="0" xfId="0" applyNumberFormat="1" applyFont="1"/>
    <xf numFmtId="0" fontId="0" fillId="0" borderId="21" xfId="0" applyFont="1" applyBorder="1"/>
    <xf numFmtId="9" fontId="0" fillId="0" borderId="14" xfId="0" applyNumberFormat="1" applyFont="1" applyBorder="1" applyAlignment="1">
      <alignment horizontal="center"/>
    </xf>
    <xf numFmtId="9" fontId="0" fillId="0" borderId="20" xfId="0" applyNumberFormat="1" applyFont="1" applyBorder="1" applyAlignment="1">
      <alignment horizontal="center"/>
    </xf>
    <xf numFmtId="164" fontId="0" fillId="0" borderId="7" xfId="0" applyNumberFormat="1" applyFont="1" applyBorder="1"/>
    <xf numFmtId="164" fontId="0" fillId="0" borderId="7" xfId="0" applyNumberFormat="1" applyFont="1" applyBorder="1" applyAlignment="1">
      <alignment horizontal="center"/>
    </xf>
    <xf numFmtId="164" fontId="0" fillId="0" borderId="8" xfId="0" applyNumberFormat="1" applyFont="1" applyBorder="1"/>
    <xf numFmtId="164" fontId="0" fillId="0" borderId="18" xfId="0" applyNumberFormat="1" applyFont="1" applyBorder="1"/>
    <xf numFmtId="4" fontId="0" fillId="0" borderId="14" xfId="0" applyNumberFormat="1" applyFont="1" applyBorder="1" applyAlignment="1">
      <alignment horizontal="center"/>
    </xf>
    <xf numFmtId="4" fontId="0" fillId="0" borderId="20" xfId="0" applyNumberFormat="1" applyFont="1" applyBorder="1" applyAlignment="1">
      <alignment horizontal="center"/>
    </xf>
    <xf numFmtId="4" fontId="0" fillId="0" borderId="0" xfId="0" applyNumberFormat="1" applyFont="1" applyAlignment="1">
      <alignment horizontal="center"/>
    </xf>
    <xf numFmtId="4" fontId="0" fillId="0" borderId="7" xfId="0" applyNumberFormat="1" applyFont="1" applyBorder="1" applyAlignment="1">
      <alignment horizontal="center"/>
    </xf>
    <xf numFmtId="164" fontId="23" fillId="0" borderId="0" xfId="0" applyNumberFormat="1" applyFont="1" applyAlignment="1">
      <alignment horizontal="center"/>
    </xf>
    <xf numFmtId="164" fontId="0" fillId="0" borderId="6" xfId="0" applyNumberFormat="1" applyFont="1" applyBorder="1"/>
    <xf numFmtId="164" fontId="0" fillId="0" borderId="13" xfId="0" applyNumberFormat="1" applyFont="1" applyBorder="1"/>
    <xf numFmtId="164" fontId="0" fillId="0" borderId="19" xfId="0" applyNumberFormat="1" applyFont="1" applyBorder="1"/>
    <xf numFmtId="164" fontId="0" fillId="0" borderId="21" xfId="0" applyNumberFormat="1" applyFont="1" applyBorder="1" applyAlignment="1">
      <alignment horizontal="center"/>
    </xf>
    <xf numFmtId="178" fontId="0" fillId="0" borderId="14" xfId="0" applyNumberFormat="1" applyFont="1" applyBorder="1" applyAlignment="1">
      <alignment horizontal="center"/>
    </xf>
    <xf numFmtId="178" fontId="0" fillId="0" borderId="20" xfId="0" applyNumberFormat="1" applyFont="1" applyBorder="1" applyAlignment="1">
      <alignment horizontal="center"/>
    </xf>
    <xf numFmtId="179" fontId="0" fillId="0" borderId="14" xfId="0" applyNumberFormat="1" applyFont="1" applyBorder="1" applyAlignment="1">
      <alignment horizontal="center"/>
    </xf>
    <xf numFmtId="178" fontId="0" fillId="0" borderId="14" xfId="0" applyNumberFormat="1" applyFont="1" applyBorder="1"/>
    <xf numFmtId="178" fontId="0" fillId="0" borderId="20" xfId="0" applyNumberFormat="1" applyFont="1" applyBorder="1"/>
    <xf numFmtId="9" fontId="0" fillId="0" borderId="0" xfId="0" applyNumberFormat="1" applyFont="1" applyAlignment="1">
      <alignment horizontal="center"/>
    </xf>
    <xf numFmtId="164" fontId="0" fillId="0" borderId="37" xfId="0" applyNumberFormat="1" applyFont="1" applyBorder="1"/>
    <xf numFmtId="180" fontId="0" fillId="0" borderId="14" xfId="0" applyNumberFormat="1" applyFont="1" applyBorder="1" applyAlignment="1">
      <alignment horizontal="center"/>
    </xf>
    <xf numFmtId="0" fontId="0" fillId="0" borderId="25" xfId="0" applyFont="1" applyBorder="1"/>
    <xf numFmtId="0" fontId="0" fillId="0" borderId="36" xfId="0" applyFont="1" applyBorder="1" applyAlignment="1">
      <alignment vertical="center"/>
    </xf>
    <xf numFmtId="164" fontId="0" fillId="0" borderId="18" xfId="0" applyNumberFormat="1" applyFont="1" applyBorder="1" applyAlignment="1">
      <alignment horizontal="center" vertical="center"/>
    </xf>
    <xf numFmtId="164" fontId="0" fillId="0" borderId="1" xfId="0" applyNumberFormat="1" applyFont="1" applyBorder="1" applyAlignment="1">
      <alignment horizontal="center" vertical="center"/>
    </xf>
    <xf numFmtId="178" fontId="0" fillId="0" borderId="21" xfId="0" applyNumberFormat="1" applyFont="1" applyBorder="1"/>
    <xf numFmtId="0" fontId="22" fillId="0" borderId="0" xfId="0" applyFont="1"/>
    <xf numFmtId="0" fontId="21" fillId="0" borderId="0" xfId="0" applyFont="1" applyAlignment="1">
      <alignment horizontal="left"/>
    </xf>
    <xf numFmtId="0" fontId="22" fillId="0" borderId="0" xfId="0" applyFont="1" applyAlignment="1">
      <alignment horizontal="center"/>
    </xf>
    <xf numFmtId="0" fontId="22" fillId="0" borderId="0" xfId="0" applyFont="1" applyAlignment="1">
      <alignment horizontal="left"/>
    </xf>
    <xf numFmtId="0" fontId="21" fillId="0" borderId="0" xfId="0" applyFont="1" applyAlignment="1">
      <alignment horizontal="center"/>
    </xf>
    <xf numFmtId="0" fontId="22" fillId="0" borderId="14" xfId="0" applyFont="1" applyBorder="1" applyAlignment="1">
      <alignment horizontal="center"/>
    </xf>
    <xf numFmtId="164" fontId="21" fillId="0" borderId="14" xfId="0" applyNumberFormat="1" applyFont="1" applyBorder="1"/>
    <xf numFmtId="164" fontId="21" fillId="5" borderId="14" xfId="0" applyNumberFormat="1" applyFont="1" applyFill="1" applyBorder="1"/>
    <xf numFmtId="0" fontId="21" fillId="4" borderId="14" xfId="0" applyFont="1" applyFill="1" applyBorder="1" applyAlignment="1">
      <alignment horizontal="center"/>
    </xf>
    <xf numFmtId="0" fontId="21" fillId="0" borderId="14" xfId="0" applyFont="1" applyBorder="1" applyAlignment="1">
      <alignment horizontal="left"/>
    </xf>
    <xf numFmtId="0" fontId="21" fillId="0" borderId="14" xfId="0" applyFont="1" applyBorder="1" applyAlignment="1">
      <alignment horizontal="center"/>
    </xf>
    <xf numFmtId="0" fontId="22" fillId="0" borderId="14" xfId="0" applyFont="1" applyBorder="1"/>
    <xf numFmtId="164" fontId="22" fillId="0" borderId="14" xfId="0" applyNumberFormat="1" applyFont="1" applyBorder="1"/>
    <xf numFmtId="181" fontId="21" fillId="0" borderId="14" xfId="0" applyNumberFormat="1" applyFont="1" applyBorder="1" applyAlignment="1">
      <alignment horizontal="center" wrapText="1"/>
    </xf>
    <xf numFmtId="0" fontId="21" fillId="0" borderId="14" xfId="0" applyFont="1" applyBorder="1"/>
    <xf numFmtId="9" fontId="22" fillId="0" borderId="14" xfId="0" applyNumberFormat="1" applyFont="1" applyBorder="1" applyAlignment="1">
      <alignment horizontal="center"/>
    </xf>
    <xf numFmtId="9" fontId="22" fillId="0" borderId="42" xfId="0" applyNumberFormat="1" applyFont="1" applyBorder="1" applyAlignment="1">
      <alignment horizontal="center"/>
    </xf>
    <xf numFmtId="0" fontId="21" fillId="0" borderId="0" xfId="0" applyFont="1" applyAlignment="1">
      <alignment horizontal="center" vertical="center"/>
    </xf>
    <xf numFmtId="9" fontId="22" fillId="0" borderId="0" xfId="0" applyNumberFormat="1" applyFont="1" applyAlignment="1">
      <alignment horizontal="center"/>
    </xf>
    <xf numFmtId="164" fontId="22" fillId="0" borderId="0" xfId="0" applyNumberFormat="1" applyFont="1"/>
    <xf numFmtId="164" fontId="21" fillId="0" borderId="0" xfId="0" applyNumberFormat="1" applyFont="1" applyAlignment="1">
      <alignment horizontal="right" vertical="center"/>
    </xf>
    <xf numFmtId="181" fontId="21" fillId="0" borderId="42" xfId="0" applyNumberFormat="1" applyFont="1" applyBorder="1" applyAlignment="1">
      <alignment wrapText="1"/>
    </xf>
    <xf numFmtId="181" fontId="21" fillId="5" borderId="43" xfId="0" applyNumberFormat="1" applyFont="1" applyFill="1" applyBorder="1" applyAlignment="1">
      <alignment wrapText="1"/>
    </xf>
    <xf numFmtId="181" fontId="22" fillId="0" borderId="14" xfId="0" applyNumberFormat="1" applyFont="1" applyBorder="1" applyAlignment="1">
      <alignment wrapText="1"/>
    </xf>
    <xf numFmtId="0" fontId="22" fillId="0" borderId="14" xfId="0" applyFont="1" applyBorder="1" applyAlignment="1">
      <alignment horizontal="center" vertical="center"/>
    </xf>
    <xf numFmtId="181" fontId="21" fillId="0" borderId="14" xfId="0" applyNumberFormat="1" applyFont="1" applyBorder="1" applyAlignment="1">
      <alignment wrapText="1"/>
    </xf>
    <xf numFmtId="181" fontId="21" fillId="0" borderId="14" xfId="0" applyNumberFormat="1" applyFont="1" applyBorder="1"/>
    <xf numFmtId="181" fontId="21" fillId="5" borderId="14" xfId="0" applyNumberFormat="1" applyFont="1" applyFill="1" applyBorder="1"/>
    <xf numFmtId="181" fontId="22" fillId="0" borderId="14" xfId="0" applyNumberFormat="1" applyFont="1" applyBorder="1"/>
    <xf numFmtId="181" fontId="21" fillId="5" borderId="43" xfId="0" applyNumberFormat="1" applyFont="1" applyFill="1" applyBorder="1"/>
    <xf numFmtId="0" fontId="22" fillId="0" borderId="14" xfId="0" applyFont="1" applyBorder="1" applyAlignment="1">
      <alignment wrapText="1"/>
    </xf>
    <xf numFmtId="0" fontId="22" fillId="0" borderId="37" xfId="0" applyFont="1" applyBorder="1"/>
    <xf numFmtId="0" fontId="22" fillId="0" borderId="37" xfId="0" applyFont="1" applyBorder="1" applyAlignment="1">
      <alignment horizontal="center"/>
    </xf>
    <xf numFmtId="181" fontId="21" fillId="0" borderId="37" xfId="0" applyNumberFormat="1" applyFont="1" applyBorder="1"/>
    <xf numFmtId="0" fontId="21" fillId="0" borderId="37" xfId="0" applyFont="1" applyBorder="1"/>
    <xf numFmtId="181" fontId="22" fillId="0" borderId="37" xfId="0" applyNumberFormat="1" applyFont="1" applyBorder="1"/>
    <xf numFmtId="0" fontId="22" fillId="0" borderId="37" xfId="0" applyFont="1" applyBorder="1" applyAlignment="1">
      <alignment horizontal="left"/>
    </xf>
    <xf numFmtId="0" fontId="22" fillId="0" borderId="38" xfId="0" applyFont="1" applyBorder="1" applyAlignment="1">
      <alignment horizontal="left"/>
    </xf>
    <xf numFmtId="0" fontId="22" fillId="0" borderId="42" xfId="0" applyFont="1" applyBorder="1" applyAlignment="1">
      <alignment horizontal="center"/>
    </xf>
    <xf numFmtId="0" fontId="22" fillId="0" borderId="14" xfId="0" applyFont="1" applyBorder="1" applyAlignment="1">
      <alignment horizontal="left"/>
    </xf>
    <xf numFmtId="181" fontId="22" fillId="0" borderId="14" xfId="0" applyNumberFormat="1" applyFont="1" applyBorder="1" applyAlignment="1">
      <alignment horizontal="right"/>
    </xf>
    <xf numFmtId="181" fontId="21" fillId="0" borderId="14" xfId="0" applyNumberFormat="1" applyFont="1" applyBorder="1" applyAlignment="1">
      <alignment horizontal="right"/>
    </xf>
    <xf numFmtId="164" fontId="22" fillId="0" borderId="14" xfId="0" applyNumberFormat="1" applyFont="1" applyBorder="1" applyAlignment="1">
      <alignment horizontal="center"/>
    </xf>
    <xf numFmtId="181" fontId="25" fillId="0" borderId="14" xfId="0" applyNumberFormat="1" applyFont="1" applyBorder="1" applyAlignment="1">
      <alignment horizontal="right"/>
    </xf>
    <xf numFmtId="0" fontId="22" fillId="0" borderId="14" xfId="0" applyFont="1" applyBorder="1" applyAlignment="1">
      <alignment horizontal="left" wrapText="1"/>
    </xf>
    <xf numFmtId="0" fontId="5" fillId="3" borderId="11" xfId="0" applyFont="1" applyFill="1" applyBorder="1" applyAlignment="1">
      <alignment horizontal="left" vertical="center" wrapText="1"/>
    </xf>
    <xf numFmtId="0" fontId="34" fillId="3" borderId="11" xfId="0" applyFont="1" applyFill="1" applyBorder="1" applyAlignment="1">
      <alignment horizontal="left" vertical="center" wrapText="1"/>
    </xf>
    <xf numFmtId="0" fontId="34" fillId="3" borderId="10" xfId="0" applyFont="1" applyFill="1" applyBorder="1" applyAlignment="1">
      <alignment horizontal="center" vertical="center"/>
    </xf>
    <xf numFmtId="0" fontId="35" fillId="3" borderId="15" xfId="0" applyFont="1" applyFill="1" applyBorder="1" applyAlignment="1">
      <alignment horizontal="center" vertical="center" wrapText="1"/>
    </xf>
    <xf numFmtId="0" fontId="34" fillId="0" borderId="44" xfId="0" applyFont="1" applyBorder="1" applyAlignment="1">
      <alignment horizontal="justify" vertical="center" wrapText="1"/>
    </xf>
    <xf numFmtId="0" fontId="34" fillId="0" borderId="44" xfId="0" applyFont="1" applyBorder="1" applyAlignment="1">
      <alignment horizontal="center" vertical="center"/>
    </xf>
    <xf numFmtId="2" fontId="37" fillId="0" borderId="44" xfId="0" applyNumberFormat="1" applyFont="1" applyBorder="1" applyAlignment="1">
      <alignment horizontal="center" vertical="center"/>
    </xf>
    <xf numFmtId="42" fontId="35" fillId="9" borderId="45" xfId="2" applyFont="1" applyFill="1" applyBorder="1" applyAlignment="1">
      <alignment horizontal="right" vertical="center" wrapText="1"/>
    </xf>
    <xf numFmtId="182" fontId="35" fillId="0" borderId="46" xfId="1" applyNumberFormat="1" applyFont="1" applyFill="1" applyBorder="1" applyAlignment="1">
      <alignment horizontal="center" vertical="center"/>
    </xf>
    <xf numFmtId="0" fontId="34" fillId="0" borderId="47" xfId="0" applyFont="1" applyBorder="1" applyAlignment="1">
      <alignment horizontal="justify" vertical="center" wrapText="1"/>
    </xf>
    <xf numFmtId="0" fontId="34" fillId="0" borderId="47" xfId="0" applyFont="1" applyBorder="1" applyAlignment="1">
      <alignment horizontal="center" vertical="center"/>
    </xf>
    <xf numFmtId="0" fontId="38" fillId="0" borderId="0" xfId="0" applyFont="1" applyAlignment="1">
      <alignment horizontal="left" vertical="top" wrapText="1"/>
    </xf>
    <xf numFmtId="0" fontId="38" fillId="0" borderId="0" xfId="0" applyFont="1" applyAlignment="1">
      <alignment horizontal="center" vertical="center"/>
    </xf>
    <xf numFmtId="0" fontId="39" fillId="0" borderId="48" xfId="0" applyFont="1" applyBorder="1" applyAlignment="1">
      <alignment horizontal="center"/>
    </xf>
    <xf numFmtId="0" fontId="39" fillId="0" borderId="9" xfId="0" applyFont="1" applyBorder="1" applyAlignment="1">
      <alignment horizontal="center"/>
    </xf>
    <xf numFmtId="0" fontId="39" fillId="0" borderId="9" xfId="0" applyFont="1" applyBorder="1" applyAlignment="1">
      <alignment horizontal="center" vertical="center"/>
    </xf>
    <xf numFmtId="1" fontId="39" fillId="0" borderId="9" xfId="0" applyNumberFormat="1" applyFont="1" applyBorder="1" applyAlignment="1">
      <alignment horizontal="center" vertical="center"/>
    </xf>
    <xf numFmtId="0" fontId="39" fillId="10" borderId="49" xfId="0" applyFont="1" applyFill="1" applyBorder="1" applyAlignment="1">
      <alignment horizontal="center"/>
    </xf>
    <xf numFmtId="0" fontId="39" fillId="10" borderId="50" xfId="0" applyFont="1" applyFill="1" applyBorder="1" applyAlignment="1">
      <alignment horizontal="center"/>
    </xf>
    <xf numFmtId="0" fontId="39" fillId="10" borderId="50" xfId="0" applyFont="1" applyFill="1" applyBorder="1" applyAlignment="1">
      <alignment horizontal="center" vertical="center"/>
    </xf>
    <xf numFmtId="1" fontId="39" fillId="10" borderId="50" xfId="0" applyNumberFormat="1" applyFont="1" applyFill="1" applyBorder="1" applyAlignment="1">
      <alignment horizontal="center" vertical="center"/>
    </xf>
    <xf numFmtId="0" fontId="39" fillId="8" borderId="51" xfId="0" applyFont="1" applyFill="1" applyBorder="1" applyAlignment="1">
      <alignment horizontal="center" vertical="center"/>
    </xf>
    <xf numFmtId="0" fontId="39" fillId="8" borderId="52" xfId="0" applyFont="1" applyFill="1" applyBorder="1" applyAlignment="1">
      <alignment horizontal="left" vertical="top" wrapText="1"/>
    </xf>
    <xf numFmtId="0" fontId="39" fillId="8" borderId="52" xfId="0" applyFont="1" applyFill="1" applyBorder="1" applyAlignment="1">
      <alignment horizontal="center" vertical="center"/>
    </xf>
    <xf numFmtId="1" fontId="39" fillId="8" borderId="52" xfId="0" applyNumberFormat="1" applyFont="1" applyFill="1" applyBorder="1" applyAlignment="1">
      <alignment horizontal="center" vertical="center"/>
    </xf>
    <xf numFmtId="0" fontId="34" fillId="9" borderId="53" xfId="0" applyFont="1" applyFill="1" applyBorder="1" applyAlignment="1">
      <alignment horizontal="center" vertical="center"/>
    </xf>
    <xf numFmtId="0" fontId="34" fillId="9" borderId="47" xfId="0" applyFont="1" applyFill="1" applyBorder="1" applyAlignment="1">
      <alignment horizontal="left" vertical="top" wrapText="1"/>
    </xf>
    <xf numFmtId="0" fontId="40" fillId="9" borderId="45" xfId="0" applyFont="1" applyFill="1" applyBorder="1" applyAlignment="1">
      <alignment horizontal="center" vertical="center" wrapText="1"/>
    </xf>
    <xf numFmtId="0" fontId="34" fillId="8" borderId="54" xfId="0" applyFont="1" applyFill="1" applyBorder="1" applyAlignment="1">
      <alignment horizontal="center" vertical="center"/>
    </xf>
    <xf numFmtId="0" fontId="37" fillId="8" borderId="55" xfId="0" applyFont="1" applyFill="1" applyBorder="1" applyAlignment="1">
      <alignment horizontal="justify" vertical="center"/>
    </xf>
    <xf numFmtId="0" fontId="34" fillId="8" borderId="55" xfId="0" applyFont="1" applyFill="1" applyBorder="1" applyAlignment="1">
      <alignment horizontal="center" vertical="center"/>
    </xf>
    <xf numFmtId="2" fontId="34" fillId="8" borderId="55" xfId="0" applyNumberFormat="1" applyFont="1" applyFill="1" applyBorder="1" applyAlignment="1">
      <alignment horizontal="center" vertical="center"/>
    </xf>
    <xf numFmtId="0" fontId="34" fillId="9" borderId="47" xfId="0" applyFont="1" applyFill="1" applyBorder="1" applyAlignment="1">
      <alignment horizontal="justify" vertical="center"/>
    </xf>
    <xf numFmtId="0" fontId="35" fillId="9" borderId="56" xfId="0" applyFont="1" applyFill="1" applyBorder="1" applyAlignment="1">
      <alignment horizontal="center" vertical="center" wrapText="1"/>
    </xf>
    <xf numFmtId="0" fontId="0" fillId="8" borderId="0" xfId="0" applyFill="1"/>
    <xf numFmtId="0" fontId="34" fillId="0" borderId="57" xfId="0" applyFont="1" applyBorder="1" applyAlignment="1">
      <alignment horizontal="center" vertical="center"/>
    </xf>
    <xf numFmtId="0" fontId="34" fillId="0" borderId="53" xfId="0" applyFont="1" applyBorder="1" applyAlignment="1">
      <alignment horizontal="center" vertical="center"/>
    </xf>
    <xf numFmtId="0" fontId="34" fillId="8" borderId="53" xfId="0" applyFont="1" applyFill="1" applyBorder="1" applyAlignment="1">
      <alignment horizontal="center" vertical="center"/>
    </xf>
    <xf numFmtId="0" fontId="34" fillId="8" borderId="58" xfId="0" applyFont="1" applyFill="1" applyBorder="1" applyAlignment="1">
      <alignment horizontal="center" vertical="center"/>
    </xf>
    <xf numFmtId="2" fontId="34" fillId="8" borderId="58" xfId="0" applyNumberFormat="1" applyFont="1" applyFill="1" applyBorder="1" applyAlignment="1">
      <alignment horizontal="center" vertical="center"/>
    </xf>
    <xf numFmtId="0" fontId="35" fillId="0" borderId="55" xfId="0" applyFont="1" applyBorder="1" applyAlignment="1">
      <alignment horizontal="justify" vertical="center" wrapText="1"/>
    </xf>
    <xf numFmtId="0" fontId="35" fillId="0" borderId="55" xfId="0" applyFont="1" applyBorder="1" applyAlignment="1">
      <alignment horizontal="center" vertical="center"/>
    </xf>
    <xf numFmtId="1" fontId="35" fillId="0" borderId="55" xfId="0" applyNumberFormat="1" applyFont="1" applyBorder="1" applyAlignment="1">
      <alignment horizontal="center" vertical="center"/>
    </xf>
    <xf numFmtId="49" fontId="35" fillId="0" borderId="55" xfId="0" applyNumberFormat="1" applyFont="1" applyBorder="1" applyAlignment="1">
      <alignment horizontal="center" vertical="center" wrapText="1"/>
    </xf>
    <xf numFmtId="49" fontId="35" fillId="8" borderId="55" xfId="0" applyNumberFormat="1" applyFont="1" applyFill="1" applyBorder="1" applyAlignment="1">
      <alignment horizontal="center" vertical="top" wrapText="1"/>
    </xf>
    <xf numFmtId="0" fontId="35" fillId="8" borderId="52" xfId="0" applyFont="1" applyFill="1" applyBorder="1" applyAlignment="1">
      <alignment horizontal="center" vertical="center"/>
    </xf>
    <xf numFmtId="0" fontId="35" fillId="0" borderId="50" xfId="0" applyFont="1" applyBorder="1" applyAlignment="1">
      <alignment horizontal="center" vertical="center" wrapText="1"/>
    </xf>
    <xf numFmtId="0" fontId="35" fillId="0" borderId="55" xfId="0" applyFont="1" applyBorder="1" applyAlignment="1">
      <alignment horizontal="center" vertical="center" wrapText="1"/>
    </xf>
    <xf numFmtId="0" fontId="35" fillId="0" borderId="59" xfId="0" applyFont="1" applyBorder="1" applyAlignment="1">
      <alignment horizontal="center" vertical="center" wrapText="1"/>
    </xf>
    <xf numFmtId="0" fontId="34" fillId="0" borderId="16" xfId="0" applyFont="1" applyBorder="1" applyAlignment="1">
      <alignment horizontal="center" vertical="center"/>
    </xf>
    <xf numFmtId="0" fontId="34" fillId="0" borderId="10" xfId="0" applyFont="1" applyBorder="1" applyAlignment="1">
      <alignment horizontal="center" vertical="center"/>
    </xf>
    <xf numFmtId="0" fontId="9" fillId="6" borderId="60" xfId="0" applyFont="1" applyFill="1" applyBorder="1" applyAlignment="1">
      <alignment horizontal="center" vertical="center"/>
    </xf>
    <xf numFmtId="0" fontId="1" fillId="0" borderId="55" xfId="0" applyFont="1" applyBorder="1"/>
    <xf numFmtId="0" fontId="39" fillId="8" borderId="52" xfId="0" applyFont="1" applyFill="1" applyBorder="1" applyAlignment="1">
      <alignment horizontal="left" vertical="top"/>
    </xf>
    <xf numFmtId="0" fontId="35" fillId="8" borderId="50" xfId="0" applyFont="1" applyFill="1" applyBorder="1" applyAlignment="1">
      <alignment horizontal="center" vertical="center" wrapText="1"/>
    </xf>
    <xf numFmtId="0" fontId="35" fillId="9" borderId="59" xfId="0" applyFont="1" applyFill="1" applyBorder="1" applyAlignment="1">
      <alignment horizontal="center" vertical="center" wrapText="1"/>
    </xf>
    <xf numFmtId="0" fontId="38" fillId="0" borderId="0" xfId="0" applyFont="1" applyAlignment="1">
      <alignment horizontal="left" vertical="center" wrapText="1"/>
    </xf>
    <xf numFmtId="183" fontId="1" fillId="0" borderId="14" xfId="0" applyNumberFormat="1" applyFont="1" applyBorder="1" applyAlignment="1">
      <alignment horizontal="center" vertical="center"/>
    </xf>
    <xf numFmtId="183" fontId="1" fillId="0" borderId="18" xfId="0" applyNumberFormat="1" applyFont="1" applyBorder="1" applyAlignment="1">
      <alignment horizontal="center" vertical="center"/>
    </xf>
    <xf numFmtId="184" fontId="6" fillId="4" borderId="12" xfId="0" applyNumberFormat="1" applyFont="1" applyFill="1" applyBorder="1" applyAlignment="1">
      <alignment vertical="center"/>
    </xf>
    <xf numFmtId="171" fontId="37" fillId="0" borderId="44" xfId="0" applyNumberFormat="1" applyFont="1" applyBorder="1" applyAlignment="1">
      <alignment horizontal="center" vertical="center"/>
    </xf>
    <xf numFmtId="0" fontId="0" fillId="0" borderId="0" xfId="0" applyFont="1" applyAlignment="1"/>
    <xf numFmtId="0" fontId="5" fillId="3" borderId="22" xfId="0" applyFont="1" applyFill="1" applyBorder="1" applyAlignment="1">
      <alignment horizontal="left" vertical="center"/>
    </xf>
    <xf numFmtId="0" fontId="6" fillId="3" borderId="36" xfId="0" applyFont="1" applyFill="1" applyBorder="1" applyAlignment="1">
      <alignment horizontal="center" vertical="center" wrapText="1"/>
    </xf>
    <xf numFmtId="168" fontId="1" fillId="3" borderId="36" xfId="0" applyNumberFormat="1" applyFont="1" applyFill="1" applyBorder="1" applyAlignment="1">
      <alignment horizontal="right" vertical="center" wrapText="1"/>
    </xf>
    <xf numFmtId="168" fontId="6" fillId="3" borderId="36" xfId="0" applyNumberFormat="1" applyFont="1" applyFill="1" applyBorder="1" applyAlignment="1">
      <alignment vertical="center"/>
    </xf>
    <xf numFmtId="0" fontId="2" fillId="0" borderId="19" xfId="0" applyFont="1" applyBorder="1" applyAlignment="1">
      <alignment horizontal="center" vertical="center"/>
    </xf>
    <xf numFmtId="167" fontId="39" fillId="0" borderId="21" xfId="0" applyNumberFormat="1" applyFont="1" applyBorder="1" applyAlignment="1">
      <alignment horizontal="center" vertical="center"/>
    </xf>
    <xf numFmtId="0" fontId="35" fillId="3" borderId="61" xfId="0" applyFont="1" applyFill="1" applyBorder="1" applyAlignment="1">
      <alignment horizontal="center" vertical="center" wrapText="1"/>
    </xf>
    <xf numFmtId="0" fontId="5" fillId="3" borderId="62" xfId="0" applyFont="1" applyFill="1" applyBorder="1" applyAlignment="1">
      <alignment horizontal="left" vertical="center"/>
    </xf>
    <xf numFmtId="0" fontId="6" fillId="3" borderId="63" xfId="0" applyFont="1" applyFill="1" applyBorder="1" applyAlignment="1">
      <alignment horizontal="center" vertical="center" wrapText="1"/>
    </xf>
    <xf numFmtId="168" fontId="1" fillId="3" borderId="63" xfId="0" applyNumberFormat="1" applyFont="1" applyFill="1" applyBorder="1" applyAlignment="1">
      <alignment horizontal="right" vertical="center" wrapText="1"/>
    </xf>
    <xf numFmtId="168" fontId="6" fillId="3" borderId="63" xfId="0" applyNumberFormat="1" applyFont="1" applyFill="1" applyBorder="1" applyAlignment="1">
      <alignment vertical="center"/>
    </xf>
    <xf numFmtId="0" fontId="35" fillId="3" borderId="64" xfId="0" applyFont="1" applyFill="1" applyBorder="1" applyAlignment="1">
      <alignment horizontal="center" vertical="center" wrapText="1"/>
    </xf>
    <xf numFmtId="0" fontId="0" fillId="0" borderId="0" xfId="0" applyFont="1" applyAlignment="1"/>
    <xf numFmtId="0" fontId="2" fillId="0" borderId="4" xfId="0" applyFont="1" applyBorder="1" applyAlignment="1">
      <alignment horizontal="center"/>
    </xf>
    <xf numFmtId="0" fontId="0" fillId="0" borderId="0" xfId="0" applyFont="1" applyAlignment="1"/>
    <xf numFmtId="0" fontId="3" fillId="0" borderId="5" xfId="0" applyFont="1" applyBorder="1"/>
    <xf numFmtId="0" fontId="39" fillId="0" borderId="48" xfId="0" applyFont="1" applyBorder="1" applyAlignment="1">
      <alignment horizontal="center"/>
    </xf>
    <xf numFmtId="0" fontId="39" fillId="0" borderId="9" xfId="0" applyFont="1" applyBorder="1" applyAlignment="1">
      <alignment horizontal="center"/>
    </xf>
    <xf numFmtId="0" fontId="2" fillId="0" borderId="0" xfId="0" applyFont="1" applyAlignment="1">
      <alignment horizontal="center"/>
    </xf>
    <xf numFmtId="0" fontId="16" fillId="0" borderId="0" xfId="0" applyFont="1" applyAlignment="1">
      <alignment horizontal="left" vertical="top" wrapText="1"/>
    </xf>
    <xf numFmtId="0" fontId="16" fillId="0" borderId="0" xfId="0" applyFont="1" applyAlignment="1">
      <alignment horizontal="left" wrapText="1"/>
    </xf>
    <xf numFmtId="0" fontId="12" fillId="0" borderId="4" xfId="0" applyFont="1" applyBorder="1" applyAlignment="1">
      <alignment horizontal="right"/>
    </xf>
    <xf numFmtId="0" fontId="10" fillId="0" borderId="4" xfId="0" applyFont="1" applyBorder="1" applyAlignment="1">
      <alignment horizontal="center"/>
    </xf>
    <xf numFmtId="0" fontId="15" fillId="0" borderId="0" xfId="0" applyFont="1" applyAlignment="1">
      <alignment horizontal="left" vertical="top" wrapText="1"/>
    </xf>
    <xf numFmtId="0" fontId="6" fillId="0" borderId="0" xfId="0" applyFont="1" applyAlignment="1">
      <alignment horizontal="left"/>
    </xf>
    <xf numFmtId="0" fontId="19" fillId="0" borderId="4" xfId="0" applyFont="1" applyBorder="1" applyAlignment="1">
      <alignment horizontal="center"/>
    </xf>
    <xf numFmtId="0" fontId="19" fillId="0" borderId="4" xfId="0" applyFont="1" applyBorder="1" applyAlignment="1">
      <alignment horizontal="center" wrapText="1"/>
    </xf>
    <xf numFmtId="0" fontId="19" fillId="0" borderId="0" xfId="0" applyFont="1" applyAlignment="1">
      <alignment horizontal="left"/>
    </xf>
    <xf numFmtId="0" fontId="21" fillId="0" borderId="0" xfId="0" applyFont="1" applyAlignment="1">
      <alignment horizontal="left" vertical="center" wrapText="1"/>
    </xf>
    <xf numFmtId="0" fontId="22" fillId="0" borderId="0" xfId="0" applyFont="1" applyAlignment="1">
      <alignment horizontal="left" vertical="center" wrapText="1"/>
    </xf>
    <xf numFmtId="178" fontId="0" fillId="0" borderId="32" xfId="0" applyNumberFormat="1" applyFont="1" applyBorder="1" applyAlignment="1">
      <alignment horizontal="center" vertical="center"/>
    </xf>
    <xf numFmtId="0" fontId="3" fillId="0" borderId="33" xfId="0" applyFont="1" applyBorder="1"/>
    <xf numFmtId="0" fontId="3" fillId="0" borderId="24" xfId="0" applyFont="1" applyBorder="1"/>
    <xf numFmtId="164" fontId="0" fillId="0" borderId="32" xfId="0" applyNumberFormat="1" applyFont="1" applyBorder="1" applyAlignment="1">
      <alignment horizontal="center" vertical="center"/>
    </xf>
    <xf numFmtId="174" fontId="0" fillId="0" borderId="30" xfId="0" applyNumberFormat="1" applyFont="1" applyBorder="1" applyAlignment="1">
      <alignment horizontal="left" vertical="center" wrapText="1"/>
    </xf>
    <xf numFmtId="0" fontId="3" fillId="0" borderId="31" xfId="0" applyFont="1" applyBorder="1"/>
    <xf numFmtId="174" fontId="0" fillId="0" borderId="30" xfId="0" applyNumberFormat="1" applyFont="1" applyBorder="1" applyAlignment="1">
      <alignment horizontal="left" vertical="top" wrapText="1"/>
    </xf>
    <xf numFmtId="174" fontId="0" fillId="0" borderId="34" xfId="0" applyNumberFormat="1" applyFont="1" applyBorder="1" applyAlignment="1">
      <alignment horizontal="left" vertical="center" wrapText="1"/>
    </xf>
    <xf numFmtId="0" fontId="3" fillId="0" borderId="35" xfId="0" applyFont="1" applyBorder="1"/>
    <xf numFmtId="0" fontId="0" fillId="0" borderId="0" xfId="0" applyFont="1" applyAlignment="1">
      <alignment horizontal="center"/>
    </xf>
    <xf numFmtId="0" fontId="0" fillId="0" borderId="28" xfId="0" applyFont="1" applyBorder="1" applyAlignment="1">
      <alignment horizontal="center"/>
    </xf>
    <xf numFmtId="0" fontId="3" fillId="0" borderId="29" xfId="0" applyFont="1" applyBorder="1"/>
    <xf numFmtId="0" fontId="0" fillId="0" borderId="34" xfId="0" applyFont="1" applyBorder="1" applyAlignment="1">
      <alignment horizontal="center"/>
    </xf>
    <xf numFmtId="0" fontId="0" fillId="0" borderId="30" xfId="0" applyFont="1" applyBorder="1" applyAlignment="1">
      <alignment horizontal="left"/>
    </xf>
    <xf numFmtId="0" fontId="0" fillId="0" borderId="34" xfId="0" applyFont="1" applyBorder="1" applyAlignment="1">
      <alignment horizontal="left"/>
    </xf>
    <xf numFmtId="0" fontId="0" fillId="0" borderId="38" xfId="0" applyFont="1" applyBorder="1" applyAlignment="1">
      <alignment horizontal="left" wrapText="1"/>
    </xf>
    <xf numFmtId="0" fontId="0" fillId="0" borderId="38" xfId="0" applyFont="1" applyBorder="1" applyAlignment="1">
      <alignment horizontal="center" wrapText="1"/>
    </xf>
    <xf numFmtId="0" fontId="23" fillId="0" borderId="0" xfId="0" applyFont="1" applyAlignment="1">
      <alignment horizontal="center"/>
    </xf>
    <xf numFmtId="0" fontId="0" fillId="0" borderId="0" xfId="0" applyFont="1" applyAlignment="1">
      <alignment horizontal="left" wrapText="1"/>
    </xf>
    <xf numFmtId="0" fontId="0" fillId="0" borderId="30" xfId="0" applyFont="1" applyBorder="1" applyAlignment="1">
      <alignment horizontal="left" wrapText="1"/>
    </xf>
    <xf numFmtId="174" fontId="0" fillId="0" borderId="30" xfId="0" applyNumberFormat="1" applyFont="1" applyBorder="1" applyAlignment="1">
      <alignment vertical="center" wrapText="1"/>
    </xf>
    <xf numFmtId="164" fontId="0" fillId="0" borderId="37" xfId="0" applyNumberFormat="1" applyFont="1" applyBorder="1" applyAlignment="1">
      <alignment horizontal="center" vertical="center"/>
    </xf>
    <xf numFmtId="0" fontId="3" fillId="0" borderId="22" xfId="0" applyFont="1" applyBorder="1"/>
    <xf numFmtId="0" fontId="3" fillId="0" borderId="36" xfId="0" applyFont="1" applyBorder="1"/>
    <xf numFmtId="0" fontId="0" fillId="0" borderId="38" xfId="0" applyFont="1" applyBorder="1" applyAlignment="1">
      <alignment horizontal="left"/>
    </xf>
    <xf numFmtId="0" fontId="23" fillId="0" borderId="0" xfId="0" applyFont="1" applyAlignment="1">
      <alignment horizontal="right"/>
    </xf>
    <xf numFmtId="0" fontId="0" fillId="0" borderId="0" xfId="0" applyFont="1" applyAlignment="1">
      <alignment horizontal="left" vertical="center" wrapText="1"/>
    </xf>
    <xf numFmtId="0" fontId="0" fillId="0" borderId="30" xfId="0" applyFont="1" applyBorder="1" applyAlignment="1">
      <alignment horizontal="center"/>
    </xf>
    <xf numFmtId="174" fontId="0" fillId="0" borderId="38" xfId="0" applyNumberFormat="1" applyFont="1" applyBorder="1" applyAlignment="1">
      <alignment horizontal="left" vertical="center" wrapText="1"/>
    </xf>
    <xf numFmtId="0" fontId="0" fillId="0" borderId="30" xfId="0" applyFont="1" applyBorder="1" applyAlignment="1">
      <alignment horizontal="left" vertical="center" wrapText="1"/>
    </xf>
    <xf numFmtId="174" fontId="0" fillId="0" borderId="38" xfId="0" applyNumberFormat="1" applyFont="1" applyBorder="1" applyAlignment="1">
      <alignment vertical="center" wrapText="1"/>
    </xf>
    <xf numFmtId="0" fontId="0" fillId="0" borderId="2" xfId="0" applyFont="1" applyBorder="1" applyAlignment="1">
      <alignment horizontal="left"/>
    </xf>
    <xf numFmtId="0" fontId="3" fillId="0" borderId="2" xfId="0" applyFont="1" applyBorder="1"/>
    <xf numFmtId="164" fontId="0" fillId="0" borderId="1" xfId="0" applyNumberFormat="1" applyFont="1" applyBorder="1" applyAlignment="1">
      <alignment horizontal="center" vertical="center"/>
    </xf>
    <xf numFmtId="0" fontId="3" fillId="0" borderId="4" xfId="0" applyFont="1" applyBorder="1"/>
    <xf numFmtId="164" fontId="23" fillId="0" borderId="0" xfId="0" applyNumberFormat="1" applyFont="1" applyAlignment="1">
      <alignment horizontal="center"/>
    </xf>
    <xf numFmtId="0" fontId="0" fillId="0" borderId="34" xfId="0" applyFont="1" applyBorder="1" applyAlignment="1">
      <alignment horizontal="left" wrapText="1"/>
    </xf>
    <xf numFmtId="174" fontId="0" fillId="0" borderId="34" xfId="0" applyNumberFormat="1" applyFont="1" applyBorder="1" applyAlignment="1">
      <alignment vertical="center" wrapText="1"/>
    </xf>
    <xf numFmtId="0" fontId="0" fillId="0" borderId="39" xfId="0" applyFont="1" applyBorder="1" applyAlignment="1">
      <alignment horizontal="center"/>
    </xf>
    <xf numFmtId="0" fontId="3" fillId="0" borderId="39" xfId="0" applyFont="1" applyBorder="1"/>
    <xf numFmtId="0" fontId="0" fillId="0" borderId="0" xfId="0" applyFont="1" applyAlignment="1">
      <alignment horizontal="center" wrapText="1"/>
    </xf>
    <xf numFmtId="0" fontId="0" fillId="0" borderId="0" xfId="0" applyFont="1" applyAlignment="1">
      <alignment horizontal="left"/>
    </xf>
    <xf numFmtId="0" fontId="23" fillId="0" borderId="0" xfId="0" applyFont="1" applyAlignment="1">
      <alignment horizontal="left"/>
    </xf>
    <xf numFmtId="174" fontId="0" fillId="0" borderId="0" xfId="0" applyNumberFormat="1" applyFont="1" applyAlignment="1">
      <alignment horizontal="left" wrapText="1"/>
    </xf>
    <xf numFmtId="0" fontId="0" fillId="0" borderId="34" xfId="0" applyFont="1" applyBorder="1" applyAlignment="1">
      <alignment horizontal="left" vertical="center" wrapText="1"/>
    </xf>
    <xf numFmtId="0" fontId="0" fillId="0" borderId="34" xfId="0" applyFont="1" applyBorder="1" applyAlignment="1">
      <alignment horizontal="center" wrapText="1"/>
    </xf>
    <xf numFmtId="0" fontId="23" fillId="0" borderId="40" xfId="0" applyFont="1" applyBorder="1" applyAlignment="1">
      <alignment horizontal="left" wrapText="1"/>
    </xf>
    <xf numFmtId="0" fontId="3" fillId="0" borderId="40" xfId="0" applyFont="1" applyBorder="1"/>
    <xf numFmtId="165" fontId="0" fillId="0" borderId="30" xfId="0" applyNumberFormat="1" applyFont="1" applyBorder="1" applyAlignment="1">
      <alignment horizontal="left" wrapText="1"/>
    </xf>
    <xf numFmtId="164" fontId="21" fillId="0" borderId="37" xfId="0" applyNumberFormat="1" applyFont="1" applyBorder="1" applyAlignment="1">
      <alignment horizontal="right" vertical="center"/>
    </xf>
    <xf numFmtId="0" fontId="21" fillId="0" borderId="38" xfId="0" applyFont="1" applyBorder="1" applyAlignment="1">
      <alignment horizontal="left" wrapText="1"/>
    </xf>
    <xf numFmtId="0" fontId="21" fillId="0" borderId="37" xfId="0" applyFont="1" applyBorder="1" applyAlignment="1">
      <alignment horizontal="center" vertical="center"/>
    </xf>
    <xf numFmtId="0" fontId="21" fillId="0" borderId="38" xfId="0" applyFont="1" applyBorder="1" applyAlignment="1">
      <alignment horizontal="left"/>
    </xf>
    <xf numFmtId="0" fontId="21" fillId="0" borderId="38" xfId="0" applyFont="1" applyBorder="1" applyAlignment="1">
      <alignment horizontal="center"/>
    </xf>
    <xf numFmtId="0" fontId="21" fillId="0" borderId="1" xfId="0" applyFont="1" applyBorder="1" applyAlignment="1">
      <alignment horizontal="center" vertical="center"/>
    </xf>
    <xf numFmtId="0" fontId="3" fillId="0" borderId="41" xfId="0" applyFont="1" applyBorder="1"/>
    <xf numFmtId="0" fontId="2" fillId="4" borderId="66" xfId="0" applyFont="1" applyFill="1" applyBorder="1" applyAlignment="1">
      <alignment horizontal="center" vertical="center"/>
    </xf>
    <xf numFmtId="0" fontId="2" fillId="4" borderId="67" xfId="0" applyFont="1" applyFill="1" applyBorder="1" applyAlignment="1">
      <alignment horizontal="left" vertical="top" wrapText="1"/>
    </xf>
    <xf numFmtId="0" fontId="2" fillId="4" borderId="67" xfId="0" applyFont="1" applyFill="1" applyBorder="1" applyAlignment="1">
      <alignment horizontal="center" vertical="center"/>
    </xf>
    <xf numFmtId="1" fontId="2" fillId="4" borderId="67" xfId="0" applyNumberFormat="1" applyFont="1" applyFill="1" applyBorder="1" applyAlignment="1">
      <alignment horizontal="center" vertical="center"/>
    </xf>
    <xf numFmtId="167" fontId="2" fillId="4" borderId="67" xfId="0" applyNumberFormat="1" applyFont="1" applyFill="1" applyBorder="1" applyAlignment="1">
      <alignment horizontal="center" vertical="center"/>
    </xf>
    <xf numFmtId="167" fontId="2" fillId="4" borderId="68" xfId="0" applyNumberFormat="1" applyFont="1" applyFill="1" applyBorder="1" applyAlignment="1">
      <alignment horizontal="center" vertical="center"/>
    </xf>
    <xf numFmtId="0" fontId="5" fillId="3" borderId="69" xfId="0" applyFont="1" applyFill="1" applyBorder="1" applyAlignment="1">
      <alignment horizontal="center" vertical="center"/>
    </xf>
    <xf numFmtId="0" fontId="34" fillId="3" borderId="70" xfId="0" applyFont="1" applyFill="1" applyBorder="1" applyAlignment="1">
      <alignment horizontal="left" vertical="top" wrapText="1"/>
    </xf>
    <xf numFmtId="0" fontId="41" fillId="3" borderId="70" xfId="0" applyFont="1" applyFill="1" applyBorder="1" applyAlignment="1">
      <alignment horizontal="center" vertical="center" wrapText="1"/>
    </xf>
    <xf numFmtId="0" fontId="6" fillId="3" borderId="70" xfId="0" applyFont="1" applyFill="1" applyBorder="1" applyAlignment="1">
      <alignment horizontal="center" vertical="center" wrapText="1"/>
    </xf>
    <xf numFmtId="168" fontId="1" fillId="3" borderId="70" xfId="0" applyNumberFormat="1" applyFont="1" applyFill="1" applyBorder="1" applyAlignment="1">
      <alignment horizontal="right" vertical="center" wrapText="1"/>
    </xf>
    <xf numFmtId="168" fontId="6" fillId="3" borderId="71" xfId="0" applyNumberFormat="1" applyFont="1" applyFill="1" applyBorder="1" applyAlignment="1">
      <alignment vertical="center"/>
    </xf>
    <xf numFmtId="0" fontId="34" fillId="3" borderId="72" xfId="0" applyFont="1" applyFill="1" applyBorder="1" applyAlignment="1">
      <alignment horizontal="center" vertical="center"/>
    </xf>
    <xf numFmtId="0" fontId="5" fillId="3" borderId="73" xfId="0" applyFont="1" applyFill="1" applyBorder="1" applyAlignment="1">
      <alignment horizontal="left" vertical="center" wrapText="1"/>
    </xf>
    <xf numFmtId="0" fontId="5" fillId="4" borderId="69" xfId="0" applyFont="1" applyFill="1" applyBorder="1" applyAlignment="1">
      <alignment horizontal="center" vertical="center"/>
    </xf>
    <xf numFmtId="0" fontId="7" fillId="4" borderId="70" xfId="0" applyFont="1" applyFill="1" applyBorder="1" applyAlignment="1">
      <alignment horizontal="left" vertical="center"/>
    </xf>
    <xf numFmtId="0" fontId="5" fillId="4" borderId="70" xfId="0" applyFont="1" applyFill="1" applyBorder="1" applyAlignment="1">
      <alignment horizontal="center" vertical="center"/>
    </xf>
    <xf numFmtId="2" fontId="5" fillId="4" borderId="70" xfId="0" applyNumberFormat="1" applyFont="1" applyFill="1" applyBorder="1" applyAlignment="1">
      <alignment horizontal="center" vertical="center"/>
    </xf>
    <xf numFmtId="169" fontId="5" fillId="4" borderId="70" xfId="0" applyNumberFormat="1" applyFont="1" applyFill="1" applyBorder="1" applyAlignment="1">
      <alignment vertical="center"/>
    </xf>
    <xf numFmtId="168" fontId="6" fillId="4" borderId="71" xfId="0" applyNumberFormat="1" applyFont="1" applyFill="1" applyBorder="1" applyAlignment="1">
      <alignment vertical="center"/>
    </xf>
    <xf numFmtId="0" fontId="2" fillId="2" borderId="36" xfId="0" applyFont="1" applyFill="1" applyBorder="1" applyAlignment="1">
      <alignment horizontal="center"/>
    </xf>
    <xf numFmtId="0" fontId="5" fillId="3" borderId="9" xfId="0" applyFont="1" applyFill="1" applyBorder="1" applyAlignment="1">
      <alignment horizontal="center" vertical="center"/>
    </xf>
    <xf numFmtId="0" fontId="34" fillId="3" borderId="9" xfId="0" applyFont="1" applyFill="1" applyBorder="1" applyAlignment="1">
      <alignment horizontal="left" vertical="top" wrapText="1"/>
    </xf>
    <xf numFmtId="0" fontId="41" fillId="3" borderId="9" xfId="0" applyFont="1" applyFill="1" applyBorder="1" applyAlignment="1">
      <alignment horizontal="center" vertical="center" wrapText="1"/>
    </xf>
    <xf numFmtId="0" fontId="6" fillId="3" borderId="9" xfId="0" applyFont="1" applyFill="1" applyBorder="1" applyAlignment="1">
      <alignment horizontal="center" vertical="center" wrapText="1"/>
    </xf>
    <xf numFmtId="168" fontId="1" fillId="3" borderId="9" xfId="0" applyNumberFormat="1" applyFont="1" applyFill="1" applyBorder="1" applyAlignment="1">
      <alignment horizontal="right" vertical="center" wrapText="1"/>
    </xf>
    <xf numFmtId="168" fontId="6" fillId="3" borderId="9" xfId="0" applyNumberFormat="1" applyFont="1" applyFill="1" applyBorder="1" applyAlignment="1">
      <alignment vertical="center"/>
    </xf>
    <xf numFmtId="0" fontId="39" fillId="0" borderId="65" xfId="0" applyFont="1" applyBorder="1" applyAlignment="1">
      <alignment horizontal="left"/>
    </xf>
    <xf numFmtId="0" fontId="42" fillId="3" borderId="65" xfId="0" applyFont="1" applyFill="1" applyBorder="1"/>
  </cellXfs>
  <cellStyles count="3">
    <cellStyle name="Currency" xfId="1" builtinId="4"/>
    <cellStyle name="Currency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g"/></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71575" cy="5334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2847975</xdr:colOff>
      <xdr:row>0</xdr:row>
      <xdr:rowOff>28575</xdr:rowOff>
    </xdr:from>
    <xdr:ext cx="2466975" cy="4857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0</xdr:colOff>
      <xdr:row>0</xdr:row>
      <xdr:rowOff>0</xdr:rowOff>
    </xdr:from>
    <xdr:ext cx="1171575" cy="523875"/>
    <xdr:pic>
      <xdr:nvPicPr>
        <xdr:cNvPr id="4" name="image3.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171575" cy="533400"/>
    <xdr:pic>
      <xdr:nvPicPr>
        <xdr:cNvPr id="2" name="image4.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2847975</xdr:colOff>
      <xdr:row>0</xdr:row>
      <xdr:rowOff>28575</xdr:rowOff>
    </xdr:from>
    <xdr:ext cx="2466975" cy="485775"/>
    <xdr:pic>
      <xdr:nvPicPr>
        <xdr:cNvPr id="3" name="image5.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0</xdr:colOff>
      <xdr:row>0</xdr:row>
      <xdr:rowOff>0</xdr:rowOff>
    </xdr:from>
    <xdr:ext cx="1171575" cy="523875"/>
    <xdr:pic>
      <xdr:nvPicPr>
        <xdr:cNvPr id="4" name="image6.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twoCellAnchor editAs="oneCell">
    <xdr:from>
      <xdr:col>1</xdr:col>
      <xdr:colOff>0</xdr:colOff>
      <xdr:row>0</xdr:row>
      <xdr:rowOff>1</xdr:rowOff>
    </xdr:from>
    <xdr:to>
      <xdr:col>2</xdr:col>
      <xdr:colOff>725366</xdr:colOff>
      <xdr:row>1</xdr:row>
      <xdr:rowOff>5014</xdr:rowOff>
    </xdr:to>
    <xdr:pic>
      <xdr:nvPicPr>
        <xdr:cNvPr id="5" name="Imagen 1">
          <a:extLst>
            <a:ext uri="{FF2B5EF4-FFF2-40B4-BE49-F238E27FC236}">
              <a16:creationId xmlns:a16="http://schemas.microsoft.com/office/drawing/2014/main" id="{CEE1A645-1A4C-41A7-88B6-17D866F864B3}"/>
            </a:ext>
          </a:extLst>
        </xdr:cNvPr>
        <xdr:cNvPicPr>
          <a:picLocks noChangeAspect="1"/>
        </xdr:cNvPicPr>
      </xdr:nvPicPr>
      <xdr:blipFill>
        <a:blip xmlns:r="http://schemas.openxmlformats.org/officeDocument/2006/relationships" r:embed="rId1"/>
        <a:stretch>
          <a:fillRect/>
        </a:stretch>
      </xdr:blipFill>
      <xdr:spPr>
        <a:xfrm>
          <a:off x="441960" y="1"/>
          <a:ext cx="1182566" cy="5384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2847975</xdr:colOff>
      <xdr:row>0</xdr:row>
      <xdr:rowOff>28575</xdr:rowOff>
    </xdr:from>
    <xdr:ext cx="2209800" cy="485775"/>
    <xdr:pic>
      <xdr:nvPicPr>
        <xdr:cNvPr id="2" name="image7.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0</xdr:row>
      <xdr:rowOff>0</xdr:rowOff>
    </xdr:from>
    <xdr:ext cx="1152525" cy="533400"/>
    <xdr:pic>
      <xdr:nvPicPr>
        <xdr:cNvPr id="3" name="image8.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95250</xdr:rowOff>
    </xdr:from>
    <xdr:ext cx="5972175" cy="371475"/>
    <xdr:pic>
      <xdr:nvPicPr>
        <xdr:cNvPr id="2" name="image9.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123825</xdr:colOff>
      <xdr:row>0</xdr:row>
      <xdr:rowOff>104775</xdr:rowOff>
    </xdr:from>
    <xdr:ext cx="1304925" cy="533400"/>
    <xdr:pic>
      <xdr:nvPicPr>
        <xdr:cNvPr id="2" name="image10.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85725</xdr:colOff>
      <xdr:row>0</xdr:row>
      <xdr:rowOff>0</xdr:rowOff>
    </xdr:from>
    <xdr:ext cx="1114425" cy="571500"/>
    <xdr:pic>
      <xdr:nvPicPr>
        <xdr:cNvPr id="2" name="image11.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352425</xdr:colOff>
      <xdr:row>0</xdr:row>
      <xdr:rowOff>0</xdr:rowOff>
    </xdr:from>
    <xdr:ext cx="1009650" cy="704850"/>
    <xdr:pic>
      <xdr:nvPicPr>
        <xdr:cNvPr id="3" name="image12.pn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180975</xdr:colOff>
      <xdr:row>0</xdr:row>
      <xdr:rowOff>38100</xdr:rowOff>
    </xdr:from>
    <xdr:ext cx="6419850" cy="638175"/>
    <xdr:pic>
      <xdr:nvPicPr>
        <xdr:cNvPr id="2" name="image13.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762000</xdr:colOff>
      <xdr:row>31</xdr:row>
      <xdr:rowOff>0</xdr:rowOff>
    </xdr:from>
    <xdr:ext cx="6600825" cy="638175"/>
    <xdr:pic>
      <xdr:nvPicPr>
        <xdr:cNvPr id="3" name="image14.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64</xdr:row>
      <xdr:rowOff>0</xdr:rowOff>
    </xdr:from>
    <xdr:ext cx="6610350" cy="638175"/>
    <xdr:pic>
      <xdr:nvPicPr>
        <xdr:cNvPr id="4" name="image15.png">
          <a:extLst>
            <a:ext uri="{FF2B5EF4-FFF2-40B4-BE49-F238E27FC236}">
              <a16:creationId xmlns:a16="http://schemas.microsoft.com/office/drawing/2014/main" id="{00000000-0008-0000-06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98</xdr:row>
      <xdr:rowOff>0</xdr:rowOff>
    </xdr:from>
    <xdr:ext cx="6610350" cy="638175"/>
    <xdr:pic>
      <xdr:nvPicPr>
        <xdr:cNvPr id="5" name="image16.png">
          <a:extLst>
            <a:ext uri="{FF2B5EF4-FFF2-40B4-BE49-F238E27FC236}">
              <a16:creationId xmlns:a16="http://schemas.microsoft.com/office/drawing/2014/main" id="{00000000-0008-0000-06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129</xdr:row>
      <xdr:rowOff>0</xdr:rowOff>
    </xdr:from>
    <xdr:ext cx="6610350" cy="638175"/>
    <xdr:pic>
      <xdr:nvPicPr>
        <xdr:cNvPr id="6" name="image17.png">
          <a:extLst>
            <a:ext uri="{FF2B5EF4-FFF2-40B4-BE49-F238E27FC236}">
              <a16:creationId xmlns:a16="http://schemas.microsoft.com/office/drawing/2014/main" id="{00000000-0008-0000-06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160</xdr:row>
      <xdr:rowOff>0</xdr:rowOff>
    </xdr:from>
    <xdr:ext cx="6610350" cy="638175"/>
    <xdr:pic>
      <xdr:nvPicPr>
        <xdr:cNvPr id="7" name="image18.png">
          <a:extLst>
            <a:ext uri="{FF2B5EF4-FFF2-40B4-BE49-F238E27FC236}">
              <a16:creationId xmlns:a16="http://schemas.microsoft.com/office/drawing/2014/main" id="{00000000-0008-0000-06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191</xdr:row>
      <xdr:rowOff>0</xdr:rowOff>
    </xdr:from>
    <xdr:ext cx="6962775" cy="638175"/>
    <xdr:pic>
      <xdr:nvPicPr>
        <xdr:cNvPr id="8" name="image19.png">
          <a:extLst>
            <a:ext uri="{FF2B5EF4-FFF2-40B4-BE49-F238E27FC236}">
              <a16:creationId xmlns:a16="http://schemas.microsoft.com/office/drawing/2014/main" id="{00000000-0008-0000-06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222</xdr:row>
      <xdr:rowOff>0</xdr:rowOff>
    </xdr:from>
    <xdr:ext cx="6962775" cy="638175"/>
    <xdr:pic>
      <xdr:nvPicPr>
        <xdr:cNvPr id="9" name="image20.png">
          <a:extLst>
            <a:ext uri="{FF2B5EF4-FFF2-40B4-BE49-F238E27FC236}">
              <a16:creationId xmlns:a16="http://schemas.microsoft.com/office/drawing/2014/main" id="{00000000-0008-0000-06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254</xdr:row>
      <xdr:rowOff>0</xdr:rowOff>
    </xdr:from>
    <xdr:ext cx="6962775" cy="638175"/>
    <xdr:pic>
      <xdr:nvPicPr>
        <xdr:cNvPr id="10" name="image21.png">
          <a:extLst>
            <a:ext uri="{FF2B5EF4-FFF2-40B4-BE49-F238E27FC236}">
              <a16:creationId xmlns:a16="http://schemas.microsoft.com/office/drawing/2014/main" id="{00000000-0008-0000-06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286</xdr:row>
      <xdr:rowOff>0</xdr:rowOff>
    </xdr:from>
    <xdr:ext cx="6962775" cy="638175"/>
    <xdr:pic>
      <xdr:nvPicPr>
        <xdr:cNvPr id="11" name="image22.png">
          <a:extLst>
            <a:ext uri="{FF2B5EF4-FFF2-40B4-BE49-F238E27FC236}">
              <a16:creationId xmlns:a16="http://schemas.microsoft.com/office/drawing/2014/main" id="{00000000-0008-0000-06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318</xdr:row>
      <xdr:rowOff>0</xdr:rowOff>
    </xdr:from>
    <xdr:ext cx="6962775" cy="638175"/>
    <xdr:pic>
      <xdr:nvPicPr>
        <xdr:cNvPr id="12" name="image23.png">
          <a:extLst>
            <a:ext uri="{FF2B5EF4-FFF2-40B4-BE49-F238E27FC236}">
              <a16:creationId xmlns:a16="http://schemas.microsoft.com/office/drawing/2014/main" id="{00000000-0008-0000-06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349</xdr:row>
      <xdr:rowOff>0</xdr:rowOff>
    </xdr:from>
    <xdr:ext cx="6962775" cy="638175"/>
    <xdr:pic>
      <xdr:nvPicPr>
        <xdr:cNvPr id="13" name="image24.png">
          <a:extLst>
            <a:ext uri="{FF2B5EF4-FFF2-40B4-BE49-F238E27FC236}">
              <a16:creationId xmlns:a16="http://schemas.microsoft.com/office/drawing/2014/main" id="{00000000-0008-0000-06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379</xdr:row>
      <xdr:rowOff>0</xdr:rowOff>
    </xdr:from>
    <xdr:ext cx="6962775" cy="638175"/>
    <xdr:pic>
      <xdr:nvPicPr>
        <xdr:cNvPr id="14" name="image25.png">
          <a:extLst>
            <a:ext uri="{FF2B5EF4-FFF2-40B4-BE49-F238E27FC236}">
              <a16:creationId xmlns:a16="http://schemas.microsoft.com/office/drawing/2014/main" id="{00000000-0008-0000-0600-00000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410</xdr:row>
      <xdr:rowOff>0</xdr:rowOff>
    </xdr:from>
    <xdr:ext cx="6962775" cy="638175"/>
    <xdr:pic>
      <xdr:nvPicPr>
        <xdr:cNvPr id="15" name="image26.png">
          <a:extLst>
            <a:ext uri="{FF2B5EF4-FFF2-40B4-BE49-F238E27FC236}">
              <a16:creationId xmlns:a16="http://schemas.microsoft.com/office/drawing/2014/main" id="{00000000-0008-0000-0600-00000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133350</xdr:colOff>
      <xdr:row>439</xdr:row>
      <xdr:rowOff>0</xdr:rowOff>
    </xdr:from>
    <xdr:ext cx="6962775" cy="638175"/>
    <xdr:pic>
      <xdr:nvPicPr>
        <xdr:cNvPr id="16" name="image27.png">
          <a:extLst>
            <a:ext uri="{FF2B5EF4-FFF2-40B4-BE49-F238E27FC236}">
              <a16:creationId xmlns:a16="http://schemas.microsoft.com/office/drawing/2014/main" id="{00000000-0008-0000-0600-00001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468</xdr:row>
      <xdr:rowOff>0</xdr:rowOff>
    </xdr:from>
    <xdr:ext cx="6962775" cy="638175"/>
    <xdr:pic>
      <xdr:nvPicPr>
        <xdr:cNvPr id="17" name="image28.png">
          <a:extLst>
            <a:ext uri="{FF2B5EF4-FFF2-40B4-BE49-F238E27FC236}">
              <a16:creationId xmlns:a16="http://schemas.microsoft.com/office/drawing/2014/main" id="{00000000-0008-0000-0600-00001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499</xdr:row>
      <xdr:rowOff>0</xdr:rowOff>
    </xdr:from>
    <xdr:ext cx="6962775" cy="638175"/>
    <xdr:pic>
      <xdr:nvPicPr>
        <xdr:cNvPr id="18" name="image29.png">
          <a:extLst>
            <a:ext uri="{FF2B5EF4-FFF2-40B4-BE49-F238E27FC236}">
              <a16:creationId xmlns:a16="http://schemas.microsoft.com/office/drawing/2014/main" id="{00000000-0008-0000-0600-00001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531</xdr:row>
      <xdr:rowOff>0</xdr:rowOff>
    </xdr:from>
    <xdr:ext cx="6962775" cy="638175"/>
    <xdr:pic>
      <xdr:nvPicPr>
        <xdr:cNvPr id="19" name="image30.png">
          <a:extLst>
            <a:ext uri="{FF2B5EF4-FFF2-40B4-BE49-F238E27FC236}">
              <a16:creationId xmlns:a16="http://schemas.microsoft.com/office/drawing/2014/main" id="{00000000-0008-0000-0600-00001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569</xdr:row>
      <xdr:rowOff>0</xdr:rowOff>
    </xdr:from>
    <xdr:ext cx="6962775" cy="638175"/>
    <xdr:pic>
      <xdr:nvPicPr>
        <xdr:cNvPr id="20" name="image31.png">
          <a:extLst>
            <a:ext uri="{FF2B5EF4-FFF2-40B4-BE49-F238E27FC236}">
              <a16:creationId xmlns:a16="http://schemas.microsoft.com/office/drawing/2014/main" id="{00000000-0008-0000-0600-00001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600</xdr:row>
      <xdr:rowOff>0</xdr:rowOff>
    </xdr:from>
    <xdr:ext cx="6962775" cy="638175"/>
    <xdr:pic>
      <xdr:nvPicPr>
        <xdr:cNvPr id="21" name="image32.png">
          <a:extLst>
            <a:ext uri="{FF2B5EF4-FFF2-40B4-BE49-F238E27FC236}">
              <a16:creationId xmlns:a16="http://schemas.microsoft.com/office/drawing/2014/main" id="{00000000-0008-0000-0600-00001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631</xdr:row>
      <xdr:rowOff>0</xdr:rowOff>
    </xdr:from>
    <xdr:ext cx="6962775" cy="638175"/>
    <xdr:pic>
      <xdr:nvPicPr>
        <xdr:cNvPr id="22" name="image33.png">
          <a:extLst>
            <a:ext uri="{FF2B5EF4-FFF2-40B4-BE49-F238E27FC236}">
              <a16:creationId xmlns:a16="http://schemas.microsoft.com/office/drawing/2014/main" id="{00000000-0008-0000-0600-00001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662</xdr:row>
      <xdr:rowOff>76200</xdr:rowOff>
    </xdr:from>
    <xdr:ext cx="6962775" cy="638175"/>
    <xdr:pic>
      <xdr:nvPicPr>
        <xdr:cNvPr id="23" name="image34.png">
          <a:extLst>
            <a:ext uri="{FF2B5EF4-FFF2-40B4-BE49-F238E27FC236}">
              <a16:creationId xmlns:a16="http://schemas.microsoft.com/office/drawing/2014/main" id="{00000000-0008-0000-0600-00001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38100</xdr:colOff>
      <xdr:row>692</xdr:row>
      <xdr:rowOff>171450</xdr:rowOff>
    </xdr:from>
    <xdr:ext cx="6962775" cy="638175"/>
    <xdr:pic>
      <xdr:nvPicPr>
        <xdr:cNvPr id="24" name="image35.png">
          <a:extLst>
            <a:ext uri="{FF2B5EF4-FFF2-40B4-BE49-F238E27FC236}">
              <a16:creationId xmlns:a16="http://schemas.microsoft.com/office/drawing/2014/main" id="{00000000-0008-0000-0600-00001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722</xdr:row>
      <xdr:rowOff>0</xdr:rowOff>
    </xdr:from>
    <xdr:ext cx="6962775" cy="638175"/>
    <xdr:pic>
      <xdr:nvPicPr>
        <xdr:cNvPr id="25" name="image36.png">
          <a:extLst>
            <a:ext uri="{FF2B5EF4-FFF2-40B4-BE49-F238E27FC236}">
              <a16:creationId xmlns:a16="http://schemas.microsoft.com/office/drawing/2014/main" id="{00000000-0008-0000-0600-00001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751</xdr:row>
      <xdr:rowOff>0</xdr:rowOff>
    </xdr:from>
    <xdr:ext cx="6962775" cy="638175"/>
    <xdr:pic>
      <xdr:nvPicPr>
        <xdr:cNvPr id="26" name="image37.png">
          <a:extLst>
            <a:ext uri="{FF2B5EF4-FFF2-40B4-BE49-F238E27FC236}">
              <a16:creationId xmlns:a16="http://schemas.microsoft.com/office/drawing/2014/main" id="{00000000-0008-0000-0600-00001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782</xdr:row>
      <xdr:rowOff>76200</xdr:rowOff>
    </xdr:from>
    <xdr:ext cx="6953250" cy="638175"/>
    <xdr:pic>
      <xdr:nvPicPr>
        <xdr:cNvPr id="27" name="image38.png">
          <a:extLst>
            <a:ext uri="{FF2B5EF4-FFF2-40B4-BE49-F238E27FC236}">
              <a16:creationId xmlns:a16="http://schemas.microsoft.com/office/drawing/2014/main" id="{00000000-0008-0000-0600-00001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812</xdr:row>
      <xdr:rowOff>95250</xdr:rowOff>
    </xdr:from>
    <xdr:ext cx="6962775" cy="638175"/>
    <xdr:pic>
      <xdr:nvPicPr>
        <xdr:cNvPr id="28" name="image39.png">
          <a:extLst>
            <a:ext uri="{FF2B5EF4-FFF2-40B4-BE49-F238E27FC236}">
              <a16:creationId xmlns:a16="http://schemas.microsoft.com/office/drawing/2014/main" id="{00000000-0008-0000-0600-00001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841</xdr:row>
      <xdr:rowOff>0</xdr:rowOff>
    </xdr:from>
    <xdr:ext cx="6962775" cy="638175"/>
    <xdr:pic>
      <xdr:nvPicPr>
        <xdr:cNvPr id="29" name="image40.png">
          <a:extLst>
            <a:ext uri="{FF2B5EF4-FFF2-40B4-BE49-F238E27FC236}">
              <a16:creationId xmlns:a16="http://schemas.microsoft.com/office/drawing/2014/main" id="{00000000-0008-0000-0600-00001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871</xdr:row>
      <xdr:rowOff>0</xdr:rowOff>
    </xdr:from>
    <xdr:ext cx="6962775" cy="638175"/>
    <xdr:pic>
      <xdr:nvPicPr>
        <xdr:cNvPr id="30" name="image41.png">
          <a:extLst>
            <a:ext uri="{FF2B5EF4-FFF2-40B4-BE49-F238E27FC236}">
              <a16:creationId xmlns:a16="http://schemas.microsoft.com/office/drawing/2014/main" id="{00000000-0008-0000-0600-00001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904</xdr:row>
      <xdr:rowOff>0</xdr:rowOff>
    </xdr:from>
    <xdr:ext cx="6962775" cy="638175"/>
    <xdr:pic>
      <xdr:nvPicPr>
        <xdr:cNvPr id="31" name="image42.png">
          <a:extLst>
            <a:ext uri="{FF2B5EF4-FFF2-40B4-BE49-F238E27FC236}">
              <a16:creationId xmlns:a16="http://schemas.microsoft.com/office/drawing/2014/main" id="{00000000-0008-0000-0600-00001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934</xdr:row>
      <xdr:rowOff>0</xdr:rowOff>
    </xdr:from>
    <xdr:ext cx="6962775" cy="638175"/>
    <xdr:pic>
      <xdr:nvPicPr>
        <xdr:cNvPr id="32" name="image43.png">
          <a:extLst>
            <a:ext uri="{FF2B5EF4-FFF2-40B4-BE49-F238E27FC236}">
              <a16:creationId xmlns:a16="http://schemas.microsoft.com/office/drawing/2014/main" id="{00000000-0008-0000-0600-00002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965</xdr:row>
      <xdr:rowOff>114300</xdr:rowOff>
    </xdr:from>
    <xdr:ext cx="6962775" cy="714375"/>
    <xdr:pic>
      <xdr:nvPicPr>
        <xdr:cNvPr id="33" name="image44.png">
          <a:extLst>
            <a:ext uri="{FF2B5EF4-FFF2-40B4-BE49-F238E27FC236}">
              <a16:creationId xmlns:a16="http://schemas.microsoft.com/office/drawing/2014/main" id="{00000000-0008-0000-0600-00002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1003</xdr:row>
      <xdr:rowOff>0</xdr:rowOff>
    </xdr:from>
    <xdr:ext cx="6953250" cy="714375"/>
    <xdr:pic>
      <xdr:nvPicPr>
        <xdr:cNvPr id="34" name="image45.png">
          <a:extLst>
            <a:ext uri="{FF2B5EF4-FFF2-40B4-BE49-F238E27FC236}">
              <a16:creationId xmlns:a16="http://schemas.microsoft.com/office/drawing/2014/main" id="{00000000-0008-0000-0600-00002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1036</xdr:row>
      <xdr:rowOff>0</xdr:rowOff>
    </xdr:from>
    <xdr:ext cx="6953250" cy="714375"/>
    <xdr:pic>
      <xdr:nvPicPr>
        <xdr:cNvPr id="35" name="image46.png">
          <a:extLst>
            <a:ext uri="{FF2B5EF4-FFF2-40B4-BE49-F238E27FC236}">
              <a16:creationId xmlns:a16="http://schemas.microsoft.com/office/drawing/2014/main" id="{00000000-0008-0000-0600-00002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1068</xdr:row>
      <xdr:rowOff>19050</xdr:rowOff>
    </xdr:from>
    <xdr:ext cx="6953250" cy="714375"/>
    <xdr:pic>
      <xdr:nvPicPr>
        <xdr:cNvPr id="36" name="image47.png">
          <a:extLst>
            <a:ext uri="{FF2B5EF4-FFF2-40B4-BE49-F238E27FC236}">
              <a16:creationId xmlns:a16="http://schemas.microsoft.com/office/drawing/2014/main" id="{00000000-0008-0000-0600-00002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1102</xdr:row>
      <xdr:rowOff>114300</xdr:rowOff>
    </xdr:from>
    <xdr:ext cx="6953250" cy="714375"/>
    <xdr:pic>
      <xdr:nvPicPr>
        <xdr:cNvPr id="37" name="image48.png">
          <a:extLst>
            <a:ext uri="{FF2B5EF4-FFF2-40B4-BE49-F238E27FC236}">
              <a16:creationId xmlns:a16="http://schemas.microsoft.com/office/drawing/2014/main" id="{00000000-0008-0000-0600-00002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47625</xdr:colOff>
      <xdr:row>1136</xdr:row>
      <xdr:rowOff>9525</xdr:rowOff>
    </xdr:from>
    <xdr:ext cx="6953250" cy="714375"/>
    <xdr:pic>
      <xdr:nvPicPr>
        <xdr:cNvPr id="38" name="image49.png">
          <a:extLst>
            <a:ext uri="{FF2B5EF4-FFF2-40B4-BE49-F238E27FC236}">
              <a16:creationId xmlns:a16="http://schemas.microsoft.com/office/drawing/2014/main" id="{00000000-0008-0000-0600-00002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1167</xdr:row>
      <xdr:rowOff>85725</xdr:rowOff>
    </xdr:from>
    <xdr:ext cx="6953250" cy="714375"/>
    <xdr:pic>
      <xdr:nvPicPr>
        <xdr:cNvPr id="39" name="image50.png">
          <a:extLst>
            <a:ext uri="{FF2B5EF4-FFF2-40B4-BE49-F238E27FC236}">
              <a16:creationId xmlns:a16="http://schemas.microsoft.com/office/drawing/2014/main" id="{00000000-0008-0000-0600-000027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1198</xdr:row>
      <xdr:rowOff>0</xdr:rowOff>
    </xdr:from>
    <xdr:ext cx="6953250" cy="714375"/>
    <xdr:pic>
      <xdr:nvPicPr>
        <xdr:cNvPr id="40" name="image51.png">
          <a:extLst>
            <a:ext uri="{FF2B5EF4-FFF2-40B4-BE49-F238E27FC236}">
              <a16:creationId xmlns:a16="http://schemas.microsoft.com/office/drawing/2014/main" id="{00000000-0008-0000-0600-000028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1229</xdr:row>
      <xdr:rowOff>0</xdr:rowOff>
    </xdr:from>
    <xdr:ext cx="6953250" cy="714375"/>
    <xdr:pic>
      <xdr:nvPicPr>
        <xdr:cNvPr id="41" name="image52.png">
          <a:extLst>
            <a:ext uri="{FF2B5EF4-FFF2-40B4-BE49-F238E27FC236}">
              <a16:creationId xmlns:a16="http://schemas.microsoft.com/office/drawing/2014/main" id="{00000000-0008-0000-0600-000029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1258</xdr:row>
      <xdr:rowOff>0</xdr:rowOff>
    </xdr:from>
    <xdr:ext cx="6953250" cy="714375"/>
    <xdr:pic>
      <xdr:nvPicPr>
        <xdr:cNvPr id="42" name="image53.png">
          <a:extLst>
            <a:ext uri="{FF2B5EF4-FFF2-40B4-BE49-F238E27FC236}">
              <a16:creationId xmlns:a16="http://schemas.microsoft.com/office/drawing/2014/main" id="{00000000-0008-0000-0600-00002A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1287</xdr:row>
      <xdr:rowOff>0</xdr:rowOff>
    </xdr:from>
    <xdr:ext cx="6953250" cy="714375"/>
    <xdr:pic>
      <xdr:nvPicPr>
        <xdr:cNvPr id="43" name="image54.png">
          <a:extLst>
            <a:ext uri="{FF2B5EF4-FFF2-40B4-BE49-F238E27FC236}">
              <a16:creationId xmlns:a16="http://schemas.microsoft.com/office/drawing/2014/main" id="{00000000-0008-0000-0600-00002B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1317</xdr:row>
      <xdr:rowOff>123825</xdr:rowOff>
    </xdr:from>
    <xdr:ext cx="6953250" cy="714375"/>
    <xdr:pic>
      <xdr:nvPicPr>
        <xdr:cNvPr id="44" name="image55.png">
          <a:extLst>
            <a:ext uri="{FF2B5EF4-FFF2-40B4-BE49-F238E27FC236}">
              <a16:creationId xmlns:a16="http://schemas.microsoft.com/office/drawing/2014/main" id="{00000000-0008-0000-0600-00002C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1349</xdr:row>
      <xdr:rowOff>0</xdr:rowOff>
    </xdr:from>
    <xdr:ext cx="6953250" cy="714375"/>
    <xdr:pic>
      <xdr:nvPicPr>
        <xdr:cNvPr id="45" name="image56.png">
          <a:extLst>
            <a:ext uri="{FF2B5EF4-FFF2-40B4-BE49-F238E27FC236}">
              <a16:creationId xmlns:a16="http://schemas.microsoft.com/office/drawing/2014/main" id="{00000000-0008-0000-0600-00002D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1383</xdr:row>
      <xdr:rowOff>0</xdr:rowOff>
    </xdr:from>
    <xdr:ext cx="6953250" cy="714375"/>
    <xdr:pic>
      <xdr:nvPicPr>
        <xdr:cNvPr id="46" name="image57.png">
          <a:extLst>
            <a:ext uri="{FF2B5EF4-FFF2-40B4-BE49-F238E27FC236}">
              <a16:creationId xmlns:a16="http://schemas.microsoft.com/office/drawing/2014/main" id="{00000000-0008-0000-0600-00002E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1412</xdr:row>
      <xdr:rowOff>0</xdr:rowOff>
    </xdr:from>
    <xdr:ext cx="6953250" cy="714375"/>
    <xdr:pic>
      <xdr:nvPicPr>
        <xdr:cNvPr id="47" name="image58.png">
          <a:extLst>
            <a:ext uri="{FF2B5EF4-FFF2-40B4-BE49-F238E27FC236}">
              <a16:creationId xmlns:a16="http://schemas.microsoft.com/office/drawing/2014/main" id="{00000000-0008-0000-0600-00002F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1440</xdr:row>
      <xdr:rowOff>76200</xdr:rowOff>
    </xdr:from>
    <xdr:ext cx="6953250" cy="714375"/>
    <xdr:pic>
      <xdr:nvPicPr>
        <xdr:cNvPr id="48" name="image59.png">
          <a:extLst>
            <a:ext uri="{FF2B5EF4-FFF2-40B4-BE49-F238E27FC236}">
              <a16:creationId xmlns:a16="http://schemas.microsoft.com/office/drawing/2014/main" id="{00000000-0008-0000-0600-000030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1470</xdr:row>
      <xdr:rowOff>0</xdr:rowOff>
    </xdr:from>
    <xdr:ext cx="6953250" cy="714375"/>
    <xdr:pic>
      <xdr:nvPicPr>
        <xdr:cNvPr id="49" name="image60.png">
          <a:extLst>
            <a:ext uri="{FF2B5EF4-FFF2-40B4-BE49-F238E27FC236}">
              <a16:creationId xmlns:a16="http://schemas.microsoft.com/office/drawing/2014/main" id="{00000000-0008-0000-0600-000031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1504</xdr:row>
      <xdr:rowOff>28575</xdr:rowOff>
    </xdr:from>
    <xdr:ext cx="6953250" cy="714375"/>
    <xdr:pic>
      <xdr:nvPicPr>
        <xdr:cNvPr id="50" name="image61.png">
          <a:extLst>
            <a:ext uri="{FF2B5EF4-FFF2-40B4-BE49-F238E27FC236}">
              <a16:creationId xmlns:a16="http://schemas.microsoft.com/office/drawing/2014/main" id="{00000000-0008-0000-0600-00003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104775</xdr:colOff>
      <xdr:row>1533</xdr:row>
      <xdr:rowOff>0</xdr:rowOff>
    </xdr:from>
    <xdr:ext cx="6962775" cy="714375"/>
    <xdr:pic>
      <xdr:nvPicPr>
        <xdr:cNvPr id="51" name="image62.png">
          <a:extLst>
            <a:ext uri="{FF2B5EF4-FFF2-40B4-BE49-F238E27FC236}">
              <a16:creationId xmlns:a16="http://schemas.microsoft.com/office/drawing/2014/main" id="{00000000-0008-0000-0600-00003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457200</xdr:colOff>
      <xdr:row>53</xdr:row>
      <xdr:rowOff>152400</xdr:rowOff>
    </xdr:from>
    <xdr:ext cx="7000875" cy="704850"/>
    <xdr:pic>
      <xdr:nvPicPr>
        <xdr:cNvPr id="2" name="image63.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361950</xdr:colOff>
      <xdr:row>28</xdr:row>
      <xdr:rowOff>152400</xdr:rowOff>
    </xdr:from>
    <xdr:ext cx="7000875" cy="704850"/>
    <xdr:pic>
      <xdr:nvPicPr>
        <xdr:cNvPr id="3" name="image64.pn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523875</xdr:colOff>
      <xdr:row>2</xdr:row>
      <xdr:rowOff>171450</xdr:rowOff>
    </xdr:from>
    <xdr:ext cx="7000875" cy="704850"/>
    <xdr:pic>
      <xdr:nvPicPr>
        <xdr:cNvPr id="4" name="image65.png">
          <a:extLst>
            <a:ext uri="{FF2B5EF4-FFF2-40B4-BE49-F238E27FC236}">
              <a16:creationId xmlns:a16="http://schemas.microsoft.com/office/drawing/2014/main" id="{00000000-0008-0000-07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van/Documents/PI&#209;ON%20MAGDALENA/ALCALDIA/PRESUPUESTO%20ALCALDIA%20&#201;L%20PI&#209;ON%20MAG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SALARIOS"/>
      <sheetName val="apu"/>
      <sheetName val="PRESUP REMOD ALCALDIA"/>
      <sheetName val="matriz financiera"/>
      <sheetName val="Hoja2"/>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3"/>
  <sheetViews>
    <sheetView tabSelected="1" topLeftCell="A12" zoomScale="120" zoomScaleNormal="120" workbookViewId="0">
      <selection activeCell="K7" sqref="K7"/>
    </sheetView>
  </sheetViews>
  <sheetFormatPr defaultColWidth="14.44140625" defaultRowHeight="15" customHeight="1"/>
  <cols>
    <col min="1" max="1" width="6.44140625" customWidth="1"/>
    <col min="2" max="2" width="6.6640625" customWidth="1"/>
    <col min="3" max="3" width="58.6640625" customWidth="1"/>
    <col min="4" max="4" width="6.109375" customWidth="1"/>
    <col min="5" max="5" width="7.88671875" customWidth="1"/>
    <col min="6" max="6" width="13.6640625" customWidth="1"/>
    <col min="7" max="7" width="15.33203125" customWidth="1"/>
    <col min="8" max="13" width="11.44140625" customWidth="1"/>
  </cols>
  <sheetData>
    <row r="1" spans="1:19" ht="42" customHeight="1">
      <c r="A1" s="1"/>
      <c r="B1" s="2"/>
      <c r="C1" s="3"/>
      <c r="D1" s="4"/>
      <c r="E1" s="5"/>
      <c r="F1" s="6"/>
      <c r="G1" s="7"/>
      <c r="H1" s="1"/>
      <c r="I1" s="1"/>
      <c r="J1" s="1"/>
      <c r="K1" s="1"/>
      <c r="L1" s="1"/>
      <c r="M1" s="1"/>
    </row>
    <row r="2" spans="1:19" ht="19.5" customHeight="1">
      <c r="A2" s="1"/>
      <c r="B2" s="429" t="s">
        <v>0</v>
      </c>
      <c r="C2" s="430"/>
      <c r="D2" s="430"/>
      <c r="E2" s="430"/>
      <c r="F2" s="430"/>
      <c r="G2" s="431"/>
      <c r="H2" s="1"/>
      <c r="I2" s="1"/>
      <c r="J2" s="1"/>
      <c r="K2" s="1"/>
      <c r="L2" s="1"/>
      <c r="M2" s="1"/>
    </row>
    <row r="3" spans="1:19" ht="19.5" customHeight="1">
      <c r="A3" s="1"/>
      <c r="B3" s="429" t="s">
        <v>1</v>
      </c>
      <c r="C3" s="430"/>
      <c r="D3" s="430"/>
      <c r="E3" s="430"/>
      <c r="F3" s="430"/>
      <c r="G3" s="431"/>
      <c r="H3" s="1"/>
      <c r="I3" s="1"/>
      <c r="J3" s="1"/>
      <c r="K3" s="1"/>
      <c r="L3" s="1"/>
      <c r="M3" s="1"/>
    </row>
    <row r="4" spans="1:19" ht="18" customHeight="1">
      <c r="A4" s="1"/>
      <c r="B4" s="429" t="s">
        <v>2</v>
      </c>
      <c r="C4" s="430"/>
      <c r="D4" s="430"/>
      <c r="E4" s="430"/>
      <c r="F4" s="430"/>
      <c r="G4" s="431"/>
      <c r="H4" s="1"/>
      <c r="I4" s="1"/>
      <c r="J4" s="1"/>
      <c r="K4" s="1"/>
      <c r="L4" s="1"/>
      <c r="M4" s="1"/>
    </row>
    <row r="5" spans="1:19" ht="12.75" customHeight="1" thickBot="1">
      <c r="A5" s="1"/>
      <c r="B5" s="429" t="s">
        <v>3</v>
      </c>
      <c r="C5" s="430"/>
      <c r="D5" s="430"/>
      <c r="E5" s="430"/>
      <c r="F5" s="430"/>
      <c r="G5" s="431"/>
      <c r="H5" s="1"/>
      <c r="I5" s="1"/>
      <c r="J5" s="1"/>
      <c r="K5" s="1"/>
      <c r="L5" s="1"/>
      <c r="M5" s="1"/>
    </row>
    <row r="6" spans="1:19" ht="12.75" customHeight="1" thickBot="1">
      <c r="A6" s="1"/>
      <c r="B6" s="8"/>
      <c r="C6" s="529" t="s">
        <v>516</v>
      </c>
      <c r="D6" s="10"/>
      <c r="E6" s="11"/>
      <c r="F6" s="12"/>
      <c r="G6" s="13"/>
      <c r="H6" s="1"/>
      <c r="I6" s="1"/>
      <c r="J6" s="1"/>
      <c r="K6" s="1"/>
      <c r="L6" s="1"/>
      <c r="M6" s="1"/>
    </row>
    <row r="7" spans="1:19" ht="17.25" customHeight="1" thickBot="1">
      <c r="A7" s="1"/>
      <c r="B7" s="14" t="s">
        <v>4</v>
      </c>
      <c r="C7" s="522" t="s">
        <v>5</v>
      </c>
      <c r="D7" s="15" t="s">
        <v>6</v>
      </c>
      <c r="E7" s="16" t="s">
        <v>7</v>
      </c>
      <c r="F7" s="17" t="s">
        <v>8</v>
      </c>
      <c r="G7" s="18" t="s">
        <v>9</v>
      </c>
      <c r="H7" s="1"/>
      <c r="I7" s="1"/>
      <c r="J7" s="1"/>
      <c r="K7" s="1"/>
      <c r="L7" s="1"/>
      <c r="M7" s="1"/>
    </row>
    <row r="8" spans="1:19" ht="12.75" customHeight="1" thickBot="1">
      <c r="A8" s="20"/>
      <c r="B8" s="502">
        <v>1</v>
      </c>
      <c r="C8" s="503" t="s">
        <v>10</v>
      </c>
      <c r="D8" s="504"/>
      <c r="E8" s="505"/>
      <c r="F8" s="506"/>
      <c r="G8" s="507">
        <v>19448740</v>
      </c>
      <c r="H8" s="1"/>
      <c r="I8" s="1"/>
      <c r="J8" s="1"/>
      <c r="K8" s="1"/>
      <c r="L8" s="1"/>
      <c r="M8" s="1"/>
      <c r="S8">
        <v>1</v>
      </c>
    </row>
    <row r="9" spans="1:19" ht="408.75" customHeight="1" thickBot="1">
      <c r="A9" s="21"/>
      <c r="B9" s="508" t="s">
        <v>11</v>
      </c>
      <c r="C9" s="509" t="s">
        <v>515</v>
      </c>
      <c r="D9" s="510" t="s">
        <v>279</v>
      </c>
      <c r="E9" s="511">
        <v>1</v>
      </c>
      <c r="F9" s="512">
        <v>19448740</v>
      </c>
      <c r="G9" s="513">
        <f>E9*F9</f>
        <v>19448740</v>
      </c>
      <c r="H9" s="21"/>
      <c r="I9" s="21"/>
      <c r="J9" s="21"/>
      <c r="K9" s="21"/>
      <c r="L9" s="21"/>
      <c r="M9" s="21"/>
    </row>
    <row r="10" spans="1:19" s="428" customFormat="1" ht="45" customHeight="1" thickBot="1">
      <c r="A10" s="21"/>
      <c r="B10" s="523"/>
      <c r="C10" s="524"/>
      <c r="D10" s="525"/>
      <c r="E10" s="526"/>
      <c r="F10" s="527"/>
      <c r="G10" s="528"/>
      <c r="H10" s="21"/>
      <c r="I10" s="21"/>
      <c r="J10" s="21"/>
      <c r="K10" s="21"/>
      <c r="L10" s="21"/>
      <c r="M10" s="21"/>
    </row>
    <row r="11" spans="1:19" s="428" customFormat="1" ht="19.2" customHeight="1" thickBot="1">
      <c r="A11" s="21"/>
      <c r="B11" s="21"/>
      <c r="C11" s="530" t="s">
        <v>517</v>
      </c>
      <c r="D11" s="21"/>
      <c r="E11" s="21"/>
      <c r="F11" s="21"/>
      <c r="G11" s="21"/>
      <c r="H11" s="21"/>
      <c r="I11" s="21"/>
      <c r="J11" s="21"/>
      <c r="K11" s="21"/>
      <c r="L11" s="21"/>
      <c r="M11" s="21"/>
    </row>
    <row r="12" spans="1:19" ht="26.25" customHeight="1" thickBot="1">
      <c r="A12" s="21"/>
      <c r="B12" s="516">
        <v>2</v>
      </c>
      <c r="C12" s="517" t="s">
        <v>513</v>
      </c>
      <c r="D12" s="518"/>
      <c r="E12" s="519"/>
      <c r="F12" s="520"/>
      <c r="G12" s="521">
        <f>SUM(G13:G18)</f>
        <v>18437784</v>
      </c>
      <c r="H12" s="21"/>
      <c r="I12" s="21"/>
      <c r="J12" s="21"/>
      <c r="K12" s="21"/>
      <c r="L12" s="21"/>
      <c r="M12" s="21"/>
    </row>
    <row r="13" spans="1:19" ht="40.5" customHeight="1">
      <c r="A13" s="21"/>
      <c r="B13" s="514" t="s">
        <v>50</v>
      </c>
      <c r="C13" s="515" t="s">
        <v>14</v>
      </c>
      <c r="D13" s="417" t="s">
        <v>15</v>
      </c>
      <c r="E13" s="417">
        <v>1</v>
      </c>
      <c r="F13" s="418">
        <v>1400000</v>
      </c>
      <c r="G13" s="419">
        <f t="shared" ref="G13:G18" si="0">E13*F13</f>
        <v>1400000</v>
      </c>
      <c r="H13" s="21"/>
      <c r="I13" s="21"/>
      <c r="J13" s="21"/>
      <c r="K13" s="21"/>
      <c r="L13" s="21"/>
      <c r="M13" s="21"/>
    </row>
    <row r="14" spans="1:19" ht="57.6" customHeight="1">
      <c r="A14" s="31"/>
      <c r="B14" s="357" t="s">
        <v>51</v>
      </c>
      <c r="C14" s="354" t="s">
        <v>16</v>
      </c>
      <c r="D14" s="22" t="s">
        <v>17</v>
      </c>
      <c r="E14" s="22">
        <v>1</v>
      </c>
      <c r="F14" s="23">
        <v>4200000</v>
      </c>
      <c r="G14" s="24">
        <f t="shared" si="0"/>
        <v>4200000</v>
      </c>
      <c r="H14" s="31"/>
      <c r="I14" s="31"/>
      <c r="J14" s="31"/>
      <c r="K14" s="31"/>
      <c r="L14" s="31"/>
      <c r="M14" s="31"/>
    </row>
    <row r="15" spans="1:19" ht="73.5" customHeight="1">
      <c r="A15" s="21"/>
      <c r="B15" s="356" t="s">
        <v>53</v>
      </c>
      <c r="C15" s="354" t="s">
        <v>18</v>
      </c>
      <c r="D15" s="22" t="s">
        <v>19</v>
      </c>
      <c r="E15" s="22">
        <v>15</v>
      </c>
      <c r="F15" s="23">
        <v>527000</v>
      </c>
      <c r="G15" s="24">
        <f t="shared" si="0"/>
        <v>7905000</v>
      </c>
      <c r="H15" s="21"/>
      <c r="I15" s="21"/>
      <c r="J15" s="21"/>
      <c r="K15" s="21"/>
      <c r="L15" s="21"/>
      <c r="M15" s="21"/>
    </row>
    <row r="16" spans="1:19" ht="30" customHeight="1">
      <c r="A16" s="21"/>
      <c r="B16" s="357" t="s">
        <v>54</v>
      </c>
      <c r="C16" s="354" t="s">
        <v>20</v>
      </c>
      <c r="D16" s="22" t="s">
        <v>12</v>
      </c>
      <c r="E16" s="22">
        <v>1</v>
      </c>
      <c r="F16" s="23">
        <v>360728</v>
      </c>
      <c r="G16" s="24">
        <f t="shared" si="0"/>
        <v>360728</v>
      </c>
      <c r="H16" s="21"/>
      <c r="I16" s="21"/>
      <c r="J16" s="21"/>
      <c r="K16" s="21"/>
      <c r="L16" s="21"/>
      <c r="M16" s="21"/>
    </row>
    <row r="17" spans="1:13" ht="90.6" customHeight="1">
      <c r="A17" s="21"/>
      <c r="B17" s="356" t="s">
        <v>56</v>
      </c>
      <c r="C17" s="355" t="s">
        <v>477</v>
      </c>
      <c r="D17" s="22" t="s">
        <v>12</v>
      </c>
      <c r="E17" s="22">
        <v>1</v>
      </c>
      <c r="F17" s="23">
        <v>4240000</v>
      </c>
      <c r="G17" s="24">
        <f t="shared" si="0"/>
        <v>4240000</v>
      </c>
      <c r="H17" s="21"/>
      <c r="I17" s="21"/>
      <c r="J17" s="21"/>
      <c r="K17" s="21"/>
      <c r="L17" s="21"/>
      <c r="M17" s="21"/>
    </row>
    <row r="18" spans="1:13" ht="33" customHeight="1" thickBot="1">
      <c r="A18" s="21"/>
      <c r="B18" s="422" t="s">
        <v>478</v>
      </c>
      <c r="C18" s="423" t="s">
        <v>21</v>
      </c>
      <c r="D18" s="424" t="s">
        <v>12</v>
      </c>
      <c r="E18" s="424">
        <v>1</v>
      </c>
      <c r="F18" s="425">
        <v>332056</v>
      </c>
      <c r="G18" s="426">
        <f t="shared" si="0"/>
        <v>332056</v>
      </c>
      <c r="H18" s="21"/>
      <c r="I18" s="21"/>
      <c r="J18" s="21"/>
      <c r="K18" s="21"/>
      <c r="L18" s="21"/>
      <c r="M18" s="21"/>
    </row>
    <row r="19" spans="1:13" s="415" customFormat="1" ht="20.25" customHeight="1">
      <c r="A19" s="21"/>
      <c r="B19" s="427"/>
      <c r="C19" s="416"/>
      <c r="D19" s="417"/>
      <c r="E19" s="417"/>
      <c r="F19" s="418"/>
      <c r="G19" s="419"/>
      <c r="H19" s="21"/>
      <c r="I19" s="21"/>
      <c r="J19" s="21"/>
      <c r="K19" s="21"/>
      <c r="L19" s="21"/>
      <c r="M19" s="21"/>
    </row>
    <row r="20" spans="1:13" ht="12.75" customHeight="1">
      <c r="A20" s="32"/>
      <c r="B20" s="25">
        <v>3</v>
      </c>
      <c r="C20" s="26" t="s">
        <v>22</v>
      </c>
      <c r="D20" s="27"/>
      <c r="E20" s="28"/>
      <c r="F20" s="29"/>
      <c r="G20" s="30">
        <f>SUM(G21:G36)</f>
        <v>15670504.1</v>
      </c>
      <c r="H20" s="32"/>
      <c r="I20" s="32"/>
      <c r="J20" s="32"/>
      <c r="K20" s="32"/>
      <c r="L20" s="32"/>
      <c r="M20" s="32"/>
    </row>
    <row r="21" spans="1:13" ht="12.75" customHeight="1">
      <c r="A21" s="32"/>
      <c r="B21" s="403" t="s">
        <v>57</v>
      </c>
      <c r="C21" s="358" t="s">
        <v>23</v>
      </c>
      <c r="D21" s="359" t="s">
        <v>24</v>
      </c>
      <c r="E21" s="360">
        <v>27</v>
      </c>
      <c r="F21" s="361">
        <v>14166</v>
      </c>
      <c r="G21" s="362">
        <f>F21*E21</f>
        <v>382482</v>
      </c>
      <c r="H21" s="32"/>
      <c r="I21" s="32"/>
      <c r="J21" s="32"/>
      <c r="K21" s="32"/>
      <c r="L21" s="32"/>
      <c r="M21" s="32"/>
    </row>
    <row r="22" spans="1:13" ht="12.75" customHeight="1">
      <c r="A22" s="32"/>
      <c r="B22" s="404" t="s">
        <v>58</v>
      </c>
      <c r="C22" s="363" t="s">
        <v>25</v>
      </c>
      <c r="D22" s="364" t="s">
        <v>26</v>
      </c>
      <c r="E22" s="360">
        <v>15</v>
      </c>
      <c r="F22" s="361">
        <v>2195</v>
      </c>
      <c r="G22" s="362">
        <f t="shared" ref="G22:G36" si="1">F22*E22</f>
        <v>32925</v>
      </c>
      <c r="H22" s="32"/>
      <c r="I22" s="32"/>
      <c r="J22" s="32"/>
      <c r="K22" s="32"/>
      <c r="L22" s="32"/>
      <c r="M22" s="32"/>
    </row>
    <row r="23" spans="1:13" ht="12.75" customHeight="1">
      <c r="A23" s="32"/>
      <c r="B23" s="403" t="s">
        <v>59</v>
      </c>
      <c r="C23" s="363" t="s">
        <v>27</v>
      </c>
      <c r="D23" s="364" t="s">
        <v>28</v>
      </c>
      <c r="E23" s="360">
        <v>6.25</v>
      </c>
      <c r="F23" s="361">
        <v>25924</v>
      </c>
      <c r="G23" s="362">
        <f t="shared" si="1"/>
        <v>162025</v>
      </c>
      <c r="H23" s="32"/>
      <c r="I23" s="32"/>
      <c r="J23" s="32"/>
      <c r="K23" s="32"/>
      <c r="L23" s="32"/>
      <c r="M23" s="32"/>
    </row>
    <row r="24" spans="1:13" ht="12.75" customHeight="1">
      <c r="A24" s="32"/>
      <c r="B24" s="404" t="s">
        <v>479</v>
      </c>
      <c r="C24" s="363" t="s">
        <v>29</v>
      </c>
      <c r="D24" s="364" t="s">
        <v>26</v>
      </c>
      <c r="E24" s="360">
        <v>0.78</v>
      </c>
      <c r="F24" s="361">
        <v>259046</v>
      </c>
      <c r="G24" s="362">
        <f t="shared" si="1"/>
        <v>202055.88</v>
      </c>
      <c r="H24" s="32"/>
      <c r="I24" s="32"/>
      <c r="J24" s="32"/>
      <c r="K24" s="32"/>
      <c r="L24" s="32"/>
      <c r="M24" s="32"/>
    </row>
    <row r="25" spans="1:13" ht="12.75" customHeight="1">
      <c r="A25" s="32"/>
      <c r="B25" s="403" t="s">
        <v>486</v>
      </c>
      <c r="C25" s="363" t="s">
        <v>30</v>
      </c>
      <c r="D25" s="364" t="s">
        <v>28</v>
      </c>
      <c r="E25" s="360">
        <v>5.47</v>
      </c>
      <c r="F25" s="361">
        <v>68530</v>
      </c>
      <c r="G25" s="362">
        <f t="shared" si="1"/>
        <v>374859.1</v>
      </c>
      <c r="H25" s="32"/>
      <c r="I25" s="32"/>
      <c r="J25" s="32"/>
      <c r="K25" s="32"/>
      <c r="L25" s="32"/>
      <c r="M25" s="32"/>
    </row>
    <row r="26" spans="1:13" ht="12.75" customHeight="1">
      <c r="A26" s="32"/>
      <c r="B26" s="404" t="s">
        <v>487</v>
      </c>
      <c r="C26" s="363" t="s">
        <v>31</v>
      </c>
      <c r="D26" s="364" t="s">
        <v>28</v>
      </c>
      <c r="E26" s="360">
        <v>7.81</v>
      </c>
      <c r="F26" s="361">
        <v>45334</v>
      </c>
      <c r="G26" s="362">
        <f t="shared" si="1"/>
        <v>354058.54</v>
      </c>
      <c r="H26" s="32"/>
      <c r="I26" s="32"/>
      <c r="J26" s="32"/>
      <c r="K26" s="32"/>
      <c r="L26" s="32"/>
      <c r="M26" s="32"/>
    </row>
    <row r="27" spans="1:13" ht="12.75" customHeight="1">
      <c r="A27" s="32"/>
      <c r="B27" s="403" t="s">
        <v>488</v>
      </c>
      <c r="C27" s="363" t="s">
        <v>480</v>
      </c>
      <c r="D27" s="364" t="s">
        <v>28</v>
      </c>
      <c r="E27" s="360">
        <v>0.45</v>
      </c>
      <c r="F27" s="361">
        <v>598608</v>
      </c>
      <c r="G27" s="362">
        <f t="shared" si="1"/>
        <v>269373.60000000003</v>
      </c>
      <c r="H27" s="32"/>
      <c r="I27" s="32"/>
      <c r="J27" s="32"/>
      <c r="K27" s="32"/>
      <c r="L27" s="32"/>
      <c r="M27" s="32"/>
    </row>
    <row r="28" spans="1:13" ht="25.2" customHeight="1">
      <c r="A28" s="32"/>
      <c r="B28" s="404" t="s">
        <v>489</v>
      </c>
      <c r="C28" s="363" t="s">
        <v>481</v>
      </c>
      <c r="D28" s="366" t="s">
        <v>28</v>
      </c>
      <c r="E28" s="360">
        <v>0.3</v>
      </c>
      <c r="F28" s="361">
        <v>732886</v>
      </c>
      <c r="G28" s="362">
        <f t="shared" si="1"/>
        <v>219865.8</v>
      </c>
      <c r="H28" s="32"/>
      <c r="I28" s="32"/>
      <c r="J28" s="32"/>
      <c r="K28" s="32"/>
      <c r="L28" s="32"/>
      <c r="M28" s="32"/>
    </row>
    <row r="29" spans="1:13" ht="12.75" customHeight="1">
      <c r="A29" s="32"/>
      <c r="B29" s="403" t="s">
        <v>490</v>
      </c>
      <c r="C29" s="363" t="s">
        <v>482</v>
      </c>
      <c r="D29" s="364" t="s">
        <v>26</v>
      </c>
      <c r="E29" s="360">
        <v>15</v>
      </c>
      <c r="F29" s="361">
        <v>150910</v>
      </c>
      <c r="G29" s="362">
        <f t="shared" si="1"/>
        <v>2263650</v>
      </c>
      <c r="H29" s="32"/>
      <c r="I29" s="32"/>
      <c r="J29" s="32"/>
      <c r="K29" s="32"/>
      <c r="L29" s="32"/>
      <c r="M29" s="32"/>
    </row>
    <row r="30" spans="1:13" ht="12.75" customHeight="1">
      <c r="A30" s="32"/>
      <c r="B30" s="404" t="s">
        <v>491</v>
      </c>
      <c r="C30" s="365" t="s">
        <v>483</v>
      </c>
      <c r="D30" s="366" t="s">
        <v>308</v>
      </c>
      <c r="E30" s="360">
        <v>222</v>
      </c>
      <c r="F30" s="361">
        <v>4724</v>
      </c>
      <c r="G30" s="362">
        <f t="shared" si="1"/>
        <v>1048728</v>
      </c>
      <c r="H30" s="32"/>
      <c r="I30" s="32"/>
      <c r="J30" s="32"/>
      <c r="K30" s="32"/>
      <c r="L30" s="32"/>
      <c r="M30" s="32"/>
    </row>
    <row r="31" spans="1:13" ht="12.75" customHeight="1">
      <c r="A31" s="32"/>
      <c r="B31" s="403" t="s">
        <v>492</v>
      </c>
      <c r="C31" s="363" t="s">
        <v>32</v>
      </c>
      <c r="D31" s="364" t="s">
        <v>26</v>
      </c>
      <c r="E31" s="360">
        <v>4.4400000000000004</v>
      </c>
      <c r="F31" s="361">
        <v>87104</v>
      </c>
      <c r="G31" s="362">
        <f t="shared" si="1"/>
        <v>386741.76000000001</v>
      </c>
      <c r="H31" s="32"/>
      <c r="I31" s="32"/>
      <c r="J31" s="32"/>
      <c r="K31" s="32"/>
      <c r="L31" s="32"/>
      <c r="M31" s="32"/>
    </row>
    <row r="32" spans="1:13" ht="37.950000000000003" customHeight="1">
      <c r="A32" s="32"/>
      <c r="B32" s="404" t="s">
        <v>493</v>
      </c>
      <c r="C32" s="363" t="s">
        <v>33</v>
      </c>
      <c r="D32" s="364" t="s">
        <v>26</v>
      </c>
      <c r="E32" s="360">
        <v>21.4</v>
      </c>
      <c r="F32" s="361">
        <v>194115</v>
      </c>
      <c r="G32" s="362">
        <f t="shared" si="1"/>
        <v>4154060.9999999995</v>
      </c>
      <c r="H32" s="32"/>
      <c r="I32" s="32"/>
      <c r="J32" s="32"/>
      <c r="K32" s="32"/>
      <c r="L32" s="32"/>
      <c r="M32" s="32"/>
    </row>
    <row r="33" spans="1:13" ht="29.4" customHeight="1">
      <c r="A33" s="32"/>
      <c r="B33" s="403" t="s">
        <v>494</v>
      </c>
      <c r="C33" s="363" t="s">
        <v>484</v>
      </c>
      <c r="D33" s="364" t="s">
        <v>15</v>
      </c>
      <c r="E33" s="360">
        <v>1</v>
      </c>
      <c r="F33" s="361">
        <v>1121247</v>
      </c>
      <c r="G33" s="362">
        <f t="shared" si="1"/>
        <v>1121247</v>
      </c>
      <c r="H33" s="32"/>
      <c r="I33" s="32"/>
      <c r="J33" s="32"/>
      <c r="K33" s="32"/>
      <c r="L33" s="32"/>
      <c r="M33" s="32"/>
    </row>
    <row r="34" spans="1:13" ht="34.950000000000003" customHeight="1">
      <c r="A34" s="32"/>
      <c r="B34" s="404" t="s">
        <v>495</v>
      </c>
      <c r="C34" s="363" t="s">
        <v>34</v>
      </c>
      <c r="D34" s="364" t="s">
        <v>24</v>
      </c>
      <c r="E34" s="360">
        <v>71.260000000000005</v>
      </c>
      <c r="F34" s="361">
        <v>40522</v>
      </c>
      <c r="G34" s="362">
        <f t="shared" si="1"/>
        <v>2887597.72</v>
      </c>
      <c r="H34" s="32"/>
      <c r="I34" s="32"/>
      <c r="J34" s="32"/>
      <c r="K34" s="32"/>
      <c r="L34" s="32"/>
      <c r="M34" s="32"/>
    </row>
    <row r="35" spans="1:13" ht="34.950000000000003" customHeight="1">
      <c r="A35" s="32"/>
      <c r="B35" s="403" t="s">
        <v>496</v>
      </c>
      <c r="C35" s="363" t="s">
        <v>35</v>
      </c>
      <c r="D35" s="364" t="s">
        <v>26</v>
      </c>
      <c r="E35" s="360">
        <v>24.65</v>
      </c>
      <c r="F35" s="361">
        <v>63388</v>
      </c>
      <c r="G35" s="362">
        <f t="shared" si="1"/>
        <v>1562514.2</v>
      </c>
      <c r="H35" s="32"/>
      <c r="I35" s="32"/>
      <c r="J35" s="32"/>
      <c r="K35" s="32"/>
      <c r="L35" s="32"/>
      <c r="M35" s="32"/>
    </row>
    <row r="36" spans="1:13" ht="26.4" customHeight="1">
      <c r="A36" s="32"/>
      <c r="B36" s="404" t="s">
        <v>497</v>
      </c>
      <c r="C36" s="363" t="s">
        <v>36</v>
      </c>
      <c r="D36" s="364" t="s">
        <v>24</v>
      </c>
      <c r="E36" s="360">
        <v>5.5</v>
      </c>
      <c r="F36" s="361">
        <v>45149</v>
      </c>
      <c r="G36" s="362">
        <f t="shared" si="1"/>
        <v>248319.5</v>
      </c>
      <c r="H36" s="32"/>
      <c r="I36" s="32"/>
      <c r="J36" s="32"/>
      <c r="K36" s="32"/>
      <c r="L36" s="32"/>
      <c r="M36" s="32"/>
    </row>
    <row r="37" spans="1:13" ht="17.25" customHeight="1">
      <c r="A37" s="21"/>
      <c r="B37" s="34">
        <v>4</v>
      </c>
      <c r="C37" s="26" t="s">
        <v>37</v>
      </c>
      <c r="D37" s="35"/>
      <c r="E37" s="36"/>
      <c r="F37" s="37"/>
      <c r="G37" s="413">
        <f>SUM(G38:G41)</f>
        <v>886796.5</v>
      </c>
      <c r="H37" s="21"/>
      <c r="I37" s="21"/>
      <c r="J37" s="21"/>
      <c r="K37" s="21"/>
      <c r="L37" s="38"/>
      <c r="M37" s="38"/>
    </row>
    <row r="38" spans="1:13" ht="74.25" customHeight="1">
      <c r="A38" s="39"/>
      <c r="B38" s="356" t="s">
        <v>60</v>
      </c>
      <c r="C38" s="33" t="s">
        <v>38</v>
      </c>
      <c r="D38" s="40" t="s">
        <v>12</v>
      </c>
      <c r="E38" s="41">
        <v>2</v>
      </c>
      <c r="F38" s="42">
        <v>160000</v>
      </c>
      <c r="G38" s="43">
        <f t="shared" ref="G38:G41" si="2">E38*F38</f>
        <v>320000</v>
      </c>
      <c r="H38" s="39"/>
      <c r="I38" s="39"/>
      <c r="J38" s="39"/>
      <c r="K38" s="39"/>
      <c r="L38" s="39"/>
      <c r="M38" s="39"/>
    </row>
    <row r="39" spans="1:13" ht="65.25" customHeight="1">
      <c r="A39" s="39"/>
      <c r="B39" s="356" t="s">
        <v>498</v>
      </c>
      <c r="C39" s="33" t="s">
        <v>39</v>
      </c>
      <c r="D39" s="40" t="s">
        <v>12</v>
      </c>
      <c r="E39" s="41">
        <v>2</v>
      </c>
      <c r="F39" s="42">
        <v>151150</v>
      </c>
      <c r="G39" s="43">
        <f t="shared" si="2"/>
        <v>302300</v>
      </c>
      <c r="H39" s="39"/>
      <c r="I39" s="39"/>
      <c r="J39" s="39"/>
      <c r="K39" s="39"/>
      <c r="L39" s="39"/>
      <c r="M39" s="39"/>
    </row>
    <row r="40" spans="1:13" ht="62.25" customHeight="1">
      <c r="A40" s="39"/>
      <c r="B40" s="356" t="s">
        <v>499</v>
      </c>
      <c r="C40" s="33" t="s">
        <v>40</v>
      </c>
      <c r="D40" s="40" t="s">
        <v>12</v>
      </c>
      <c r="E40" s="41">
        <v>1</v>
      </c>
      <c r="F40" s="42">
        <v>160800</v>
      </c>
      <c r="G40" s="43">
        <f t="shared" si="2"/>
        <v>160800</v>
      </c>
      <c r="H40" s="39"/>
      <c r="I40" s="39"/>
      <c r="J40" s="39"/>
      <c r="K40" s="39"/>
      <c r="L40" s="39"/>
      <c r="M40" s="39"/>
    </row>
    <row r="41" spans="1:13" ht="56.25" customHeight="1">
      <c r="A41" s="39"/>
      <c r="B41" s="356" t="s">
        <v>500</v>
      </c>
      <c r="C41" s="33" t="s">
        <v>41</v>
      </c>
      <c r="D41" s="40" t="s">
        <v>12</v>
      </c>
      <c r="E41" s="41">
        <v>1</v>
      </c>
      <c r="F41" s="411">
        <v>103696.5</v>
      </c>
      <c r="G41" s="412">
        <f t="shared" si="2"/>
        <v>103696.5</v>
      </c>
      <c r="H41" s="39"/>
      <c r="I41" s="39"/>
      <c r="J41" s="39"/>
      <c r="K41" s="39"/>
      <c r="L41" s="39"/>
      <c r="M41" s="39"/>
    </row>
    <row r="42" spans="1:13" ht="12.75" customHeight="1">
      <c r="A42" s="20"/>
      <c r="B42" s="44"/>
      <c r="C42" s="45"/>
      <c r="D42" s="46"/>
      <c r="E42" s="47"/>
      <c r="F42" s="48"/>
      <c r="G42" s="49"/>
      <c r="H42" s="1"/>
      <c r="I42" s="1"/>
      <c r="J42" s="1"/>
      <c r="K42" s="1"/>
      <c r="L42" s="1"/>
      <c r="M42" s="1"/>
    </row>
    <row r="43" spans="1:13" ht="12.75" customHeight="1">
      <c r="A43" s="20"/>
      <c r="B43" s="44"/>
      <c r="C43" s="45"/>
      <c r="D43" s="46"/>
      <c r="E43" s="47"/>
      <c r="F43" s="48"/>
      <c r="G43" s="49"/>
      <c r="H43" s="1"/>
      <c r="I43" s="1"/>
      <c r="J43" s="1"/>
      <c r="K43" s="1"/>
      <c r="L43" s="1"/>
      <c r="M43" s="1"/>
    </row>
    <row r="44" spans="1:13" ht="12.75" customHeight="1">
      <c r="A44" s="1"/>
      <c r="B44" s="50"/>
      <c r="C44" s="51" t="s">
        <v>42</v>
      </c>
      <c r="D44" s="40"/>
      <c r="E44" s="41"/>
      <c r="F44" s="42"/>
      <c r="G44" s="52">
        <f>SUM(G12+G20+G37)</f>
        <v>34995084.600000001</v>
      </c>
      <c r="H44" s="1"/>
      <c r="I44" s="1"/>
      <c r="J44" s="1"/>
      <c r="K44" s="1"/>
      <c r="L44" s="1"/>
      <c r="M44" s="1"/>
    </row>
    <row r="45" spans="1:13" ht="12.75" customHeight="1">
      <c r="A45" s="1"/>
      <c r="B45" s="50"/>
      <c r="C45" s="51" t="s">
        <v>43</v>
      </c>
      <c r="D45" s="53"/>
      <c r="E45" s="54">
        <v>0.19</v>
      </c>
      <c r="F45" s="55"/>
      <c r="G45" s="52">
        <f>G44*E45</f>
        <v>6649066.074</v>
      </c>
      <c r="H45" s="1"/>
      <c r="I45" s="1"/>
      <c r="J45" s="1"/>
      <c r="K45" s="1"/>
      <c r="L45" s="1"/>
      <c r="M45" s="1"/>
    </row>
    <row r="46" spans="1:13" ht="12.75" customHeight="1">
      <c r="A46" s="1"/>
      <c r="B46" s="50"/>
      <c r="C46" s="51" t="s">
        <v>44</v>
      </c>
      <c r="D46" s="53"/>
      <c r="E46" s="54">
        <v>0.02</v>
      </c>
      <c r="F46" s="55"/>
      <c r="G46" s="52">
        <f>G44*E46</f>
        <v>699901.69200000004</v>
      </c>
      <c r="H46" s="1"/>
      <c r="I46" s="1"/>
      <c r="J46" s="1"/>
      <c r="K46" s="1"/>
      <c r="L46" s="1"/>
      <c r="M46" s="1"/>
    </row>
    <row r="47" spans="1:13" ht="12.75" customHeight="1">
      <c r="A47" s="1"/>
      <c r="B47" s="50"/>
      <c r="C47" s="51" t="s">
        <v>45</v>
      </c>
      <c r="D47" s="53"/>
      <c r="E47" s="54">
        <v>0.05</v>
      </c>
      <c r="F47" s="55"/>
      <c r="G47" s="49">
        <f>G44*E47</f>
        <v>1749754.2300000002</v>
      </c>
      <c r="H47" s="1"/>
      <c r="I47" s="1"/>
      <c r="J47" s="1"/>
      <c r="K47" s="1"/>
      <c r="L47" s="1"/>
      <c r="M47" s="1"/>
    </row>
    <row r="48" spans="1:13" ht="12.75" customHeight="1">
      <c r="A48" s="1"/>
      <c r="B48" s="50"/>
      <c r="C48" s="51" t="s">
        <v>46</v>
      </c>
      <c r="D48" s="53"/>
      <c r="E48" s="54">
        <f>E45+E46+E47</f>
        <v>0.26</v>
      </c>
      <c r="F48" s="55"/>
      <c r="G48" s="52">
        <f>G47+G46+G45</f>
        <v>9098721.9959999993</v>
      </c>
      <c r="H48" s="1"/>
      <c r="I48" s="1"/>
      <c r="J48" s="1"/>
      <c r="K48" s="1"/>
      <c r="L48" s="1"/>
      <c r="M48" s="1"/>
    </row>
    <row r="49" spans="1:13" ht="12.75" customHeight="1">
      <c r="A49" s="1"/>
      <c r="B49" s="50"/>
      <c r="C49" s="51" t="s">
        <v>47</v>
      </c>
      <c r="D49" s="53"/>
      <c r="E49" s="54">
        <v>0.19</v>
      </c>
      <c r="F49" s="55"/>
      <c r="G49" s="52">
        <f>G47*E49</f>
        <v>332453.30370000005</v>
      </c>
      <c r="H49" s="1"/>
      <c r="I49" s="1"/>
      <c r="J49" s="1"/>
      <c r="K49" s="1"/>
      <c r="L49" s="1"/>
      <c r="M49" s="1"/>
    </row>
    <row r="50" spans="1:13" ht="12.75" customHeight="1">
      <c r="A50" s="1"/>
      <c r="B50" s="50"/>
      <c r="C50" s="56"/>
      <c r="D50" s="40"/>
      <c r="E50" s="41"/>
      <c r="F50" s="42"/>
      <c r="G50" s="43"/>
      <c r="H50" s="1"/>
      <c r="I50" s="1"/>
      <c r="J50" s="1"/>
      <c r="K50" s="1"/>
      <c r="L50" s="1"/>
      <c r="M50" s="1"/>
    </row>
    <row r="51" spans="1:13" ht="12.75" customHeight="1">
      <c r="A51" s="1"/>
      <c r="B51" s="50"/>
      <c r="C51" s="51"/>
      <c r="D51" s="40"/>
      <c r="E51" s="41"/>
      <c r="F51" s="42"/>
      <c r="G51" s="52">
        <f>G49+G48+G44</f>
        <v>44426259.899700001</v>
      </c>
      <c r="H51" s="1"/>
      <c r="I51" s="1"/>
      <c r="J51" s="1"/>
      <c r="K51" s="1"/>
      <c r="L51" s="1"/>
      <c r="M51" s="1"/>
    </row>
    <row r="52" spans="1:13" ht="12.75" customHeight="1" thickBot="1">
      <c r="A52" s="1"/>
      <c r="B52" s="57"/>
      <c r="C52" s="58"/>
      <c r="D52" s="59"/>
      <c r="E52" s="60"/>
      <c r="F52" s="61"/>
      <c r="G52" s="62"/>
      <c r="H52" s="1"/>
      <c r="I52" s="1"/>
      <c r="J52" s="1"/>
      <c r="K52" s="1"/>
      <c r="L52" s="1"/>
      <c r="M52" s="1"/>
    </row>
    <row r="53" spans="1:13" ht="12.75" customHeight="1">
      <c r="A53" s="1"/>
      <c r="B53" s="9"/>
      <c r="C53" s="63"/>
      <c r="D53" s="64"/>
      <c r="E53" s="65"/>
      <c r="F53" s="66"/>
      <c r="G53" s="66"/>
      <c r="H53" s="1"/>
      <c r="I53" s="1"/>
      <c r="J53" s="1"/>
      <c r="K53" s="1"/>
      <c r="L53" s="1"/>
      <c r="M53" s="1"/>
    </row>
    <row r="54" spans="1:13" ht="30.75" customHeight="1" thickBot="1">
      <c r="A54" s="1"/>
      <c r="B54" s="420" t="s">
        <v>143</v>
      </c>
      <c r="C54" s="58" t="s">
        <v>514</v>
      </c>
      <c r="D54" s="59"/>
      <c r="E54" s="60"/>
      <c r="F54" s="61"/>
      <c r="G54" s="421">
        <f>G51+G8</f>
        <v>63874999.899700001</v>
      </c>
      <c r="H54" s="1"/>
      <c r="I54" s="1"/>
      <c r="J54" s="1"/>
      <c r="K54" s="1"/>
      <c r="L54" s="1"/>
      <c r="M54" s="1"/>
    </row>
    <row r="55" spans="1:13" ht="12.75" customHeight="1">
      <c r="A55" s="1"/>
      <c r="B55" s="67"/>
      <c r="C55" s="68"/>
      <c r="D55" s="64"/>
      <c r="E55" s="65"/>
      <c r="F55" s="66"/>
      <c r="G55" s="66"/>
      <c r="H55" s="1"/>
      <c r="I55" s="1"/>
      <c r="J55" s="1"/>
      <c r="K55" s="1"/>
      <c r="L55" s="1"/>
      <c r="M55" s="1"/>
    </row>
    <row r="56" spans="1:13" ht="12.75" customHeight="1">
      <c r="A56" s="1"/>
      <c r="B56" s="69"/>
      <c r="C56" s="70"/>
      <c r="D56" s="64"/>
      <c r="E56" s="65"/>
      <c r="F56" s="66"/>
      <c r="G56" s="66"/>
      <c r="H56" s="1"/>
      <c r="I56" s="1"/>
      <c r="J56" s="1"/>
      <c r="K56" s="1"/>
      <c r="L56" s="1"/>
      <c r="M56" s="1"/>
    </row>
    <row r="57" spans="1:13" ht="12.75" customHeight="1">
      <c r="A57" s="1"/>
      <c r="B57" s="9"/>
      <c r="C57" s="63"/>
      <c r="D57" s="64"/>
      <c r="E57" s="65"/>
      <c r="F57" s="66"/>
      <c r="G57" s="66"/>
      <c r="H57" s="1"/>
      <c r="I57" s="1"/>
      <c r="J57" s="1"/>
      <c r="K57" s="1"/>
      <c r="L57" s="1"/>
      <c r="M57" s="1"/>
    </row>
    <row r="58" spans="1:13" ht="179.4" customHeight="1">
      <c r="A58" s="1"/>
      <c r="B58" s="9"/>
      <c r="C58" s="355"/>
      <c r="D58" s="64"/>
      <c r="E58" s="65"/>
      <c r="F58" s="66"/>
      <c r="G58" s="71"/>
      <c r="H58" s="1"/>
      <c r="I58" s="1"/>
      <c r="J58" s="1"/>
      <c r="K58" s="1"/>
      <c r="L58" s="1"/>
      <c r="M58" s="1"/>
    </row>
    <row r="59" spans="1:13" ht="237" customHeight="1">
      <c r="A59" s="1"/>
      <c r="B59" s="9"/>
      <c r="C59" s="355"/>
      <c r="D59" s="64"/>
      <c r="E59" s="65"/>
      <c r="F59" s="66"/>
      <c r="G59" s="71"/>
      <c r="H59" s="1"/>
      <c r="I59" s="1"/>
      <c r="J59" s="1"/>
      <c r="K59" s="1"/>
      <c r="L59" s="1"/>
      <c r="M59" s="1"/>
    </row>
    <row r="60" spans="1:13" ht="12.75" customHeight="1">
      <c r="A60" s="1"/>
      <c r="B60" s="9"/>
      <c r="C60" s="63"/>
      <c r="D60" s="64"/>
      <c r="E60" s="65"/>
      <c r="F60" s="66"/>
      <c r="G60" s="66"/>
      <c r="H60" s="1"/>
      <c r="I60" s="1"/>
      <c r="J60" s="1"/>
      <c r="K60" s="1"/>
      <c r="L60" s="1"/>
      <c r="M60" s="1"/>
    </row>
    <row r="61" spans="1:13" ht="12.75" customHeight="1">
      <c r="A61" s="1"/>
      <c r="B61" s="9"/>
      <c r="C61" s="63"/>
      <c r="D61" s="64"/>
      <c r="E61" s="65"/>
      <c r="F61" s="66"/>
      <c r="G61" s="66"/>
      <c r="H61" s="1"/>
      <c r="I61" s="1"/>
      <c r="J61" s="1"/>
      <c r="K61" s="1"/>
      <c r="L61" s="1"/>
      <c r="M61" s="1"/>
    </row>
    <row r="62" spans="1:13" ht="12.75" customHeight="1">
      <c r="A62" s="1"/>
      <c r="B62" s="9"/>
      <c r="C62" s="63"/>
      <c r="D62" s="64"/>
      <c r="E62" s="65"/>
      <c r="F62" s="66"/>
      <c r="G62" s="72"/>
      <c r="H62" s="1"/>
      <c r="I62" s="1"/>
      <c r="J62" s="1"/>
      <c r="K62" s="1"/>
      <c r="L62" s="1"/>
      <c r="M62" s="1"/>
    </row>
    <row r="63" spans="1:13" ht="12.75" customHeight="1">
      <c r="A63" s="1"/>
      <c r="B63" s="9"/>
      <c r="C63" s="63"/>
      <c r="D63" s="64"/>
      <c r="E63" s="65"/>
      <c r="F63" s="66"/>
      <c r="G63" s="66"/>
      <c r="H63" s="1"/>
      <c r="I63" s="1"/>
      <c r="J63" s="1"/>
      <c r="K63" s="1"/>
      <c r="L63" s="1"/>
      <c r="M63" s="1"/>
    </row>
    <row r="64" spans="1:13" ht="12.75" customHeight="1">
      <c r="A64" s="1"/>
      <c r="B64" s="9"/>
      <c r="C64" s="63"/>
      <c r="D64" s="64"/>
      <c r="E64" s="65"/>
      <c r="F64" s="66"/>
      <c r="G64" s="66"/>
      <c r="H64" s="1"/>
      <c r="I64" s="1"/>
      <c r="J64" s="1"/>
      <c r="K64" s="1"/>
      <c r="L64" s="1"/>
      <c r="M64" s="1"/>
    </row>
    <row r="65" spans="1:13" ht="12.75" customHeight="1">
      <c r="A65" s="1"/>
      <c r="B65" s="9"/>
      <c r="C65" s="63"/>
      <c r="D65" s="64"/>
      <c r="E65" s="65"/>
      <c r="F65" s="66"/>
      <c r="G65" s="66"/>
      <c r="H65" s="1"/>
      <c r="I65" s="1"/>
      <c r="J65" s="1"/>
      <c r="K65" s="1"/>
      <c r="L65" s="1"/>
      <c r="M65" s="1"/>
    </row>
    <row r="66" spans="1:13" ht="12.75" customHeight="1">
      <c r="A66" s="1"/>
      <c r="B66" s="9"/>
      <c r="C66" s="63"/>
      <c r="D66" s="64"/>
      <c r="E66" s="65"/>
      <c r="F66" s="66"/>
      <c r="G66" s="66"/>
      <c r="H66" s="1"/>
      <c r="I66" s="1"/>
      <c r="J66" s="1"/>
      <c r="K66" s="1"/>
      <c r="L66" s="1"/>
      <c r="M66" s="1"/>
    </row>
    <row r="67" spans="1:13" ht="12.75" customHeight="1">
      <c r="A67" s="1"/>
      <c r="B67" s="9"/>
      <c r="C67" s="63"/>
      <c r="D67" s="64"/>
      <c r="E67" s="65"/>
      <c r="F67" s="66"/>
      <c r="G67" s="66"/>
      <c r="H67" s="1"/>
      <c r="I67" s="1"/>
      <c r="J67" s="1"/>
      <c r="K67" s="1"/>
      <c r="L67" s="1"/>
      <c r="M67" s="1"/>
    </row>
    <row r="68" spans="1:13" ht="12.75" customHeight="1">
      <c r="A68" s="1"/>
      <c r="B68" s="9"/>
      <c r="C68" s="63"/>
      <c r="D68" s="64"/>
      <c r="E68" s="65"/>
      <c r="F68" s="66"/>
      <c r="G68" s="66"/>
      <c r="H68" s="1"/>
      <c r="I68" s="1"/>
      <c r="J68" s="1"/>
      <c r="K68" s="1"/>
      <c r="L68" s="1"/>
      <c r="M68" s="1"/>
    </row>
    <row r="69" spans="1:13" ht="12.75" customHeight="1">
      <c r="A69" s="1"/>
      <c r="B69" s="9"/>
      <c r="C69" s="63"/>
      <c r="D69" s="64"/>
      <c r="E69" s="65"/>
      <c r="F69" s="66"/>
      <c r="G69" s="66"/>
      <c r="H69" s="1"/>
      <c r="I69" s="1"/>
      <c r="J69" s="1"/>
      <c r="K69" s="1"/>
      <c r="L69" s="1"/>
      <c r="M69" s="1"/>
    </row>
    <row r="70" spans="1:13" ht="12.75" customHeight="1">
      <c r="A70" s="1"/>
      <c r="B70" s="9"/>
      <c r="C70" s="63"/>
      <c r="D70" s="64"/>
      <c r="E70" s="65"/>
      <c r="F70" s="66"/>
      <c r="G70" s="66"/>
      <c r="H70" s="1"/>
      <c r="I70" s="1"/>
      <c r="J70" s="1"/>
      <c r="K70" s="1"/>
      <c r="L70" s="1"/>
      <c r="M70" s="1"/>
    </row>
    <row r="71" spans="1:13" ht="12.75" customHeight="1">
      <c r="A71" s="1"/>
      <c r="B71" s="9"/>
      <c r="C71" s="63"/>
      <c r="D71" s="64"/>
      <c r="E71" s="65"/>
      <c r="F71" s="66"/>
      <c r="G71" s="66"/>
      <c r="H71" s="1"/>
      <c r="I71" s="1"/>
      <c r="J71" s="1"/>
      <c r="K71" s="1"/>
      <c r="L71" s="1"/>
      <c r="M71" s="1"/>
    </row>
    <row r="72" spans="1:13" ht="12.75" customHeight="1">
      <c r="A72" s="1"/>
      <c r="B72" s="9"/>
      <c r="C72" s="63"/>
      <c r="D72" s="64"/>
      <c r="E72" s="65"/>
      <c r="F72" s="66"/>
      <c r="G72" s="66"/>
      <c r="H72" s="1"/>
      <c r="I72" s="1"/>
      <c r="J72" s="1"/>
      <c r="K72" s="1"/>
      <c r="L72" s="1"/>
      <c r="M72" s="1"/>
    </row>
    <row r="73" spans="1:13" ht="12.75" customHeight="1">
      <c r="A73" s="1"/>
      <c r="B73" s="9"/>
      <c r="C73" s="63"/>
      <c r="D73" s="64"/>
      <c r="E73" s="65"/>
      <c r="F73" s="66"/>
      <c r="G73" s="66"/>
      <c r="H73" s="1"/>
      <c r="I73" s="1"/>
      <c r="J73" s="1"/>
      <c r="K73" s="1"/>
      <c r="L73" s="1"/>
      <c r="M73" s="1"/>
    </row>
    <row r="74" spans="1:13" ht="12.75" customHeight="1">
      <c r="A74" s="1"/>
      <c r="B74" s="9"/>
      <c r="C74" s="63"/>
      <c r="D74" s="64"/>
      <c r="E74" s="65"/>
      <c r="F74" s="66"/>
      <c r="G74" s="66"/>
      <c r="H74" s="1"/>
      <c r="I74" s="1"/>
      <c r="J74" s="1"/>
      <c r="K74" s="1"/>
      <c r="L74" s="1"/>
      <c r="M74" s="1"/>
    </row>
    <row r="75" spans="1:13" ht="12.75" customHeight="1">
      <c r="A75" s="1"/>
      <c r="B75" s="9"/>
      <c r="C75" s="63"/>
      <c r="D75" s="64"/>
      <c r="E75" s="65"/>
      <c r="F75" s="66"/>
      <c r="G75" s="66"/>
      <c r="H75" s="1"/>
      <c r="I75" s="1"/>
      <c r="J75" s="1"/>
      <c r="K75" s="1"/>
      <c r="L75" s="1"/>
      <c r="M75" s="1"/>
    </row>
    <row r="76" spans="1:13" ht="12.75" customHeight="1">
      <c r="A76" s="1"/>
      <c r="B76" s="9"/>
      <c r="C76" s="63"/>
      <c r="D76" s="64"/>
      <c r="E76" s="65"/>
      <c r="F76" s="66"/>
      <c r="G76" s="66"/>
      <c r="H76" s="1"/>
      <c r="I76" s="1"/>
      <c r="J76" s="1"/>
      <c r="K76" s="1"/>
      <c r="L76" s="1"/>
      <c r="M76" s="1"/>
    </row>
    <row r="77" spans="1:13" ht="12.75" customHeight="1">
      <c r="A77" s="1"/>
      <c r="B77" s="9"/>
      <c r="C77" s="63"/>
      <c r="D77" s="64"/>
      <c r="E77" s="65"/>
      <c r="F77" s="66"/>
      <c r="G77" s="66"/>
      <c r="H77" s="1"/>
      <c r="I77" s="1"/>
      <c r="J77" s="1"/>
      <c r="K77" s="1"/>
      <c r="L77" s="1"/>
      <c r="M77" s="1"/>
    </row>
    <row r="78" spans="1:13" ht="12.75" customHeight="1">
      <c r="A78" s="1"/>
      <c r="B78" s="9"/>
      <c r="C78" s="63"/>
      <c r="D78" s="64"/>
      <c r="E78" s="65"/>
      <c r="F78" s="66"/>
      <c r="G78" s="66"/>
      <c r="H78" s="1"/>
      <c r="I78" s="1"/>
      <c r="J78" s="1"/>
      <c r="K78" s="1"/>
      <c r="L78" s="1"/>
      <c r="M78" s="1"/>
    </row>
    <row r="79" spans="1:13" ht="12.75" customHeight="1">
      <c r="A79" s="1"/>
      <c r="B79" s="9"/>
      <c r="C79" s="63"/>
      <c r="D79" s="64"/>
      <c r="E79" s="65"/>
      <c r="F79" s="66"/>
      <c r="G79" s="66"/>
      <c r="H79" s="1"/>
      <c r="I79" s="1"/>
      <c r="J79" s="1"/>
      <c r="K79" s="1"/>
      <c r="L79" s="1"/>
      <c r="M79" s="1"/>
    </row>
    <row r="80" spans="1:13" ht="12.75" customHeight="1">
      <c r="A80" s="1"/>
      <c r="B80" s="9"/>
      <c r="C80" s="63"/>
      <c r="D80" s="64"/>
      <c r="E80" s="65"/>
      <c r="F80" s="66"/>
      <c r="G80" s="66"/>
      <c r="H80" s="1"/>
      <c r="I80" s="1"/>
      <c r="J80" s="1"/>
      <c r="K80" s="1"/>
      <c r="L80" s="1"/>
      <c r="M80" s="1"/>
    </row>
    <row r="81" spans="1:13" ht="12.75" customHeight="1">
      <c r="A81" s="1"/>
      <c r="B81" s="9"/>
      <c r="C81" s="63"/>
      <c r="D81" s="64"/>
      <c r="E81" s="65"/>
      <c r="F81" s="66"/>
      <c r="G81" s="66"/>
      <c r="H81" s="1"/>
      <c r="I81" s="1"/>
      <c r="J81" s="1"/>
      <c r="K81" s="1"/>
      <c r="L81" s="1"/>
      <c r="M81" s="1"/>
    </row>
    <row r="82" spans="1:13" ht="12.75" customHeight="1">
      <c r="A82" s="1"/>
      <c r="B82" s="9"/>
      <c r="C82" s="63"/>
      <c r="D82" s="64"/>
      <c r="E82" s="65"/>
      <c r="F82" s="66"/>
      <c r="G82" s="66"/>
      <c r="H82" s="1"/>
      <c r="I82" s="1"/>
      <c r="J82" s="1"/>
      <c r="K82" s="1"/>
      <c r="L82" s="1"/>
      <c r="M82" s="1"/>
    </row>
    <row r="83" spans="1:13" ht="12.75" customHeight="1">
      <c r="A83" s="1"/>
      <c r="B83" s="9"/>
      <c r="C83" s="63"/>
      <c r="D83" s="64"/>
      <c r="E83" s="65"/>
      <c r="F83" s="66"/>
      <c r="G83" s="66"/>
      <c r="H83" s="1"/>
      <c r="I83" s="1"/>
      <c r="J83" s="1"/>
      <c r="K83" s="1"/>
      <c r="L83" s="1"/>
      <c r="M83" s="1"/>
    </row>
    <row r="84" spans="1:13" ht="12.75" customHeight="1">
      <c r="A84" s="1"/>
      <c r="B84" s="9"/>
      <c r="C84" s="63"/>
      <c r="D84" s="64"/>
      <c r="E84" s="65"/>
      <c r="F84" s="66"/>
      <c r="G84" s="66"/>
      <c r="H84" s="1"/>
      <c r="I84" s="1"/>
      <c r="J84" s="1"/>
      <c r="K84" s="1"/>
      <c r="L84" s="1"/>
      <c r="M84" s="1"/>
    </row>
    <row r="85" spans="1:13" ht="12.75" customHeight="1">
      <c r="A85" s="1"/>
      <c r="B85" s="9"/>
      <c r="C85" s="63"/>
      <c r="D85" s="64"/>
      <c r="E85" s="65"/>
      <c r="F85" s="66"/>
      <c r="G85" s="66"/>
      <c r="H85" s="1"/>
      <c r="I85" s="1"/>
      <c r="J85" s="1"/>
      <c r="K85" s="1"/>
      <c r="L85" s="1"/>
      <c r="M85" s="1"/>
    </row>
    <row r="86" spans="1:13" ht="12.75" customHeight="1">
      <c r="A86" s="1"/>
      <c r="B86" s="9"/>
      <c r="C86" s="63"/>
      <c r="D86" s="64"/>
      <c r="E86" s="65"/>
      <c r="F86" s="66"/>
      <c r="G86" s="66"/>
      <c r="H86" s="1"/>
      <c r="I86" s="1"/>
      <c r="J86" s="1"/>
      <c r="K86" s="1"/>
      <c r="L86" s="1"/>
      <c r="M86" s="1"/>
    </row>
    <row r="87" spans="1:13" ht="12.75" customHeight="1">
      <c r="A87" s="1"/>
      <c r="B87" s="9"/>
      <c r="C87" s="63"/>
      <c r="D87" s="64"/>
      <c r="E87" s="65"/>
      <c r="F87" s="66"/>
      <c r="G87" s="66"/>
      <c r="H87" s="1"/>
      <c r="I87" s="1"/>
      <c r="J87" s="1"/>
      <c r="K87" s="1"/>
      <c r="L87" s="1"/>
      <c r="M87" s="1"/>
    </row>
    <row r="88" spans="1:13" ht="12.75" customHeight="1">
      <c r="A88" s="1"/>
      <c r="B88" s="9"/>
      <c r="C88" s="63"/>
      <c r="D88" s="64"/>
      <c r="E88" s="65"/>
      <c r="F88" s="66"/>
      <c r="G88" s="66"/>
      <c r="H88" s="1"/>
      <c r="I88" s="1"/>
      <c r="J88" s="1"/>
      <c r="K88" s="1"/>
      <c r="L88" s="1"/>
      <c r="M88" s="1"/>
    </row>
    <row r="89" spans="1:13" ht="12.75" customHeight="1">
      <c r="A89" s="1"/>
      <c r="B89" s="9"/>
      <c r="C89" s="63"/>
      <c r="D89" s="64"/>
      <c r="E89" s="65"/>
      <c r="F89" s="66"/>
      <c r="G89" s="66"/>
      <c r="H89" s="1"/>
      <c r="I89" s="1"/>
      <c r="J89" s="1"/>
      <c r="K89" s="1"/>
      <c r="L89" s="1"/>
      <c r="M89" s="1"/>
    </row>
    <row r="90" spans="1:13" ht="12.75" customHeight="1">
      <c r="A90" s="1"/>
      <c r="B90" s="9"/>
      <c r="C90" s="63"/>
      <c r="D90" s="64"/>
      <c r="E90" s="65"/>
      <c r="F90" s="66"/>
      <c r="G90" s="66"/>
      <c r="H90" s="1"/>
      <c r="I90" s="1"/>
      <c r="J90" s="1"/>
      <c r="K90" s="1"/>
      <c r="L90" s="1"/>
      <c r="M90" s="1"/>
    </row>
    <row r="91" spans="1:13" ht="12.75" customHeight="1">
      <c r="A91" s="1"/>
      <c r="B91" s="9"/>
      <c r="C91" s="63"/>
      <c r="D91" s="64"/>
      <c r="E91" s="65"/>
      <c r="F91" s="66"/>
      <c r="G91" s="66"/>
      <c r="H91" s="1"/>
      <c r="I91" s="1"/>
      <c r="J91" s="1"/>
      <c r="K91" s="1"/>
      <c r="L91" s="1"/>
      <c r="M91" s="1"/>
    </row>
    <row r="92" spans="1:13" ht="12.75" customHeight="1">
      <c r="A92" s="1"/>
      <c r="B92" s="9"/>
      <c r="C92" s="63"/>
      <c r="D92" s="64"/>
      <c r="E92" s="65"/>
      <c r="F92" s="66"/>
      <c r="G92" s="66"/>
      <c r="H92" s="1"/>
      <c r="I92" s="1"/>
      <c r="J92" s="1"/>
      <c r="K92" s="1"/>
      <c r="L92" s="1"/>
      <c r="M92" s="1"/>
    </row>
    <row r="93" spans="1:13" ht="12.75" customHeight="1">
      <c r="A93" s="1"/>
      <c r="B93" s="9"/>
      <c r="C93" s="63"/>
      <c r="D93" s="64"/>
      <c r="E93" s="65"/>
      <c r="F93" s="66"/>
      <c r="G93" s="66"/>
      <c r="H93" s="1"/>
      <c r="I93" s="1"/>
      <c r="J93" s="1"/>
      <c r="K93" s="1"/>
      <c r="L93" s="1"/>
      <c r="M93" s="1"/>
    </row>
    <row r="94" spans="1:13" ht="12.75" customHeight="1">
      <c r="A94" s="1"/>
      <c r="B94" s="9"/>
      <c r="C94" s="63"/>
      <c r="D94" s="64"/>
      <c r="E94" s="65"/>
      <c r="F94" s="66"/>
      <c r="G94" s="66"/>
      <c r="H94" s="1"/>
      <c r="I94" s="1"/>
      <c r="J94" s="1"/>
      <c r="K94" s="1"/>
      <c r="L94" s="1"/>
      <c r="M94" s="1"/>
    </row>
    <row r="95" spans="1:13" ht="12.75" customHeight="1">
      <c r="A95" s="1"/>
      <c r="B95" s="9"/>
      <c r="C95" s="63"/>
      <c r="D95" s="64"/>
      <c r="E95" s="65"/>
      <c r="F95" s="66"/>
      <c r="G95" s="66"/>
      <c r="H95" s="1"/>
      <c r="I95" s="1"/>
      <c r="J95" s="1"/>
      <c r="K95" s="1"/>
      <c r="L95" s="1"/>
      <c r="M95" s="1"/>
    </row>
    <row r="96" spans="1:13" ht="12.75" customHeight="1">
      <c r="A96" s="1"/>
      <c r="B96" s="9"/>
      <c r="C96" s="63"/>
      <c r="D96" s="64"/>
      <c r="E96" s="65"/>
      <c r="F96" s="66"/>
      <c r="G96" s="66"/>
      <c r="H96" s="1"/>
      <c r="I96" s="1"/>
      <c r="J96" s="1"/>
      <c r="K96" s="1"/>
      <c r="L96" s="1"/>
      <c r="M96" s="1"/>
    </row>
    <row r="97" spans="1:13" ht="12.75" customHeight="1">
      <c r="A97" s="1"/>
      <c r="B97" s="9"/>
      <c r="C97" s="63"/>
      <c r="D97" s="64"/>
      <c r="E97" s="65"/>
      <c r="F97" s="66"/>
      <c r="G97" s="66"/>
      <c r="H97" s="1"/>
      <c r="I97" s="1"/>
      <c r="J97" s="1"/>
      <c r="K97" s="1"/>
      <c r="L97" s="1"/>
      <c r="M97" s="1"/>
    </row>
    <row r="98" spans="1:13" ht="12.75" customHeight="1">
      <c r="A98" s="1"/>
      <c r="B98" s="9"/>
      <c r="C98" s="63"/>
      <c r="D98" s="64"/>
      <c r="E98" s="65"/>
      <c r="F98" s="66"/>
      <c r="G98" s="66"/>
      <c r="H98" s="1"/>
      <c r="I98" s="1"/>
      <c r="J98" s="1"/>
      <c r="K98" s="1"/>
      <c r="L98" s="1"/>
      <c r="M98" s="1"/>
    </row>
    <row r="99" spans="1:13" ht="12.75" customHeight="1">
      <c r="A99" s="1"/>
      <c r="B99" s="9"/>
      <c r="C99" s="63"/>
      <c r="D99" s="64"/>
      <c r="E99" s="65"/>
      <c r="F99" s="66"/>
      <c r="G99" s="66"/>
      <c r="H99" s="1"/>
      <c r="I99" s="1"/>
      <c r="J99" s="1"/>
      <c r="K99" s="1"/>
      <c r="L99" s="1"/>
      <c r="M99" s="1"/>
    </row>
    <row r="100" spans="1:13" ht="12.75" customHeight="1">
      <c r="A100" s="1"/>
      <c r="B100" s="9"/>
      <c r="C100" s="63"/>
      <c r="D100" s="64"/>
      <c r="E100" s="65"/>
      <c r="F100" s="66"/>
      <c r="G100" s="66"/>
      <c r="H100" s="1"/>
      <c r="I100" s="1"/>
      <c r="J100" s="1"/>
      <c r="K100" s="1"/>
      <c r="L100" s="1"/>
      <c r="M100" s="1"/>
    </row>
    <row r="101" spans="1:13" ht="12.75" customHeight="1">
      <c r="A101" s="1"/>
      <c r="B101" s="9"/>
      <c r="C101" s="63"/>
      <c r="D101" s="64"/>
      <c r="E101" s="65"/>
      <c r="F101" s="66"/>
      <c r="G101" s="66"/>
      <c r="H101" s="1"/>
      <c r="I101" s="1"/>
      <c r="J101" s="1"/>
      <c r="K101" s="1"/>
      <c r="L101" s="1"/>
      <c r="M101" s="1"/>
    </row>
    <row r="102" spans="1:13" ht="12.75" customHeight="1">
      <c r="A102" s="1"/>
      <c r="B102" s="9"/>
      <c r="C102" s="63"/>
      <c r="D102" s="64"/>
      <c r="E102" s="65"/>
      <c r="F102" s="66"/>
      <c r="G102" s="66"/>
      <c r="H102" s="1"/>
      <c r="I102" s="1"/>
      <c r="J102" s="1"/>
      <c r="K102" s="1"/>
      <c r="L102" s="1"/>
      <c r="M102" s="1"/>
    </row>
    <row r="103" spans="1:13" ht="12.75" customHeight="1">
      <c r="A103" s="1"/>
      <c r="B103" s="9"/>
      <c r="C103" s="63"/>
      <c r="D103" s="64"/>
      <c r="E103" s="65"/>
      <c r="F103" s="66"/>
      <c r="G103" s="66"/>
      <c r="H103" s="1"/>
      <c r="I103" s="1"/>
      <c r="J103" s="1"/>
      <c r="K103" s="1"/>
      <c r="L103" s="1"/>
      <c r="M103" s="1"/>
    </row>
  </sheetData>
  <mergeCells count="4">
    <mergeCell ref="B2:G2"/>
    <mergeCell ref="B3:G3"/>
    <mergeCell ref="B4:G4"/>
    <mergeCell ref="B5:G5"/>
  </mergeCells>
  <phoneticPr fontId="36" type="noConversion"/>
  <printOptions horizontalCentered="1"/>
  <pageMargins left="0.70866141732283472" right="0.70866141732283472" top="0.74803149606299213" bottom="0.74803149606299213"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97"/>
  <sheetViews>
    <sheetView workbookViewId="0">
      <selection activeCell="F31" sqref="F31"/>
    </sheetView>
  </sheetViews>
  <sheetFormatPr defaultColWidth="14.44140625" defaultRowHeight="15" customHeight="1"/>
  <cols>
    <col min="1" max="1" width="6.44140625" customWidth="1"/>
    <col min="2" max="2" width="6.6640625" customWidth="1"/>
    <col min="3" max="3" width="64.44140625" customWidth="1"/>
    <col min="4" max="4" width="8.44140625" customWidth="1"/>
    <col min="5" max="5" width="10.5546875" customWidth="1"/>
    <col min="6" max="14" width="11.44140625" customWidth="1"/>
  </cols>
  <sheetData>
    <row r="1" spans="1:14" ht="42" customHeight="1">
      <c r="A1" s="1"/>
      <c r="B1" s="2"/>
      <c r="C1" s="3"/>
      <c r="D1" s="4"/>
      <c r="E1" s="5"/>
      <c r="F1" s="1"/>
      <c r="G1" s="1"/>
      <c r="H1" s="1"/>
      <c r="I1" s="1"/>
      <c r="J1" s="1"/>
      <c r="K1" s="1"/>
      <c r="L1" s="1"/>
      <c r="M1" s="1"/>
      <c r="N1" s="1"/>
    </row>
    <row r="2" spans="1:14" ht="19.5" customHeight="1">
      <c r="A2" s="1"/>
      <c r="B2" s="432" t="s">
        <v>0</v>
      </c>
      <c r="C2" s="433"/>
      <c r="D2" s="433"/>
      <c r="E2" s="433"/>
      <c r="F2" s="1"/>
      <c r="G2" s="1"/>
      <c r="H2" s="1"/>
      <c r="I2" s="1"/>
      <c r="J2" s="1"/>
      <c r="K2" s="1"/>
      <c r="L2" s="1"/>
      <c r="M2" s="1"/>
      <c r="N2" s="1"/>
    </row>
    <row r="3" spans="1:14" ht="19.5" customHeight="1">
      <c r="A3" s="1"/>
      <c r="B3" s="432" t="s">
        <v>1</v>
      </c>
      <c r="C3" s="433"/>
      <c r="D3" s="433"/>
      <c r="E3" s="433"/>
      <c r="F3" s="1"/>
      <c r="G3" s="1"/>
      <c r="H3" s="1"/>
      <c r="I3" s="1"/>
      <c r="J3" s="1"/>
      <c r="K3" s="1"/>
      <c r="L3" s="1"/>
      <c r="M3" s="1"/>
      <c r="N3" s="1"/>
    </row>
    <row r="4" spans="1:14" ht="18" customHeight="1">
      <c r="A4" s="1"/>
      <c r="B4" s="432" t="s">
        <v>501</v>
      </c>
      <c r="C4" s="433"/>
      <c r="D4" s="433"/>
      <c r="E4" s="433"/>
      <c r="F4" s="1"/>
      <c r="G4" s="1"/>
      <c r="H4" s="1"/>
      <c r="I4" s="1"/>
      <c r="J4" s="1"/>
      <c r="K4" s="1"/>
      <c r="L4" s="1"/>
      <c r="M4" s="1"/>
      <c r="N4" s="1"/>
    </row>
    <row r="5" spans="1:14" ht="12.75" customHeight="1">
      <c r="A5" s="1"/>
      <c r="B5" s="432" t="s">
        <v>3</v>
      </c>
      <c r="C5" s="433"/>
      <c r="D5" s="433"/>
      <c r="E5" s="433"/>
      <c r="F5" s="1"/>
      <c r="G5" s="1"/>
      <c r="H5" s="1"/>
      <c r="I5" s="1"/>
      <c r="J5" s="1"/>
      <c r="K5" s="1"/>
      <c r="L5" s="1"/>
      <c r="M5" s="1"/>
      <c r="N5" s="1"/>
    </row>
    <row r="6" spans="1:14" ht="12.75" customHeight="1" thickBot="1">
      <c r="A6" s="1"/>
      <c r="B6" s="367"/>
      <c r="C6" s="368"/>
      <c r="D6" s="369"/>
      <c r="E6" s="370"/>
      <c r="F6" s="1"/>
      <c r="G6" s="1"/>
      <c r="H6" s="1"/>
      <c r="I6" s="1"/>
      <c r="J6" s="1"/>
      <c r="K6" s="1"/>
      <c r="L6" s="1"/>
      <c r="M6" s="1"/>
      <c r="N6" s="1"/>
    </row>
    <row r="7" spans="1:14" ht="17.25" customHeight="1" thickBot="1">
      <c r="A7" s="1"/>
      <c r="B7" s="371" t="s">
        <v>4</v>
      </c>
      <c r="C7" s="372" t="s">
        <v>5</v>
      </c>
      <c r="D7" s="373" t="s">
        <v>6</v>
      </c>
      <c r="E7" s="374" t="s">
        <v>7</v>
      </c>
      <c r="F7" s="1"/>
      <c r="G7" s="1"/>
      <c r="H7" s="1"/>
      <c r="I7" s="1"/>
      <c r="J7" s="1"/>
      <c r="K7" s="1"/>
      <c r="L7" s="1"/>
      <c r="M7" s="1"/>
      <c r="N7" s="1"/>
    </row>
    <row r="8" spans="1:14" ht="12.75" customHeight="1" thickBot="1">
      <c r="A8" s="1"/>
      <c r="B8" s="375">
        <v>1</v>
      </c>
      <c r="C8" s="376" t="s">
        <v>10</v>
      </c>
      <c r="D8" s="377"/>
      <c r="E8" s="378"/>
      <c r="F8" s="1"/>
      <c r="G8" s="1"/>
      <c r="H8" s="1"/>
      <c r="I8" s="1"/>
      <c r="J8" s="1"/>
      <c r="K8" s="1"/>
      <c r="L8" s="1"/>
      <c r="M8" s="1"/>
      <c r="N8" s="1"/>
    </row>
    <row r="9" spans="1:14" ht="384.6" customHeight="1">
      <c r="A9" s="1"/>
      <c r="B9" s="379" t="s">
        <v>11</v>
      </c>
      <c r="C9" s="380" t="s">
        <v>485</v>
      </c>
      <c r="D9" s="381" t="s">
        <v>512</v>
      </c>
      <c r="E9" s="381">
        <v>1</v>
      </c>
      <c r="F9" s="1"/>
      <c r="G9" s="1"/>
      <c r="H9" s="1"/>
      <c r="I9" s="1"/>
      <c r="J9" s="1"/>
      <c r="K9" s="1"/>
      <c r="L9" s="1"/>
      <c r="M9" s="1"/>
      <c r="N9" s="1"/>
    </row>
    <row r="10" spans="1:14" ht="12.75" customHeight="1">
      <c r="A10" s="1"/>
      <c r="B10" s="382">
        <v>2</v>
      </c>
      <c r="C10" s="383" t="s">
        <v>13</v>
      </c>
      <c r="D10" s="384"/>
      <c r="E10" s="385"/>
      <c r="F10" s="1"/>
      <c r="G10" s="1"/>
      <c r="H10" s="1"/>
      <c r="I10" s="1"/>
      <c r="J10" s="1"/>
      <c r="K10" s="1"/>
      <c r="L10" s="1"/>
      <c r="M10" s="1"/>
      <c r="N10" s="1"/>
    </row>
    <row r="11" spans="1:14" ht="58.2" customHeight="1">
      <c r="A11" s="1"/>
      <c r="B11" s="379" t="s">
        <v>50</v>
      </c>
      <c r="C11" s="386" t="s">
        <v>14</v>
      </c>
      <c r="D11" s="381" t="s">
        <v>15</v>
      </c>
      <c r="E11" s="381">
        <v>1</v>
      </c>
      <c r="F11" s="1"/>
      <c r="G11" s="1"/>
      <c r="H11" s="1"/>
      <c r="I11" s="1"/>
      <c r="J11" s="1"/>
      <c r="K11" s="1"/>
      <c r="L11" s="1"/>
      <c r="M11" s="1"/>
      <c r="N11" s="1"/>
    </row>
    <row r="12" spans="1:14" ht="48" customHeight="1">
      <c r="A12" s="39"/>
      <c r="B12" s="387" t="s">
        <v>51</v>
      </c>
      <c r="C12" s="386" t="s">
        <v>16</v>
      </c>
      <c r="D12" s="381" t="s">
        <v>17</v>
      </c>
      <c r="E12" s="381">
        <v>1</v>
      </c>
      <c r="F12" s="39"/>
      <c r="G12" s="39"/>
      <c r="H12" s="39"/>
      <c r="I12" s="39"/>
      <c r="J12" s="39"/>
      <c r="K12" s="39"/>
      <c r="L12" s="39"/>
      <c r="M12" s="39"/>
      <c r="N12" s="39"/>
    </row>
    <row r="13" spans="1:14" ht="46.2" customHeight="1">
      <c r="A13" s="39"/>
      <c r="B13" s="379" t="s">
        <v>53</v>
      </c>
      <c r="C13" s="386" t="s">
        <v>18</v>
      </c>
      <c r="D13" s="381" t="s">
        <v>19</v>
      </c>
      <c r="E13" s="381">
        <v>15</v>
      </c>
      <c r="F13" s="39"/>
      <c r="G13" s="39"/>
      <c r="H13" s="39"/>
      <c r="I13" s="39"/>
      <c r="J13" s="39"/>
      <c r="K13" s="39"/>
      <c r="L13" s="39"/>
      <c r="M13" s="39"/>
      <c r="N13" s="39"/>
    </row>
    <row r="14" spans="1:14" ht="12.75" customHeight="1">
      <c r="A14" s="39"/>
      <c r="B14" s="379" t="s">
        <v>54</v>
      </c>
      <c r="C14" s="386" t="s">
        <v>20</v>
      </c>
      <c r="D14" s="381" t="s">
        <v>12</v>
      </c>
      <c r="E14" s="381">
        <v>1</v>
      </c>
      <c r="F14" s="39"/>
      <c r="G14" s="39"/>
      <c r="H14" s="39"/>
      <c r="I14" s="39"/>
      <c r="J14" s="39"/>
      <c r="K14" s="39"/>
      <c r="L14" s="39"/>
      <c r="M14" s="39"/>
      <c r="N14" s="39"/>
    </row>
    <row r="15" spans="1:14" ht="95.4" customHeight="1">
      <c r="A15" s="39"/>
      <c r="B15" s="379" t="s">
        <v>56</v>
      </c>
      <c r="C15" s="355" t="s">
        <v>477</v>
      </c>
      <c r="D15" s="381" t="s">
        <v>12</v>
      </c>
      <c r="E15" s="381">
        <v>1</v>
      </c>
      <c r="F15" s="39"/>
      <c r="G15" s="39"/>
      <c r="H15" s="39"/>
      <c r="I15" s="39"/>
      <c r="J15" s="39"/>
      <c r="K15" s="39"/>
      <c r="L15" s="39"/>
      <c r="M15" s="39"/>
      <c r="N15" s="39"/>
    </row>
    <row r="16" spans="1:14" ht="12.75" customHeight="1">
      <c r="A16" s="1"/>
      <c r="B16" s="379" t="s">
        <v>478</v>
      </c>
      <c r="C16" s="386" t="s">
        <v>21</v>
      </c>
      <c r="D16" s="381" t="s">
        <v>12</v>
      </c>
      <c r="E16" s="381">
        <v>1</v>
      </c>
      <c r="F16" s="1"/>
      <c r="G16" s="1"/>
      <c r="H16" s="1"/>
      <c r="I16" s="1"/>
      <c r="J16" s="1"/>
      <c r="K16" s="1"/>
      <c r="L16" s="1"/>
      <c r="M16" s="1"/>
      <c r="N16" s="1"/>
    </row>
    <row r="17" spans="1:14" ht="32.25" customHeight="1">
      <c r="A17" s="39"/>
      <c r="B17" s="382">
        <v>3</v>
      </c>
      <c r="C17" s="383" t="s">
        <v>22</v>
      </c>
      <c r="D17" s="384"/>
      <c r="E17" s="388"/>
      <c r="F17" s="39"/>
      <c r="G17" s="39"/>
      <c r="H17" s="39"/>
      <c r="I17" s="39"/>
      <c r="J17" s="39"/>
      <c r="K17" s="39"/>
      <c r="L17" s="39"/>
      <c r="M17" s="39"/>
      <c r="N17" s="39"/>
    </row>
    <row r="18" spans="1:14" ht="27.75" customHeight="1">
      <c r="A18" s="1"/>
      <c r="B18" s="389" t="s">
        <v>57</v>
      </c>
      <c r="C18" s="358" t="s">
        <v>23</v>
      </c>
      <c r="D18" s="359" t="s">
        <v>24</v>
      </c>
      <c r="E18" s="414">
        <v>27</v>
      </c>
      <c r="F18" s="1"/>
      <c r="G18" s="1"/>
      <c r="H18" s="1"/>
      <c r="I18" s="1"/>
      <c r="J18" s="1"/>
      <c r="K18" s="1"/>
      <c r="L18" s="1"/>
      <c r="M18" s="1"/>
      <c r="N18" s="1"/>
    </row>
    <row r="19" spans="1:14" ht="32.25" customHeight="1">
      <c r="A19" s="1"/>
      <c r="B19" s="390" t="s">
        <v>58</v>
      </c>
      <c r="C19" s="363" t="s">
        <v>25</v>
      </c>
      <c r="D19" s="364" t="s">
        <v>26</v>
      </c>
      <c r="E19" s="414">
        <v>15</v>
      </c>
      <c r="F19" s="1"/>
      <c r="G19" s="1"/>
      <c r="H19" s="1"/>
      <c r="I19" s="1"/>
      <c r="J19" s="1"/>
      <c r="K19" s="1"/>
      <c r="L19" s="1"/>
      <c r="M19" s="1"/>
      <c r="N19" s="1"/>
    </row>
    <row r="20" spans="1:14" ht="12.75" customHeight="1">
      <c r="A20" s="39"/>
      <c r="B20" s="389" t="s">
        <v>59</v>
      </c>
      <c r="C20" s="363" t="s">
        <v>27</v>
      </c>
      <c r="D20" s="364" t="s">
        <v>28</v>
      </c>
      <c r="E20" s="360">
        <v>6.25</v>
      </c>
      <c r="F20" s="39"/>
      <c r="G20" s="39"/>
      <c r="H20" s="39"/>
      <c r="I20" s="39"/>
      <c r="J20" s="39"/>
      <c r="K20" s="39"/>
      <c r="L20" s="39"/>
      <c r="M20" s="39"/>
      <c r="N20" s="39"/>
    </row>
    <row r="21" spans="1:14" ht="12.75" customHeight="1">
      <c r="A21" s="39"/>
      <c r="B21" s="390" t="s">
        <v>479</v>
      </c>
      <c r="C21" s="363" t="s">
        <v>29</v>
      </c>
      <c r="D21" s="364" t="s">
        <v>26</v>
      </c>
      <c r="E21" s="360">
        <v>0.78</v>
      </c>
      <c r="F21" s="39"/>
      <c r="G21" s="39"/>
      <c r="H21" s="39"/>
      <c r="I21" s="39"/>
      <c r="J21" s="39"/>
      <c r="K21" s="39"/>
      <c r="L21" s="39"/>
      <c r="M21" s="39"/>
      <c r="N21" s="39"/>
    </row>
    <row r="22" spans="1:14" ht="12.75" customHeight="1">
      <c r="A22" s="20"/>
      <c r="B22" s="389" t="s">
        <v>486</v>
      </c>
      <c r="C22" s="363" t="s">
        <v>30</v>
      </c>
      <c r="D22" s="364" t="s">
        <v>28</v>
      </c>
      <c r="E22" s="360">
        <v>5.47</v>
      </c>
      <c r="F22" s="1"/>
      <c r="G22" s="1"/>
      <c r="H22" s="1"/>
      <c r="I22" s="1"/>
      <c r="J22" s="1"/>
      <c r="K22" s="1"/>
      <c r="L22" s="1"/>
      <c r="M22" s="1"/>
      <c r="N22" s="1"/>
    </row>
    <row r="23" spans="1:14" ht="12.75" customHeight="1">
      <c r="A23" s="1"/>
      <c r="B23" s="390" t="s">
        <v>487</v>
      </c>
      <c r="C23" s="363" t="s">
        <v>31</v>
      </c>
      <c r="D23" s="364" t="s">
        <v>28</v>
      </c>
      <c r="E23" s="360">
        <v>7.81</v>
      </c>
      <c r="F23" s="1"/>
      <c r="G23" s="1"/>
      <c r="H23" s="1"/>
      <c r="I23" s="1"/>
      <c r="J23" s="1"/>
      <c r="K23" s="1"/>
      <c r="L23" s="1"/>
      <c r="M23" s="1"/>
      <c r="N23" s="1"/>
    </row>
    <row r="24" spans="1:14" ht="12.75" customHeight="1">
      <c r="A24" s="39"/>
      <c r="B24" s="389" t="s">
        <v>488</v>
      </c>
      <c r="C24" s="363" t="s">
        <v>480</v>
      </c>
      <c r="D24" s="364" t="s">
        <v>28</v>
      </c>
      <c r="E24" s="360">
        <v>0.45</v>
      </c>
      <c r="F24" s="39"/>
      <c r="G24" s="39"/>
      <c r="H24" s="39"/>
      <c r="I24" s="39"/>
      <c r="J24" s="39"/>
      <c r="K24" s="39"/>
      <c r="L24" s="39"/>
      <c r="M24" s="39"/>
      <c r="N24" s="39"/>
    </row>
    <row r="25" spans="1:14" ht="31.95" customHeight="1">
      <c r="A25" s="39"/>
      <c r="B25" s="390" t="s">
        <v>489</v>
      </c>
      <c r="C25" s="363" t="s">
        <v>481</v>
      </c>
      <c r="D25" s="366" t="s">
        <v>28</v>
      </c>
      <c r="E25" s="360">
        <v>0.3</v>
      </c>
      <c r="F25" s="39"/>
      <c r="G25" s="39"/>
      <c r="H25" s="39"/>
      <c r="I25" s="39"/>
      <c r="J25" s="39"/>
      <c r="K25" s="39"/>
      <c r="L25" s="39"/>
      <c r="M25" s="39"/>
      <c r="N25" s="39"/>
    </row>
    <row r="26" spans="1:14" ht="12.75" customHeight="1">
      <c r="A26" s="20"/>
      <c r="B26" s="389" t="s">
        <v>490</v>
      </c>
      <c r="C26" s="363" t="s">
        <v>482</v>
      </c>
      <c r="D26" s="364" t="s">
        <v>26</v>
      </c>
      <c r="E26" s="414">
        <v>15</v>
      </c>
      <c r="F26" s="1"/>
      <c r="G26" s="1"/>
      <c r="H26" s="1"/>
      <c r="I26" s="1"/>
      <c r="J26" s="1"/>
      <c r="K26" s="1"/>
      <c r="L26" s="1"/>
      <c r="M26" s="1"/>
      <c r="N26" s="1"/>
    </row>
    <row r="27" spans="1:14" ht="12.75" customHeight="1">
      <c r="A27" s="39"/>
      <c r="B27" s="390" t="s">
        <v>491</v>
      </c>
      <c r="C27" s="365" t="s">
        <v>483</v>
      </c>
      <c r="D27" s="366" t="s">
        <v>308</v>
      </c>
      <c r="E27" s="414">
        <v>222</v>
      </c>
      <c r="F27" s="39"/>
      <c r="G27" s="39"/>
      <c r="H27" s="39"/>
      <c r="I27" s="39"/>
      <c r="J27" s="39"/>
      <c r="K27" s="39"/>
      <c r="L27" s="39"/>
      <c r="M27" s="39"/>
      <c r="N27" s="39"/>
    </row>
    <row r="28" spans="1:14" ht="12.75" customHeight="1">
      <c r="A28" s="20"/>
      <c r="B28" s="389" t="s">
        <v>492</v>
      </c>
      <c r="C28" s="363" t="s">
        <v>32</v>
      </c>
      <c r="D28" s="364" t="s">
        <v>26</v>
      </c>
      <c r="E28" s="360">
        <v>4.4400000000000004</v>
      </c>
      <c r="F28" s="1"/>
      <c r="G28" s="1"/>
      <c r="H28" s="1"/>
      <c r="I28" s="1"/>
      <c r="J28" s="1"/>
      <c r="K28" s="1"/>
      <c r="L28" s="1"/>
      <c r="M28" s="1"/>
      <c r="N28" s="1"/>
    </row>
    <row r="29" spans="1:14" ht="35.4" customHeight="1">
      <c r="A29" s="39"/>
      <c r="B29" s="390" t="s">
        <v>493</v>
      </c>
      <c r="C29" s="363" t="s">
        <v>33</v>
      </c>
      <c r="D29" s="364" t="s">
        <v>26</v>
      </c>
      <c r="E29" s="360">
        <v>21.49</v>
      </c>
      <c r="F29" s="39"/>
      <c r="G29" s="39"/>
      <c r="H29" s="39"/>
      <c r="I29" s="39"/>
      <c r="J29" s="39"/>
      <c r="K29" s="39"/>
      <c r="L29" s="39"/>
      <c r="M29" s="39"/>
      <c r="N29" s="39"/>
    </row>
    <row r="30" spans="1:14" ht="32.4" customHeight="1">
      <c r="A30" s="39"/>
      <c r="B30" s="389" t="s">
        <v>494</v>
      </c>
      <c r="C30" s="363" t="s">
        <v>484</v>
      </c>
      <c r="D30" s="364" t="s">
        <v>15</v>
      </c>
      <c r="E30" s="360">
        <v>1</v>
      </c>
      <c r="F30" s="39"/>
      <c r="G30" s="39"/>
      <c r="H30" s="39"/>
      <c r="I30" s="39"/>
      <c r="J30" s="39"/>
      <c r="K30" s="39"/>
      <c r="L30" s="39"/>
      <c r="M30" s="39"/>
      <c r="N30" s="39"/>
    </row>
    <row r="31" spans="1:14" ht="34.200000000000003" customHeight="1">
      <c r="A31" s="20"/>
      <c r="B31" s="390" t="s">
        <v>495</v>
      </c>
      <c r="C31" s="363" t="s">
        <v>34</v>
      </c>
      <c r="D31" s="364" t="s">
        <v>24</v>
      </c>
      <c r="E31" s="360">
        <v>71.260000000000005</v>
      </c>
      <c r="F31" s="1"/>
      <c r="G31" s="1"/>
      <c r="H31" s="1"/>
      <c r="I31" s="1"/>
      <c r="J31" s="1"/>
      <c r="K31" s="1"/>
      <c r="L31" s="1"/>
      <c r="M31" s="1"/>
      <c r="N31" s="1"/>
    </row>
    <row r="32" spans="1:14" ht="34.950000000000003" customHeight="1">
      <c r="A32" s="39"/>
      <c r="B32" s="389" t="s">
        <v>496</v>
      </c>
      <c r="C32" s="363" t="s">
        <v>35</v>
      </c>
      <c r="D32" s="364" t="s">
        <v>26</v>
      </c>
      <c r="E32" s="360">
        <v>24.65</v>
      </c>
      <c r="F32" s="39"/>
      <c r="G32" s="39"/>
      <c r="H32" s="39"/>
      <c r="I32" s="39"/>
      <c r="J32" s="39"/>
      <c r="K32" s="39"/>
      <c r="L32" s="39"/>
      <c r="M32" s="39"/>
      <c r="N32" s="39"/>
    </row>
    <row r="33" spans="1:14" ht="18.600000000000001" customHeight="1">
      <c r="A33" s="39"/>
      <c r="B33" s="390" t="s">
        <v>497</v>
      </c>
      <c r="C33" s="363" t="s">
        <v>36</v>
      </c>
      <c r="D33" s="364" t="s">
        <v>24</v>
      </c>
      <c r="E33" s="360">
        <v>5.5</v>
      </c>
      <c r="F33" s="39"/>
      <c r="G33" s="39"/>
      <c r="H33" s="39"/>
      <c r="I33" s="39"/>
      <c r="J33" s="39"/>
      <c r="K33" s="39"/>
      <c r="L33" s="39"/>
      <c r="M33" s="39"/>
      <c r="N33" s="39"/>
    </row>
    <row r="34" spans="1:14" ht="12.75" customHeight="1">
      <c r="A34" s="39"/>
      <c r="B34" s="391">
        <v>4</v>
      </c>
      <c r="C34" s="383" t="s">
        <v>37</v>
      </c>
      <c r="D34" s="392"/>
      <c r="E34" s="393"/>
      <c r="F34" s="39"/>
      <c r="G34" s="39"/>
      <c r="H34" s="39"/>
      <c r="I34" s="39"/>
      <c r="J34" s="39"/>
      <c r="K34" s="39"/>
      <c r="L34" s="39"/>
      <c r="M34" s="39"/>
      <c r="N34" s="39"/>
    </row>
    <row r="35" spans="1:14" ht="76.95" customHeight="1">
      <c r="A35" s="39"/>
      <c r="B35" s="379" t="s">
        <v>60</v>
      </c>
      <c r="C35" s="394" t="s">
        <v>38</v>
      </c>
      <c r="D35" s="395" t="s">
        <v>12</v>
      </c>
      <c r="E35" s="396">
        <v>2</v>
      </c>
      <c r="F35" s="39"/>
      <c r="G35" s="39"/>
      <c r="H35" s="39"/>
      <c r="I35" s="39"/>
      <c r="J35" s="39"/>
      <c r="K35" s="39"/>
      <c r="L35" s="39"/>
      <c r="M35" s="39"/>
      <c r="N35" s="39"/>
    </row>
    <row r="36" spans="1:14" ht="85.2" customHeight="1">
      <c r="A36" s="39"/>
      <c r="B36" s="379" t="s">
        <v>498</v>
      </c>
      <c r="C36" s="394" t="s">
        <v>39</v>
      </c>
      <c r="D36" s="395" t="s">
        <v>12</v>
      </c>
      <c r="E36" s="396">
        <v>2</v>
      </c>
      <c r="F36" s="39"/>
      <c r="G36" s="39"/>
      <c r="H36" s="39"/>
      <c r="I36" s="39"/>
      <c r="J36" s="39"/>
      <c r="K36" s="39"/>
      <c r="L36" s="39"/>
      <c r="M36" s="39"/>
      <c r="N36" s="39"/>
    </row>
    <row r="37" spans="1:14" ht="64.2" customHeight="1">
      <c r="A37" s="39"/>
      <c r="B37" s="379" t="s">
        <v>499</v>
      </c>
      <c r="C37" s="394" t="s">
        <v>40</v>
      </c>
      <c r="D37" s="395" t="s">
        <v>12</v>
      </c>
      <c r="E37" s="396">
        <v>1</v>
      </c>
      <c r="F37" s="39"/>
      <c r="G37" s="39"/>
      <c r="H37" s="39"/>
      <c r="I37" s="39"/>
      <c r="J37" s="39"/>
      <c r="K37" s="39"/>
      <c r="L37" s="39"/>
      <c r="M37" s="39"/>
      <c r="N37" s="39"/>
    </row>
    <row r="38" spans="1:14" ht="87.6" customHeight="1">
      <c r="A38" s="39"/>
      <c r="B38" s="379" t="s">
        <v>500</v>
      </c>
      <c r="C38" s="394" t="s">
        <v>41</v>
      </c>
      <c r="D38" s="395" t="s">
        <v>12</v>
      </c>
      <c r="E38" s="396">
        <v>1</v>
      </c>
      <c r="F38" s="39"/>
      <c r="G38" s="39"/>
      <c r="H38" s="39"/>
      <c r="I38" s="39"/>
      <c r="J38" s="39"/>
      <c r="K38" s="39"/>
      <c r="L38" s="39"/>
      <c r="M38" s="39"/>
      <c r="N38" s="39"/>
    </row>
    <row r="39" spans="1:14" ht="12.75" customHeight="1">
      <c r="A39" s="39"/>
      <c r="B39" s="39"/>
      <c r="C39" s="39"/>
      <c r="D39" s="39"/>
      <c r="E39" s="39"/>
      <c r="F39" s="39"/>
      <c r="G39" s="39"/>
      <c r="H39" s="39"/>
    </row>
    <row r="40" spans="1:14" ht="12.75" customHeight="1">
      <c r="A40" s="39"/>
      <c r="B40" s="39"/>
      <c r="C40" s="39"/>
      <c r="D40" s="39"/>
      <c r="E40" s="39"/>
      <c r="F40" s="39"/>
      <c r="G40" s="39"/>
      <c r="H40" s="39"/>
    </row>
    <row r="41" spans="1:14" ht="12.75" customHeight="1">
      <c r="A41" s="39"/>
      <c r="B41" s="39"/>
      <c r="C41" s="39"/>
      <c r="D41" s="39"/>
      <c r="E41" s="39"/>
      <c r="F41" s="39"/>
      <c r="G41" s="39"/>
      <c r="H41" s="39"/>
    </row>
    <row r="42" spans="1:14" ht="12.75" customHeight="1">
      <c r="A42" s="39"/>
      <c r="B42" s="39"/>
      <c r="C42" s="39"/>
      <c r="D42" s="39"/>
      <c r="E42" s="39"/>
      <c r="F42" s="39"/>
      <c r="G42" s="39"/>
      <c r="H42" s="39"/>
    </row>
    <row r="43" spans="1:14" ht="12.75" customHeight="1">
      <c r="A43" s="39"/>
      <c r="B43" s="39"/>
      <c r="C43" s="39"/>
      <c r="D43" s="39"/>
      <c r="E43" s="39"/>
      <c r="F43" s="39"/>
      <c r="G43" s="39"/>
      <c r="H43" s="39"/>
    </row>
    <row r="44" spans="1:14" ht="15" customHeight="1">
      <c r="A44" s="39"/>
      <c r="B44" s="39"/>
      <c r="C44" s="39"/>
      <c r="D44" s="39"/>
      <c r="E44" s="39"/>
      <c r="F44" s="39"/>
      <c r="G44" s="39"/>
      <c r="H44" s="39"/>
    </row>
    <row r="45" spans="1:14" ht="12.75" customHeight="1">
      <c r="A45" s="1"/>
      <c r="B45" s="1"/>
      <c r="C45" s="1"/>
      <c r="D45" s="1"/>
      <c r="E45" s="1"/>
      <c r="F45" s="1"/>
      <c r="G45" s="1"/>
      <c r="H45" s="1"/>
    </row>
    <row r="46" spans="1:14" ht="12.75" customHeight="1">
      <c r="A46" s="1"/>
      <c r="B46" s="1"/>
      <c r="C46" s="1"/>
      <c r="D46" s="1"/>
      <c r="E46" s="1"/>
      <c r="F46" s="1"/>
      <c r="G46" s="1"/>
      <c r="H46" s="1"/>
    </row>
    <row r="47" spans="1:14" ht="12.75" customHeight="1">
      <c r="A47" s="1"/>
      <c r="B47" s="1"/>
      <c r="C47" s="1"/>
      <c r="D47" s="1"/>
      <c r="E47" s="1"/>
      <c r="F47" s="1"/>
      <c r="G47" s="1"/>
      <c r="H47" s="1"/>
    </row>
    <row r="48" spans="1:14" ht="12.75" customHeight="1">
      <c r="A48" s="1"/>
      <c r="B48" s="1"/>
      <c r="C48" s="1"/>
      <c r="D48" s="1"/>
      <c r="E48" s="1"/>
      <c r="F48" s="1"/>
      <c r="G48" s="1"/>
      <c r="H48" s="1"/>
    </row>
    <row r="49" spans="1:14" ht="12.75" customHeight="1">
      <c r="A49" s="1"/>
      <c r="B49" s="1"/>
      <c r="C49" s="1"/>
      <c r="D49" s="1"/>
      <c r="E49" s="1"/>
      <c r="F49" s="1"/>
      <c r="G49" s="1"/>
      <c r="H49" s="1"/>
    </row>
    <row r="50" spans="1:14" ht="12.75" customHeight="1">
      <c r="A50" s="1"/>
      <c r="B50" s="1"/>
      <c r="C50" s="1"/>
      <c r="D50" s="1"/>
      <c r="E50" s="1"/>
      <c r="F50" s="1"/>
      <c r="G50" s="1"/>
      <c r="H50" s="1"/>
    </row>
    <row r="51" spans="1:14" ht="12.75" customHeight="1">
      <c r="A51" s="1"/>
      <c r="B51" s="1"/>
      <c r="C51" s="1"/>
      <c r="D51" s="1"/>
      <c r="E51" s="1"/>
      <c r="F51" s="1"/>
      <c r="G51" s="1"/>
      <c r="H51" s="1"/>
    </row>
    <row r="52" spans="1:14" ht="12.75" customHeight="1">
      <c r="A52" s="1"/>
      <c r="B52" s="1"/>
      <c r="C52" s="1"/>
      <c r="D52" s="1"/>
      <c r="E52" s="1"/>
      <c r="F52" s="1"/>
      <c r="G52" s="1"/>
      <c r="H52" s="1"/>
    </row>
    <row r="53" spans="1:14" ht="12.75" customHeight="1">
      <c r="A53" s="1"/>
      <c r="B53" s="1"/>
      <c r="C53" s="1"/>
      <c r="D53" s="1"/>
      <c r="E53" s="1"/>
      <c r="F53" s="1"/>
      <c r="G53" s="1"/>
      <c r="H53" s="1"/>
    </row>
    <row r="54" spans="1:14" ht="12.75" customHeight="1">
      <c r="A54" s="1"/>
      <c r="B54" s="1"/>
      <c r="C54" s="1"/>
      <c r="D54" s="1"/>
      <c r="E54" s="1"/>
      <c r="F54" s="1"/>
      <c r="G54" s="1"/>
      <c r="H54" s="1"/>
    </row>
    <row r="55" spans="1:14" ht="12.75" customHeight="1">
      <c r="A55" s="1"/>
      <c r="B55" s="1"/>
      <c r="C55" s="1"/>
      <c r="D55" s="1"/>
      <c r="E55" s="1"/>
      <c r="F55" s="1"/>
      <c r="G55" s="1"/>
      <c r="H55" s="1"/>
    </row>
    <row r="56" spans="1:14" ht="12.75" customHeight="1">
      <c r="A56" s="1"/>
      <c r="B56" s="1"/>
      <c r="C56" s="1"/>
      <c r="D56" s="1"/>
      <c r="E56" s="1"/>
      <c r="F56" s="1"/>
      <c r="G56" s="1"/>
      <c r="H56" s="1"/>
    </row>
    <row r="57" spans="1:14" ht="12.75" customHeight="1">
      <c r="A57" s="1"/>
      <c r="B57" s="1"/>
      <c r="C57" s="1"/>
      <c r="D57" s="1"/>
      <c r="E57" s="1"/>
      <c r="F57" s="1"/>
      <c r="G57" s="1"/>
      <c r="H57" s="1"/>
    </row>
    <row r="58" spans="1:14" ht="12.75" customHeight="1">
      <c r="A58" s="1"/>
      <c r="B58" s="1"/>
      <c r="C58" s="1"/>
      <c r="D58" s="1"/>
      <c r="E58" s="1"/>
      <c r="F58" s="1"/>
      <c r="G58" s="1"/>
      <c r="H58" s="1"/>
    </row>
    <row r="59" spans="1:14" ht="12.75" customHeight="1">
      <c r="A59" s="1"/>
      <c r="B59" s="1"/>
      <c r="C59" s="1"/>
      <c r="D59" s="1"/>
      <c r="E59" s="1"/>
      <c r="F59" s="1"/>
      <c r="G59" s="1"/>
      <c r="H59" s="1"/>
    </row>
    <row r="60" spans="1:14" ht="12.75" customHeight="1">
      <c r="A60" s="1"/>
      <c r="B60" s="9"/>
      <c r="C60" s="63"/>
      <c r="D60" s="64"/>
      <c r="E60" s="65"/>
      <c r="F60" s="1"/>
      <c r="G60" s="1"/>
      <c r="H60" s="1"/>
      <c r="I60" s="1"/>
      <c r="J60" s="1"/>
      <c r="K60" s="1"/>
      <c r="L60" s="1"/>
      <c r="M60" s="1"/>
      <c r="N60" s="1"/>
    </row>
    <row r="61" spans="1:14" ht="12.75" customHeight="1">
      <c r="A61" s="1"/>
      <c r="B61" s="67"/>
      <c r="C61" s="68"/>
      <c r="D61" s="64"/>
      <c r="E61" s="65"/>
      <c r="F61" s="1"/>
      <c r="G61" s="1"/>
      <c r="H61" s="1"/>
      <c r="I61" s="1"/>
      <c r="J61" s="1"/>
      <c r="K61" s="1"/>
      <c r="L61" s="1"/>
      <c r="M61" s="1"/>
      <c r="N61" s="1"/>
    </row>
    <row r="62" spans="1:14" ht="12.75" customHeight="1">
      <c r="A62" s="1"/>
      <c r="B62" s="69"/>
      <c r="C62" s="70"/>
      <c r="D62" s="64"/>
      <c r="E62" s="65"/>
      <c r="F62" s="1"/>
      <c r="G62" s="1"/>
      <c r="H62" s="1"/>
      <c r="I62" s="1"/>
      <c r="J62" s="1"/>
      <c r="K62" s="1"/>
      <c r="L62" s="1"/>
      <c r="M62" s="1"/>
      <c r="N62" s="1"/>
    </row>
    <row r="63" spans="1:14" ht="12.75" customHeight="1">
      <c r="A63" s="1"/>
      <c r="B63" s="9"/>
      <c r="C63" s="63"/>
      <c r="D63" s="64"/>
      <c r="E63" s="65"/>
      <c r="F63" s="1"/>
      <c r="G63" s="1"/>
      <c r="H63" s="1"/>
      <c r="I63" s="1"/>
      <c r="J63" s="1"/>
      <c r="K63" s="1"/>
      <c r="L63" s="1"/>
      <c r="M63" s="1"/>
      <c r="N63" s="1"/>
    </row>
    <row r="64" spans="1:14" ht="12.75" customHeight="1">
      <c r="A64" s="1"/>
      <c r="B64" s="9"/>
      <c r="C64" s="63"/>
      <c r="D64" s="64"/>
      <c r="E64" s="65"/>
      <c r="F64" s="1"/>
      <c r="G64" s="1"/>
      <c r="H64" s="1"/>
      <c r="I64" s="1"/>
      <c r="J64" s="1"/>
      <c r="K64" s="1"/>
      <c r="L64" s="1"/>
      <c r="M64" s="1"/>
      <c r="N64" s="1"/>
    </row>
    <row r="65" spans="1:14" ht="12.75" customHeight="1">
      <c r="A65" s="1"/>
      <c r="B65" s="9"/>
      <c r="C65" s="63"/>
      <c r="D65" s="64"/>
      <c r="E65" s="65"/>
      <c r="F65" s="1"/>
      <c r="G65" s="1"/>
      <c r="H65" s="1"/>
      <c r="I65" s="1"/>
      <c r="J65" s="1"/>
      <c r="K65" s="1"/>
      <c r="L65" s="1"/>
      <c r="M65" s="1"/>
      <c r="N65" s="1"/>
    </row>
    <row r="66" spans="1:14" ht="12.75" customHeight="1">
      <c r="A66" s="1"/>
      <c r="B66" s="9"/>
      <c r="C66" s="63"/>
      <c r="D66" s="64"/>
      <c r="E66" s="65"/>
      <c r="F66" s="1"/>
      <c r="G66" s="1"/>
      <c r="H66" s="1"/>
      <c r="I66" s="1"/>
      <c r="J66" s="1"/>
      <c r="K66" s="1"/>
      <c r="L66" s="1"/>
      <c r="M66" s="1"/>
      <c r="N66" s="1"/>
    </row>
    <row r="67" spans="1:14" ht="12.75" customHeight="1">
      <c r="A67" s="1"/>
      <c r="B67" s="9"/>
      <c r="C67" s="63"/>
      <c r="D67" s="64"/>
      <c r="E67" s="65"/>
      <c r="F67" s="1"/>
      <c r="G67" s="1"/>
      <c r="H67" s="1"/>
      <c r="I67" s="1"/>
      <c r="J67" s="1"/>
      <c r="K67" s="1"/>
      <c r="L67" s="1"/>
      <c r="M67" s="1"/>
      <c r="N67" s="1"/>
    </row>
    <row r="68" spans="1:14" ht="12.75" customHeight="1">
      <c r="A68" s="1"/>
      <c r="B68" s="9"/>
      <c r="C68" s="63"/>
      <c r="D68" s="64"/>
      <c r="E68" s="65"/>
      <c r="F68" s="1"/>
      <c r="G68" s="1"/>
      <c r="H68" s="1"/>
      <c r="I68" s="1"/>
      <c r="J68" s="1"/>
      <c r="K68" s="1"/>
      <c r="L68" s="1"/>
      <c r="M68" s="1"/>
      <c r="N68" s="1"/>
    </row>
    <row r="69" spans="1:14" ht="12.75" customHeight="1">
      <c r="A69" s="1"/>
      <c r="B69" s="9"/>
      <c r="C69" s="63"/>
      <c r="D69" s="64"/>
      <c r="E69" s="65"/>
      <c r="F69" s="1"/>
      <c r="G69" s="1"/>
      <c r="H69" s="1"/>
      <c r="I69" s="1"/>
      <c r="J69" s="1"/>
      <c r="K69" s="1"/>
      <c r="L69" s="1"/>
      <c r="M69" s="1"/>
      <c r="N69" s="1"/>
    </row>
    <row r="70" spans="1:14" ht="12.75" customHeight="1">
      <c r="A70" s="1"/>
      <c r="B70" s="9"/>
      <c r="C70" s="63"/>
      <c r="D70" s="64"/>
      <c r="E70" s="65"/>
      <c r="F70" s="1"/>
      <c r="G70" s="1"/>
      <c r="H70" s="1"/>
      <c r="I70" s="1"/>
      <c r="J70" s="1"/>
      <c r="K70" s="1"/>
      <c r="L70" s="1"/>
      <c r="M70" s="1"/>
      <c r="N70" s="1"/>
    </row>
    <row r="71" spans="1:14" ht="12.75" customHeight="1">
      <c r="A71" s="1"/>
      <c r="B71" s="9"/>
      <c r="C71" s="63"/>
      <c r="D71" s="64"/>
      <c r="E71" s="65"/>
      <c r="F71" s="1"/>
      <c r="G71" s="1"/>
      <c r="H71" s="1"/>
      <c r="I71" s="1"/>
      <c r="J71" s="1"/>
      <c r="K71" s="1"/>
      <c r="L71" s="1"/>
      <c r="M71" s="1"/>
      <c r="N71" s="1"/>
    </row>
    <row r="72" spans="1:14" ht="12.75" customHeight="1">
      <c r="A72" s="1"/>
      <c r="B72" s="9"/>
      <c r="C72" s="63"/>
      <c r="D72" s="64"/>
      <c r="E72" s="65"/>
      <c r="F72" s="1"/>
      <c r="G72" s="1"/>
      <c r="H72" s="1"/>
      <c r="I72" s="1"/>
      <c r="J72" s="1"/>
      <c r="K72" s="1"/>
      <c r="L72" s="1"/>
      <c r="M72" s="1"/>
      <c r="N72" s="1"/>
    </row>
    <row r="73" spans="1:14" ht="12.75" customHeight="1">
      <c r="A73" s="1"/>
      <c r="B73" s="9"/>
      <c r="C73" s="63"/>
      <c r="D73" s="64"/>
      <c r="E73" s="65"/>
      <c r="F73" s="1"/>
      <c r="G73" s="1"/>
      <c r="H73" s="1"/>
      <c r="I73" s="1"/>
      <c r="J73" s="1"/>
      <c r="K73" s="1"/>
      <c r="L73" s="1"/>
      <c r="M73" s="1"/>
      <c r="N73" s="1"/>
    </row>
    <row r="74" spans="1:14" ht="12.75" customHeight="1">
      <c r="A74" s="1"/>
      <c r="B74" s="9"/>
      <c r="C74" s="63"/>
      <c r="D74" s="64"/>
      <c r="E74" s="65"/>
      <c r="F74" s="1"/>
      <c r="G74" s="1"/>
      <c r="H74" s="1"/>
      <c r="I74" s="1"/>
      <c r="J74" s="1"/>
      <c r="K74" s="1"/>
      <c r="L74" s="1"/>
      <c r="M74" s="1"/>
      <c r="N74" s="1"/>
    </row>
    <row r="75" spans="1:14" ht="12.75" customHeight="1">
      <c r="A75" s="1"/>
      <c r="B75" s="9"/>
      <c r="C75" s="63"/>
      <c r="D75" s="64"/>
      <c r="E75" s="65"/>
      <c r="F75" s="1"/>
      <c r="G75" s="1"/>
      <c r="H75" s="1"/>
      <c r="I75" s="1"/>
      <c r="J75" s="1"/>
      <c r="K75" s="1"/>
      <c r="L75" s="1"/>
      <c r="M75" s="1"/>
      <c r="N75" s="1"/>
    </row>
    <row r="76" spans="1:14" ht="12.75" customHeight="1">
      <c r="A76" s="1"/>
      <c r="B76" s="9"/>
      <c r="C76" s="63"/>
      <c r="D76" s="64"/>
      <c r="E76" s="65"/>
      <c r="F76" s="1"/>
      <c r="G76" s="1"/>
      <c r="H76" s="1"/>
      <c r="I76" s="1"/>
      <c r="J76" s="1"/>
      <c r="K76" s="1"/>
      <c r="L76" s="1"/>
      <c r="M76" s="1"/>
      <c r="N76" s="1"/>
    </row>
    <row r="77" spans="1:14" ht="12.75" customHeight="1">
      <c r="A77" s="1"/>
      <c r="B77" s="9"/>
      <c r="C77" s="63"/>
      <c r="D77" s="64"/>
      <c r="E77" s="65"/>
      <c r="F77" s="1"/>
      <c r="G77" s="1"/>
      <c r="H77" s="1"/>
      <c r="I77" s="1"/>
      <c r="J77" s="1"/>
      <c r="K77" s="1"/>
      <c r="L77" s="1"/>
      <c r="M77" s="1"/>
      <c r="N77" s="1"/>
    </row>
    <row r="78" spans="1:14" ht="12.75" customHeight="1">
      <c r="A78" s="1"/>
      <c r="B78" s="9"/>
      <c r="C78" s="63"/>
      <c r="D78" s="64"/>
      <c r="E78" s="65"/>
      <c r="F78" s="1"/>
      <c r="G78" s="1"/>
      <c r="H78" s="1"/>
      <c r="I78" s="1"/>
      <c r="J78" s="1"/>
      <c r="K78" s="1"/>
      <c r="L78" s="1"/>
      <c r="M78" s="1"/>
      <c r="N78" s="1"/>
    </row>
    <row r="79" spans="1:14" ht="12.75" customHeight="1">
      <c r="A79" s="1"/>
      <c r="B79" s="9"/>
      <c r="C79" s="63"/>
      <c r="D79" s="64"/>
      <c r="E79" s="65"/>
      <c r="F79" s="1"/>
      <c r="G79" s="1"/>
      <c r="H79" s="1"/>
      <c r="I79" s="1"/>
      <c r="J79" s="1"/>
      <c r="K79" s="1"/>
      <c r="L79" s="1"/>
      <c r="M79" s="1"/>
      <c r="N79" s="1"/>
    </row>
    <row r="80" spans="1:14" ht="12.75" customHeight="1">
      <c r="A80" s="1"/>
      <c r="B80" s="9"/>
      <c r="C80" s="63"/>
      <c r="D80" s="64"/>
      <c r="E80" s="65"/>
      <c r="F80" s="1"/>
      <c r="G80" s="1"/>
      <c r="H80" s="1"/>
      <c r="I80" s="1"/>
      <c r="J80" s="1"/>
      <c r="K80" s="1"/>
      <c r="L80" s="1"/>
      <c r="M80" s="1"/>
      <c r="N80" s="1"/>
    </row>
    <row r="81" spans="1:14" ht="12.75" customHeight="1">
      <c r="A81" s="1"/>
      <c r="B81" s="9"/>
      <c r="C81" s="63"/>
      <c r="D81" s="64"/>
      <c r="E81" s="65"/>
      <c r="F81" s="1"/>
      <c r="G81" s="1"/>
      <c r="H81" s="1"/>
      <c r="I81" s="1"/>
      <c r="J81" s="1"/>
      <c r="K81" s="1"/>
      <c r="L81" s="1"/>
      <c r="M81" s="1"/>
      <c r="N81" s="1"/>
    </row>
    <row r="82" spans="1:14" ht="12.75" customHeight="1">
      <c r="A82" s="1"/>
      <c r="B82" s="9"/>
      <c r="C82" s="63"/>
      <c r="D82" s="64"/>
      <c r="E82" s="65"/>
      <c r="F82" s="1"/>
      <c r="G82" s="1"/>
      <c r="H82" s="1"/>
      <c r="I82" s="1"/>
      <c r="J82" s="1"/>
      <c r="K82" s="1"/>
      <c r="L82" s="1"/>
      <c r="M82" s="1"/>
      <c r="N82" s="1"/>
    </row>
    <row r="83" spans="1:14" ht="12.75" customHeight="1">
      <c r="A83" s="1"/>
      <c r="B83" s="9"/>
      <c r="C83" s="63"/>
      <c r="D83" s="64"/>
      <c r="E83" s="65"/>
      <c r="F83" s="1"/>
      <c r="G83" s="1"/>
      <c r="H83" s="1"/>
      <c r="I83" s="1"/>
      <c r="J83" s="1"/>
      <c r="K83" s="1"/>
      <c r="L83" s="1"/>
      <c r="M83" s="1"/>
      <c r="N83" s="1"/>
    </row>
    <row r="84" spans="1:14" ht="12.75" customHeight="1">
      <c r="A84" s="1"/>
      <c r="B84" s="9"/>
      <c r="C84" s="63"/>
      <c r="D84" s="64"/>
      <c r="E84" s="65"/>
      <c r="F84" s="1"/>
      <c r="G84" s="1"/>
      <c r="H84" s="1"/>
      <c r="I84" s="1"/>
      <c r="J84" s="1"/>
      <c r="K84" s="1"/>
      <c r="L84" s="1"/>
      <c r="M84" s="1"/>
      <c r="N84" s="1"/>
    </row>
    <row r="85" spans="1:14" ht="12.75" customHeight="1">
      <c r="A85" s="1"/>
      <c r="B85" s="9"/>
      <c r="C85" s="63"/>
      <c r="D85" s="64"/>
      <c r="E85" s="65"/>
      <c r="F85" s="1"/>
      <c r="G85" s="1"/>
      <c r="H85" s="1"/>
      <c r="I85" s="1"/>
      <c r="J85" s="1"/>
      <c r="K85" s="1"/>
      <c r="L85" s="1"/>
      <c r="M85" s="1"/>
      <c r="N85" s="1"/>
    </row>
    <row r="86" spans="1:14" ht="12.75" customHeight="1">
      <c r="A86" s="1"/>
      <c r="B86" s="9"/>
      <c r="C86" s="63"/>
      <c r="D86" s="64"/>
      <c r="E86" s="65"/>
      <c r="F86" s="1"/>
      <c r="G86" s="1"/>
      <c r="H86" s="1"/>
      <c r="I86" s="1"/>
      <c r="J86" s="1"/>
      <c r="K86" s="1"/>
      <c r="L86" s="1"/>
      <c r="M86" s="1"/>
      <c r="N86" s="1"/>
    </row>
    <row r="87" spans="1:14" ht="12.75" customHeight="1">
      <c r="A87" s="1"/>
      <c r="B87" s="9"/>
      <c r="C87" s="63"/>
      <c r="D87" s="64"/>
      <c r="E87" s="65"/>
      <c r="F87" s="1"/>
      <c r="G87" s="1"/>
      <c r="H87" s="1"/>
      <c r="I87" s="1"/>
      <c r="J87" s="1"/>
      <c r="K87" s="1"/>
      <c r="L87" s="1"/>
      <c r="M87" s="1"/>
      <c r="N87" s="1"/>
    </row>
    <row r="88" spans="1:14" ht="12.75" customHeight="1">
      <c r="A88" s="1"/>
      <c r="B88" s="9"/>
      <c r="C88" s="63"/>
      <c r="D88" s="64"/>
      <c r="E88" s="65"/>
      <c r="F88" s="1"/>
      <c r="G88" s="1"/>
      <c r="H88" s="1"/>
      <c r="I88" s="1"/>
      <c r="J88" s="1"/>
      <c r="K88" s="1"/>
      <c r="L88" s="1"/>
      <c r="M88" s="1"/>
      <c r="N88" s="1"/>
    </row>
    <row r="89" spans="1:14" ht="12.75" customHeight="1">
      <c r="A89" s="1"/>
      <c r="B89" s="9"/>
      <c r="C89" s="63"/>
      <c r="D89" s="64"/>
      <c r="E89" s="65"/>
      <c r="F89" s="1"/>
      <c r="G89" s="1"/>
      <c r="H89" s="1"/>
      <c r="I89" s="1"/>
      <c r="J89" s="1"/>
      <c r="K89" s="1"/>
      <c r="L89" s="1"/>
      <c r="M89" s="1"/>
      <c r="N89" s="1"/>
    </row>
    <row r="90" spans="1:14" ht="12.75" customHeight="1">
      <c r="A90" s="1"/>
      <c r="B90" s="9"/>
      <c r="C90" s="63"/>
      <c r="D90" s="64"/>
      <c r="E90" s="65"/>
      <c r="F90" s="1"/>
      <c r="G90" s="1"/>
      <c r="H90" s="1"/>
      <c r="I90" s="1"/>
      <c r="J90" s="1"/>
      <c r="K90" s="1"/>
      <c r="L90" s="1"/>
      <c r="M90" s="1"/>
      <c r="N90" s="1"/>
    </row>
    <row r="91" spans="1:14" ht="12.75" customHeight="1">
      <c r="A91" s="1"/>
      <c r="B91" s="9"/>
      <c r="C91" s="63"/>
      <c r="D91" s="64"/>
      <c r="E91" s="65"/>
      <c r="F91" s="1"/>
      <c r="G91" s="1"/>
      <c r="H91" s="1"/>
      <c r="I91" s="1"/>
      <c r="J91" s="1"/>
      <c r="K91" s="1"/>
      <c r="L91" s="1"/>
      <c r="M91" s="1"/>
      <c r="N91" s="1"/>
    </row>
    <row r="92" spans="1:14" ht="12.75" customHeight="1">
      <c r="A92" s="1"/>
      <c r="B92" s="9"/>
      <c r="C92" s="63"/>
      <c r="D92" s="64"/>
      <c r="E92" s="65"/>
      <c r="F92" s="1"/>
      <c r="G92" s="1"/>
      <c r="H92" s="1"/>
      <c r="I92" s="1"/>
      <c r="J92" s="1"/>
      <c r="K92" s="1"/>
      <c r="L92" s="1"/>
      <c r="M92" s="1"/>
      <c r="N92" s="1"/>
    </row>
    <row r="93" spans="1:14" ht="12.75" customHeight="1">
      <c r="A93" s="1"/>
      <c r="B93" s="9"/>
      <c r="C93" s="63"/>
      <c r="D93" s="64"/>
      <c r="E93" s="65"/>
      <c r="F93" s="1"/>
      <c r="G93" s="1"/>
      <c r="H93" s="1"/>
      <c r="I93" s="1"/>
      <c r="J93" s="1"/>
      <c r="K93" s="1"/>
      <c r="L93" s="1"/>
      <c r="M93" s="1"/>
      <c r="N93" s="1"/>
    </row>
    <row r="94" spans="1:14" ht="12.75" customHeight="1">
      <c r="A94" s="1"/>
      <c r="B94" s="9"/>
      <c r="C94" s="63"/>
      <c r="D94" s="64"/>
      <c r="E94" s="65"/>
      <c r="F94" s="1"/>
      <c r="G94" s="1"/>
      <c r="H94" s="1"/>
      <c r="I94" s="1"/>
      <c r="J94" s="1"/>
      <c r="K94" s="1"/>
      <c r="L94" s="1"/>
      <c r="M94" s="1"/>
      <c r="N94" s="1"/>
    </row>
    <row r="95" spans="1:14" ht="12.75" customHeight="1">
      <c r="A95" s="1"/>
      <c r="B95" s="9"/>
      <c r="C95" s="63"/>
      <c r="D95" s="64"/>
      <c r="E95" s="65"/>
      <c r="F95" s="1"/>
      <c r="G95" s="1"/>
      <c r="H95" s="1"/>
      <c r="I95" s="1"/>
      <c r="J95" s="1"/>
      <c r="K95" s="1"/>
      <c r="L95" s="1"/>
      <c r="M95" s="1"/>
      <c r="N95" s="1"/>
    </row>
    <row r="96" spans="1:14" ht="12.75" customHeight="1">
      <c r="A96" s="1"/>
      <c r="B96" s="9"/>
      <c r="C96" s="63"/>
      <c r="D96" s="64"/>
      <c r="E96" s="65"/>
      <c r="F96" s="1"/>
      <c r="G96" s="1"/>
      <c r="H96" s="1"/>
      <c r="I96" s="1"/>
      <c r="J96" s="1"/>
      <c r="K96" s="1"/>
      <c r="L96" s="1"/>
      <c r="M96" s="1"/>
      <c r="N96" s="1"/>
    </row>
    <row r="97" spans="1:14" ht="12.75" customHeight="1">
      <c r="A97" s="1"/>
      <c r="B97" s="9"/>
      <c r="C97" s="63"/>
      <c r="D97" s="64"/>
      <c r="E97" s="65"/>
      <c r="F97" s="1"/>
      <c r="G97" s="1"/>
      <c r="H97" s="1"/>
      <c r="I97" s="1"/>
      <c r="J97" s="1"/>
      <c r="K97" s="1"/>
      <c r="L97" s="1"/>
      <c r="M97" s="1"/>
      <c r="N97" s="1"/>
    </row>
  </sheetData>
  <mergeCells count="4">
    <mergeCell ref="B2:E2"/>
    <mergeCell ref="B3:E3"/>
    <mergeCell ref="B4:E4"/>
    <mergeCell ref="B5:E5"/>
  </mergeCells>
  <printOptions horizontalCentered="1"/>
  <pageMargins left="0.70866141732283472" right="0.70866141732283472" top="0.74803149606299213" bottom="0.74803149606299213"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71"/>
  <sheetViews>
    <sheetView topLeftCell="A7" zoomScaleNormal="100" workbookViewId="0">
      <selection activeCell="E23" sqref="E23"/>
    </sheetView>
  </sheetViews>
  <sheetFormatPr defaultColWidth="14.44140625" defaultRowHeight="15" customHeight="1"/>
  <cols>
    <col min="1" max="1" width="3.33203125" customWidth="1"/>
    <col min="2" max="2" width="62" customWidth="1"/>
    <col min="3" max="3" width="23" customWidth="1"/>
    <col min="4" max="4" width="10.6640625" customWidth="1"/>
    <col min="5" max="5" width="11.44140625" customWidth="1"/>
    <col min="6" max="6" width="13.109375" customWidth="1"/>
    <col min="7" max="15" width="11.44140625" customWidth="1"/>
  </cols>
  <sheetData>
    <row r="1" spans="1:15" ht="42" customHeight="1">
      <c r="A1" s="1"/>
      <c r="B1" s="3"/>
      <c r="C1" s="4"/>
      <c r="D1" s="5"/>
      <c r="E1" s="1"/>
      <c r="F1" s="1"/>
      <c r="G1" s="1"/>
      <c r="H1" s="1"/>
      <c r="I1" s="1"/>
      <c r="J1" s="1"/>
      <c r="K1" s="1"/>
      <c r="L1" s="1"/>
      <c r="M1" s="1"/>
      <c r="N1" s="1"/>
      <c r="O1" s="1"/>
    </row>
    <row r="2" spans="1:15" ht="19.5" customHeight="1">
      <c r="A2" s="1"/>
      <c r="B2" s="434"/>
      <c r="C2" s="430"/>
      <c r="D2" s="430"/>
      <c r="E2" s="1"/>
      <c r="F2" s="1"/>
      <c r="G2" s="1"/>
      <c r="H2" s="1"/>
      <c r="I2" s="1"/>
      <c r="J2" s="1"/>
      <c r="K2" s="1"/>
      <c r="L2" s="1"/>
      <c r="M2" s="1"/>
      <c r="N2" s="1"/>
      <c r="O2" s="1"/>
    </row>
    <row r="3" spans="1:15" ht="19.5" customHeight="1">
      <c r="A3" s="1"/>
      <c r="B3" s="434"/>
      <c r="C3" s="430"/>
      <c r="D3" s="430"/>
      <c r="E3" s="1"/>
      <c r="F3" s="1"/>
      <c r="G3" s="1"/>
      <c r="H3" s="1"/>
      <c r="I3" s="1"/>
      <c r="J3" s="1"/>
      <c r="K3" s="1"/>
      <c r="L3" s="1"/>
      <c r="M3" s="1"/>
      <c r="N3" s="1"/>
      <c r="O3" s="1"/>
    </row>
    <row r="4" spans="1:15" ht="18" customHeight="1">
      <c r="A4" s="1"/>
      <c r="B4" s="9"/>
      <c r="E4" s="1"/>
      <c r="F4" s="1"/>
      <c r="G4" s="1"/>
      <c r="H4" s="1"/>
      <c r="I4" s="1"/>
      <c r="J4" s="1"/>
      <c r="K4" s="1"/>
      <c r="L4" s="1"/>
      <c r="M4" s="1"/>
      <c r="N4" s="1"/>
      <c r="O4" s="1"/>
    </row>
    <row r="5" spans="1:15" ht="12.75" customHeight="1">
      <c r="A5" s="1"/>
      <c r="B5" s="434"/>
      <c r="C5" s="430"/>
      <c r="D5" s="430"/>
      <c r="E5" s="1"/>
      <c r="F5" s="1"/>
      <c r="G5" s="1"/>
      <c r="H5" s="1"/>
      <c r="I5" s="1"/>
      <c r="J5" s="1"/>
      <c r="K5" s="1"/>
      <c r="L5" s="1"/>
      <c r="M5" s="1"/>
      <c r="N5" s="1"/>
      <c r="O5" s="1"/>
    </row>
    <row r="6" spans="1:15" ht="12.75" customHeight="1" thickBot="1">
      <c r="A6" s="1"/>
      <c r="B6" s="434"/>
      <c r="C6" s="430"/>
      <c r="D6" s="430"/>
      <c r="E6" s="1"/>
      <c r="F6" s="1"/>
      <c r="G6" s="1"/>
      <c r="H6" s="1"/>
      <c r="I6" s="1"/>
      <c r="J6" s="1"/>
      <c r="K6" s="1"/>
      <c r="L6" s="1"/>
      <c r="M6" s="1"/>
      <c r="N6" s="1"/>
      <c r="O6" s="1"/>
    </row>
    <row r="7" spans="1:15" ht="12.6" customHeight="1" thickBot="1">
      <c r="A7" s="1"/>
      <c r="B7" s="73" t="s">
        <v>61</v>
      </c>
      <c r="C7" s="73" t="s">
        <v>62</v>
      </c>
      <c r="D7" s="405" t="s">
        <v>63</v>
      </c>
      <c r="E7" s="1"/>
      <c r="F7" s="1"/>
      <c r="G7" s="1"/>
      <c r="H7" s="1"/>
      <c r="I7" s="1"/>
      <c r="J7" s="1"/>
      <c r="K7" s="1"/>
      <c r="L7" s="1"/>
      <c r="M7" s="1"/>
      <c r="N7" s="1"/>
      <c r="O7" s="1"/>
    </row>
    <row r="8" spans="1:15" ht="15.6" customHeight="1" thickBot="1">
      <c r="A8" s="1"/>
      <c r="B8" s="407" t="s">
        <v>10</v>
      </c>
      <c r="C8" s="1"/>
      <c r="D8" s="406"/>
      <c r="E8" s="1"/>
      <c r="F8" s="1"/>
      <c r="G8" s="1"/>
      <c r="H8" s="1"/>
      <c r="I8" s="1"/>
      <c r="J8" s="1"/>
      <c r="K8" s="1"/>
      <c r="L8" s="1"/>
      <c r="M8" s="1"/>
      <c r="N8" s="1"/>
      <c r="O8" s="1"/>
    </row>
    <row r="9" spans="1:15" ht="387" customHeight="1">
      <c r="A9" s="1"/>
      <c r="B9" s="380" t="s">
        <v>485</v>
      </c>
      <c r="C9" s="401" t="s">
        <v>502</v>
      </c>
      <c r="D9" s="381">
        <v>1</v>
      </c>
      <c r="E9" s="1"/>
      <c r="F9" s="1"/>
      <c r="G9" s="1"/>
      <c r="H9" s="1"/>
      <c r="I9" s="1"/>
      <c r="J9" s="1"/>
      <c r="K9" s="1"/>
      <c r="L9" s="1"/>
      <c r="M9" s="1"/>
      <c r="N9" s="1"/>
      <c r="O9" s="1"/>
    </row>
    <row r="10" spans="1:15" ht="18.600000000000001" customHeight="1">
      <c r="A10" s="39"/>
      <c r="B10" s="383" t="s">
        <v>13</v>
      </c>
      <c r="C10" s="398"/>
      <c r="D10" s="385"/>
      <c r="E10" s="74"/>
      <c r="F10" s="39"/>
      <c r="G10" s="39"/>
      <c r="H10" s="39"/>
      <c r="I10" s="39"/>
      <c r="J10" s="39"/>
      <c r="K10" s="39"/>
      <c r="L10" s="39"/>
      <c r="M10" s="39"/>
      <c r="N10" s="39"/>
      <c r="O10" s="39"/>
    </row>
    <row r="11" spans="1:15" ht="161.4" customHeight="1">
      <c r="A11" s="1"/>
      <c r="B11" s="386" t="s">
        <v>14</v>
      </c>
      <c r="C11" s="397" t="s">
        <v>502</v>
      </c>
      <c r="D11" s="381">
        <v>1</v>
      </c>
      <c r="E11" s="1"/>
      <c r="F11" s="1"/>
      <c r="G11" s="1"/>
      <c r="H11" s="1"/>
      <c r="I11" s="1"/>
      <c r="J11" s="1"/>
      <c r="K11" s="1"/>
      <c r="L11" s="1"/>
      <c r="M11" s="1"/>
      <c r="N11" s="1"/>
      <c r="O11" s="1"/>
    </row>
    <row r="12" spans="1:15" ht="148.19999999999999" customHeight="1">
      <c r="A12" s="1"/>
      <c r="B12" s="386" t="s">
        <v>16</v>
      </c>
      <c r="C12" s="397" t="s">
        <v>503</v>
      </c>
      <c r="D12" s="381">
        <v>1</v>
      </c>
      <c r="E12" s="1"/>
      <c r="F12" s="1"/>
      <c r="G12" s="1"/>
      <c r="H12" s="1"/>
      <c r="I12" s="1"/>
      <c r="J12" s="1"/>
      <c r="K12" s="1"/>
      <c r="L12" s="1"/>
      <c r="M12" s="1"/>
      <c r="N12" s="1"/>
      <c r="O12" s="1"/>
    </row>
    <row r="13" spans="1:15" ht="140.4" customHeight="1">
      <c r="A13" s="1"/>
      <c r="B13" s="386" t="s">
        <v>18</v>
      </c>
      <c r="C13" s="397" t="s">
        <v>504</v>
      </c>
      <c r="D13" s="381">
        <v>15</v>
      </c>
      <c r="E13" s="1"/>
      <c r="F13" s="1"/>
      <c r="G13" s="1"/>
      <c r="H13" s="1"/>
      <c r="I13" s="1"/>
      <c r="J13" s="1"/>
      <c r="K13" s="1"/>
      <c r="L13" s="1"/>
      <c r="M13" s="1"/>
      <c r="N13" s="1"/>
      <c r="O13" s="1"/>
    </row>
    <row r="14" spans="1:15" ht="148.19999999999999" customHeight="1">
      <c r="A14" s="1"/>
      <c r="B14" s="386" t="s">
        <v>20</v>
      </c>
      <c r="C14" s="397" t="s">
        <v>503</v>
      </c>
      <c r="D14" s="381">
        <v>1</v>
      </c>
      <c r="E14" s="1"/>
      <c r="F14" s="1"/>
      <c r="G14" s="1"/>
      <c r="H14" s="1"/>
      <c r="I14" s="1"/>
      <c r="J14" s="1"/>
      <c r="K14" s="1"/>
      <c r="L14" s="1"/>
      <c r="M14" s="1"/>
      <c r="N14" s="1"/>
      <c r="O14" s="1"/>
    </row>
    <row r="15" spans="1:15" ht="129.6" customHeight="1">
      <c r="A15" s="1"/>
      <c r="B15" s="355" t="s">
        <v>477</v>
      </c>
      <c r="C15" s="397" t="s">
        <v>503</v>
      </c>
      <c r="D15" s="381">
        <v>1</v>
      </c>
      <c r="E15" s="1"/>
      <c r="F15" s="1"/>
      <c r="G15" s="1"/>
      <c r="H15" s="1"/>
      <c r="I15" s="1"/>
      <c r="J15" s="1"/>
      <c r="K15" s="1"/>
      <c r="L15" s="1"/>
      <c r="M15" s="1"/>
      <c r="N15" s="1"/>
      <c r="O15" s="1"/>
    </row>
    <row r="16" spans="1:15" ht="146.4" customHeight="1" thickBot="1">
      <c r="A16" s="1"/>
      <c r="B16" s="386" t="s">
        <v>21</v>
      </c>
      <c r="C16" s="397" t="s">
        <v>503</v>
      </c>
      <c r="D16" s="381">
        <v>1</v>
      </c>
      <c r="E16" s="1"/>
      <c r="F16" s="1"/>
      <c r="G16" s="1"/>
      <c r="H16" s="1"/>
      <c r="I16" s="1"/>
      <c r="J16" s="1"/>
      <c r="K16" s="1"/>
      <c r="L16" s="1"/>
      <c r="M16" s="1"/>
      <c r="N16" s="1"/>
      <c r="O16" s="1"/>
    </row>
    <row r="17" spans="1:15" ht="48.6" customHeight="1" thickBot="1">
      <c r="A17" s="1"/>
      <c r="B17" s="383" t="s">
        <v>22</v>
      </c>
      <c r="C17" s="399"/>
      <c r="D17" s="388"/>
      <c r="E17" s="1"/>
      <c r="F17" s="1"/>
      <c r="G17" s="1"/>
      <c r="H17" s="1"/>
      <c r="I17" s="1"/>
      <c r="J17" s="1"/>
      <c r="K17" s="1"/>
      <c r="L17" s="1"/>
      <c r="M17" s="1"/>
      <c r="N17" s="1"/>
      <c r="O17" s="1"/>
    </row>
    <row r="18" spans="1:15" ht="129.6" customHeight="1">
      <c r="A18" s="1"/>
      <c r="B18" s="358" t="s">
        <v>23</v>
      </c>
      <c r="C18" s="400" t="s">
        <v>505</v>
      </c>
      <c r="D18" s="414">
        <v>27</v>
      </c>
      <c r="E18" s="1"/>
      <c r="F18" s="19"/>
      <c r="G18" s="1"/>
      <c r="H18" s="1"/>
      <c r="I18" s="1"/>
      <c r="J18" s="1"/>
      <c r="K18" s="1"/>
      <c r="L18" s="1"/>
      <c r="M18" s="1"/>
      <c r="N18" s="1"/>
      <c r="O18" s="1"/>
    </row>
    <row r="19" spans="1:15" ht="117" customHeight="1">
      <c r="A19" s="1"/>
      <c r="B19" s="363" t="s">
        <v>25</v>
      </c>
      <c r="C19" s="401" t="s">
        <v>506</v>
      </c>
      <c r="D19" s="414">
        <v>15</v>
      </c>
      <c r="E19" s="1"/>
      <c r="F19" s="19"/>
      <c r="G19" s="1"/>
      <c r="H19" s="1"/>
      <c r="I19" s="1"/>
      <c r="J19" s="1"/>
      <c r="K19" s="1"/>
      <c r="L19" s="1"/>
      <c r="M19" s="1"/>
      <c r="N19" s="1"/>
      <c r="O19" s="1"/>
    </row>
    <row r="20" spans="1:15" ht="134.4" customHeight="1">
      <c r="A20" s="1"/>
      <c r="B20" s="363" t="s">
        <v>27</v>
      </c>
      <c r="C20" s="401" t="s">
        <v>507</v>
      </c>
      <c r="D20" s="360">
        <v>6.25</v>
      </c>
      <c r="E20" s="1"/>
      <c r="F20" s="1"/>
      <c r="G20" s="1"/>
      <c r="H20" s="1"/>
      <c r="I20" s="1"/>
      <c r="J20" s="1"/>
      <c r="K20" s="1"/>
      <c r="L20" s="1"/>
      <c r="M20" s="1"/>
      <c r="N20" s="1"/>
      <c r="O20" s="1"/>
    </row>
    <row r="21" spans="1:15" ht="118.95" customHeight="1">
      <c r="A21" s="20"/>
      <c r="B21" s="363" t="s">
        <v>29</v>
      </c>
      <c r="C21" s="401" t="s">
        <v>506</v>
      </c>
      <c r="D21" s="360">
        <v>0.78</v>
      </c>
      <c r="E21" s="1"/>
      <c r="F21" s="1"/>
      <c r="G21" s="1"/>
      <c r="H21" s="1"/>
      <c r="I21" s="1"/>
      <c r="J21" s="1"/>
      <c r="K21" s="1"/>
      <c r="L21" s="1"/>
      <c r="M21" s="1"/>
      <c r="N21" s="1"/>
      <c r="O21" s="1"/>
    </row>
    <row r="22" spans="1:15" ht="45" customHeight="1">
      <c r="A22" s="20"/>
      <c r="B22" s="363" t="s">
        <v>30</v>
      </c>
      <c r="C22" s="401" t="s">
        <v>507</v>
      </c>
      <c r="D22" s="360">
        <v>5.47</v>
      </c>
      <c r="E22" s="1"/>
      <c r="F22" s="1"/>
      <c r="G22" s="1"/>
      <c r="H22" s="1"/>
      <c r="I22" s="1"/>
      <c r="J22" s="1"/>
      <c r="K22" s="1"/>
      <c r="L22" s="1"/>
      <c r="M22" s="1"/>
      <c r="N22" s="1"/>
      <c r="O22" s="1"/>
    </row>
    <row r="23" spans="1:15" ht="120.6" customHeight="1">
      <c r="A23" s="20"/>
      <c r="B23" s="363" t="s">
        <v>31</v>
      </c>
      <c r="C23" s="401" t="s">
        <v>507</v>
      </c>
      <c r="D23" s="360">
        <v>7.81</v>
      </c>
      <c r="E23" s="1"/>
      <c r="F23" s="1"/>
      <c r="G23" s="1"/>
      <c r="H23" s="1"/>
      <c r="I23" s="1"/>
      <c r="J23" s="1"/>
      <c r="K23" s="1"/>
      <c r="L23" s="1"/>
      <c r="M23" s="1"/>
      <c r="N23" s="1"/>
      <c r="O23" s="1"/>
    </row>
    <row r="24" spans="1:15" ht="109.2" customHeight="1">
      <c r="A24" s="20"/>
      <c r="B24" s="363" t="s">
        <v>480</v>
      </c>
      <c r="C24" s="401" t="s">
        <v>507</v>
      </c>
      <c r="D24" s="360">
        <v>0.45</v>
      </c>
      <c r="E24" s="1"/>
      <c r="F24" s="1"/>
      <c r="G24" s="1"/>
      <c r="H24" s="1"/>
      <c r="I24" s="1"/>
      <c r="J24" s="1"/>
      <c r="K24" s="1"/>
      <c r="L24" s="1"/>
      <c r="M24" s="1"/>
      <c r="N24" s="1"/>
      <c r="O24" s="1"/>
    </row>
    <row r="25" spans="1:15" ht="105.6" customHeight="1">
      <c r="A25" s="1"/>
      <c r="B25" s="363" t="s">
        <v>481</v>
      </c>
      <c r="C25" s="401" t="s">
        <v>507</v>
      </c>
      <c r="D25" s="360">
        <v>0.3</v>
      </c>
      <c r="E25" s="1"/>
      <c r="F25" s="1"/>
      <c r="G25" s="1"/>
      <c r="H25" s="1"/>
      <c r="I25" s="1"/>
      <c r="J25" s="1"/>
      <c r="K25" s="1"/>
      <c r="L25" s="1"/>
      <c r="M25" s="1"/>
      <c r="N25" s="1"/>
      <c r="O25" s="1"/>
    </row>
    <row r="26" spans="1:15" ht="106.95" customHeight="1">
      <c r="A26" s="20"/>
      <c r="B26" s="363" t="s">
        <v>482</v>
      </c>
      <c r="C26" s="401" t="s">
        <v>506</v>
      </c>
      <c r="D26" s="414">
        <v>15</v>
      </c>
      <c r="E26" s="1"/>
      <c r="F26" s="1"/>
      <c r="G26" s="1"/>
      <c r="H26" s="1"/>
      <c r="I26" s="1"/>
      <c r="J26" s="1"/>
      <c r="K26" s="1"/>
      <c r="L26" s="1"/>
      <c r="M26" s="1"/>
      <c r="N26" s="1"/>
      <c r="O26" s="1"/>
    </row>
    <row r="27" spans="1:15" ht="106.95" customHeight="1">
      <c r="A27" s="1"/>
      <c r="B27" s="410" t="s">
        <v>483</v>
      </c>
      <c r="C27" s="401" t="s">
        <v>511</v>
      </c>
      <c r="D27" s="414">
        <v>222</v>
      </c>
      <c r="E27" s="1"/>
      <c r="F27" s="1"/>
      <c r="G27" s="1"/>
      <c r="H27" s="1"/>
      <c r="I27" s="1"/>
      <c r="J27" s="1"/>
      <c r="K27" s="1"/>
      <c r="L27" s="1"/>
      <c r="M27" s="1"/>
      <c r="N27" s="1"/>
      <c r="O27" s="1"/>
    </row>
    <row r="28" spans="1:15" ht="122.4" customHeight="1">
      <c r="A28" s="20"/>
      <c r="B28" s="363" t="s">
        <v>32</v>
      </c>
      <c r="C28" s="401" t="s">
        <v>64</v>
      </c>
      <c r="D28" s="360">
        <v>4.4400000000000004</v>
      </c>
      <c r="E28" s="20"/>
      <c r="F28" s="20"/>
      <c r="G28" s="20"/>
      <c r="H28" s="20"/>
      <c r="I28" s="20"/>
      <c r="J28" s="20"/>
      <c r="K28" s="20"/>
      <c r="L28" s="20"/>
      <c r="M28" s="20"/>
      <c r="N28" s="20"/>
      <c r="O28" s="20"/>
    </row>
    <row r="29" spans="1:15" ht="100.2" customHeight="1" thickBot="1">
      <c r="A29" s="1"/>
      <c r="B29" s="363" t="s">
        <v>33</v>
      </c>
      <c r="C29" s="402" t="s">
        <v>64</v>
      </c>
      <c r="D29" s="360">
        <v>21.49</v>
      </c>
      <c r="E29" s="1"/>
      <c r="F29" s="1"/>
      <c r="G29" s="1"/>
      <c r="H29" s="1"/>
      <c r="I29" s="1"/>
      <c r="J29" s="1"/>
      <c r="K29" s="1"/>
      <c r="L29" s="1"/>
      <c r="M29" s="1"/>
      <c r="N29" s="1"/>
      <c r="O29" s="1"/>
    </row>
    <row r="30" spans="1:15" ht="117" customHeight="1" thickBot="1">
      <c r="A30" s="20"/>
      <c r="B30" s="363" t="s">
        <v>484</v>
      </c>
      <c r="C30" s="402" t="s">
        <v>510</v>
      </c>
      <c r="D30" s="360">
        <v>1</v>
      </c>
      <c r="E30" s="1"/>
      <c r="F30" s="1"/>
      <c r="G30" s="1"/>
      <c r="H30" s="1"/>
      <c r="I30" s="1"/>
      <c r="J30" s="1"/>
      <c r="K30" s="1"/>
      <c r="L30" s="1"/>
      <c r="M30" s="1"/>
      <c r="N30" s="1"/>
      <c r="O30" s="1"/>
    </row>
    <row r="31" spans="1:15" ht="68.400000000000006" customHeight="1" thickBot="1">
      <c r="A31" s="1"/>
      <c r="B31" s="363" t="s">
        <v>34</v>
      </c>
      <c r="C31" s="409" t="s">
        <v>508</v>
      </c>
      <c r="D31" s="360">
        <v>71.260000000000005</v>
      </c>
      <c r="E31" s="1"/>
      <c r="F31" s="1"/>
      <c r="G31" s="1"/>
      <c r="H31" s="1"/>
      <c r="I31" s="1"/>
      <c r="J31" s="1"/>
      <c r="K31" s="1"/>
      <c r="L31" s="1"/>
      <c r="M31" s="1"/>
      <c r="N31" s="1"/>
      <c r="O31" s="1"/>
    </row>
    <row r="32" spans="1:15" ht="81" customHeight="1" thickBot="1">
      <c r="A32" s="1"/>
      <c r="B32" s="363" t="s">
        <v>35</v>
      </c>
      <c r="C32" s="402" t="s">
        <v>509</v>
      </c>
      <c r="D32" s="360">
        <v>24.65</v>
      </c>
      <c r="E32" s="1"/>
      <c r="F32" s="1"/>
      <c r="G32" s="1"/>
      <c r="H32" s="1"/>
      <c r="I32" s="1"/>
      <c r="J32" s="1"/>
      <c r="K32" s="1"/>
      <c r="L32" s="1"/>
      <c r="M32" s="1"/>
      <c r="N32" s="1"/>
      <c r="O32" s="1"/>
    </row>
    <row r="33" spans="1:15" ht="66" customHeight="1" thickBot="1">
      <c r="A33" s="20"/>
      <c r="B33" s="363" t="s">
        <v>36</v>
      </c>
      <c r="C33" s="402" t="s">
        <v>508</v>
      </c>
      <c r="D33" s="360">
        <v>5.5</v>
      </c>
      <c r="E33" s="1"/>
      <c r="F33" s="1"/>
      <c r="G33" s="1"/>
      <c r="H33" s="1"/>
      <c r="I33" s="1"/>
      <c r="J33" s="1"/>
      <c r="K33" s="1"/>
      <c r="L33" s="1"/>
      <c r="M33" s="1"/>
      <c r="N33" s="1"/>
      <c r="O33" s="1"/>
    </row>
    <row r="34" spans="1:15" ht="12.75" customHeight="1">
      <c r="A34" s="1"/>
      <c r="B34" s="383" t="s">
        <v>37</v>
      </c>
      <c r="C34" s="408"/>
      <c r="D34" s="393"/>
      <c r="E34" s="1"/>
      <c r="F34" s="1"/>
      <c r="G34" s="1"/>
      <c r="H34" s="1"/>
      <c r="I34" s="1"/>
      <c r="J34" s="1"/>
      <c r="K34" s="1"/>
      <c r="L34" s="1"/>
      <c r="M34" s="1"/>
      <c r="N34" s="1"/>
      <c r="O34" s="1"/>
    </row>
    <row r="35" spans="1:15" ht="133.19999999999999" customHeight="1">
      <c r="A35" s="1"/>
      <c r="B35" s="394" t="s">
        <v>38</v>
      </c>
      <c r="C35" s="401" t="s">
        <v>65</v>
      </c>
      <c r="D35" s="396">
        <v>2</v>
      </c>
      <c r="E35" s="1"/>
      <c r="F35" s="1"/>
      <c r="G35" s="1"/>
      <c r="H35" s="1"/>
      <c r="I35" s="1"/>
      <c r="J35" s="1"/>
      <c r="K35" s="1"/>
      <c r="L35" s="1"/>
      <c r="M35" s="1"/>
      <c r="N35" s="1"/>
      <c r="O35" s="1"/>
    </row>
    <row r="36" spans="1:15" ht="78" customHeight="1">
      <c r="A36" s="1"/>
      <c r="B36" s="394" t="s">
        <v>39</v>
      </c>
      <c r="C36" s="401" t="s">
        <v>65</v>
      </c>
      <c r="D36" s="396">
        <v>2</v>
      </c>
      <c r="E36" s="1"/>
      <c r="F36" s="1"/>
      <c r="G36" s="1"/>
      <c r="H36" s="1"/>
      <c r="I36" s="1"/>
      <c r="J36" s="1"/>
      <c r="K36" s="1"/>
      <c r="L36" s="1"/>
      <c r="M36" s="1"/>
      <c r="N36" s="1"/>
      <c r="O36" s="1"/>
    </row>
    <row r="37" spans="1:15" ht="90" customHeight="1">
      <c r="A37" s="1"/>
      <c r="B37" s="394" t="s">
        <v>40</v>
      </c>
      <c r="C37" s="401" t="s">
        <v>65</v>
      </c>
      <c r="D37" s="396">
        <v>1</v>
      </c>
      <c r="E37" s="1"/>
      <c r="F37" s="1"/>
      <c r="G37" s="1"/>
      <c r="H37" s="1"/>
      <c r="I37" s="1"/>
      <c r="J37" s="1"/>
      <c r="K37" s="1"/>
      <c r="L37" s="1"/>
      <c r="M37" s="1"/>
      <c r="N37" s="1"/>
      <c r="O37" s="1"/>
    </row>
    <row r="38" spans="1:15" ht="149.4" customHeight="1">
      <c r="A38" s="1"/>
      <c r="B38" s="394" t="s">
        <v>41</v>
      </c>
      <c r="C38" s="401" t="s">
        <v>65</v>
      </c>
      <c r="D38" s="396">
        <v>1</v>
      </c>
      <c r="E38" s="1"/>
      <c r="F38" s="1"/>
      <c r="G38" s="1"/>
      <c r="H38" s="1"/>
      <c r="I38" s="1"/>
      <c r="J38" s="1"/>
      <c r="K38" s="1"/>
      <c r="L38" s="1"/>
      <c r="M38" s="1"/>
      <c r="N38" s="1"/>
      <c r="O38" s="1"/>
    </row>
    <row r="39" spans="1:15" ht="12.6" customHeight="1">
      <c r="A39" s="1"/>
      <c r="B39" s="63"/>
      <c r="C39" s="64"/>
      <c r="D39" s="65"/>
      <c r="E39" s="1"/>
      <c r="F39" s="1"/>
      <c r="G39" s="1"/>
      <c r="H39" s="1"/>
      <c r="I39" s="1"/>
      <c r="J39" s="1"/>
      <c r="K39" s="1"/>
      <c r="L39" s="1"/>
      <c r="M39" s="1"/>
      <c r="N39" s="1"/>
      <c r="O39" s="1"/>
    </row>
    <row r="40" spans="1:15" ht="12.6" customHeight="1">
      <c r="A40" s="1"/>
      <c r="B40" s="63"/>
      <c r="C40" s="64"/>
      <c r="D40" s="65"/>
      <c r="E40" s="39"/>
      <c r="F40" s="1"/>
      <c r="G40" s="1"/>
      <c r="H40" s="1"/>
      <c r="I40" s="1"/>
      <c r="J40" s="1"/>
      <c r="K40" s="1"/>
      <c r="L40" s="1"/>
      <c r="M40" s="1"/>
      <c r="N40" s="1"/>
      <c r="O40" s="1"/>
    </row>
    <row r="41" spans="1:15" ht="12.6" customHeight="1">
      <c r="A41" s="1"/>
      <c r="B41" s="68"/>
      <c r="C41" s="64"/>
      <c r="D41" s="65"/>
      <c r="E41" s="39"/>
      <c r="F41" s="1"/>
      <c r="G41" s="1"/>
      <c r="H41" s="1"/>
      <c r="I41" s="1"/>
      <c r="J41" s="1"/>
      <c r="K41" s="1"/>
      <c r="L41" s="1"/>
      <c r="M41" s="1"/>
      <c r="N41" s="1"/>
      <c r="O41" s="1"/>
    </row>
    <row r="42" spans="1:15" ht="12.6" customHeight="1">
      <c r="A42" s="1"/>
      <c r="B42" s="70"/>
      <c r="C42" s="64"/>
      <c r="D42" s="65"/>
      <c r="E42" s="1"/>
      <c r="F42" s="1"/>
      <c r="G42" s="1"/>
      <c r="H42" s="1"/>
      <c r="I42" s="1"/>
      <c r="J42" s="1"/>
      <c r="K42" s="1"/>
      <c r="L42" s="1"/>
      <c r="M42" s="1"/>
      <c r="N42" s="1"/>
      <c r="O42" s="1"/>
    </row>
    <row r="43" spans="1:15" ht="12.6" customHeight="1">
      <c r="A43" s="1"/>
      <c r="B43" s="63"/>
      <c r="C43" s="64"/>
      <c r="D43" s="65"/>
      <c r="E43" s="1"/>
      <c r="F43" s="1"/>
      <c r="G43" s="1"/>
      <c r="H43" s="1"/>
      <c r="I43" s="1"/>
      <c r="J43" s="1"/>
      <c r="K43" s="1"/>
      <c r="L43" s="1"/>
      <c r="M43" s="1"/>
      <c r="N43" s="1"/>
      <c r="O43" s="1"/>
    </row>
    <row r="44" spans="1:15" ht="44.4" customHeight="1">
      <c r="A44" s="1"/>
      <c r="B44" s="63"/>
      <c r="C44" s="64"/>
      <c r="D44" s="65"/>
      <c r="E44" s="1"/>
      <c r="F44" s="1"/>
      <c r="G44" s="1"/>
      <c r="H44" s="1"/>
      <c r="I44" s="1"/>
      <c r="J44" s="1"/>
      <c r="K44" s="1"/>
      <c r="L44" s="1"/>
      <c r="M44" s="1"/>
      <c r="N44" s="1"/>
      <c r="O44" s="1"/>
    </row>
    <row r="45" spans="1:15" ht="44.4" customHeight="1">
      <c r="A45" s="1"/>
      <c r="B45" s="63"/>
      <c r="C45" s="64"/>
      <c r="D45" s="65"/>
      <c r="E45" s="1"/>
      <c r="F45" s="1"/>
      <c r="G45" s="1"/>
      <c r="H45" s="1"/>
      <c r="I45" s="1"/>
      <c r="J45" s="1"/>
      <c r="K45" s="1"/>
      <c r="L45" s="1"/>
      <c r="M45" s="1"/>
      <c r="N45" s="1"/>
      <c r="O45" s="1"/>
    </row>
    <row r="46" spans="1:15" ht="44.4" customHeight="1">
      <c r="A46" s="1"/>
      <c r="B46" s="63"/>
      <c r="C46" s="64"/>
      <c r="D46" s="65"/>
      <c r="E46" s="1"/>
      <c r="F46" s="1"/>
      <c r="G46" s="1"/>
      <c r="H46" s="1"/>
      <c r="I46" s="1"/>
      <c r="J46" s="1"/>
      <c r="K46" s="1"/>
      <c r="L46" s="1"/>
      <c r="M46" s="1"/>
      <c r="N46" s="1"/>
      <c r="O46" s="1"/>
    </row>
    <row r="47" spans="1:15" ht="44.4" customHeight="1">
      <c r="A47" s="1"/>
      <c r="B47" s="63"/>
      <c r="C47" s="64"/>
      <c r="D47" s="65"/>
      <c r="E47" s="1"/>
      <c r="F47" s="1"/>
      <c r="G47" s="1"/>
      <c r="H47" s="1"/>
      <c r="I47" s="1"/>
      <c r="J47" s="1"/>
      <c r="K47" s="1"/>
      <c r="L47" s="1"/>
      <c r="M47" s="1"/>
      <c r="N47" s="1"/>
      <c r="O47" s="1"/>
    </row>
    <row r="48" spans="1:15" ht="44.4" customHeight="1">
      <c r="A48" s="1"/>
      <c r="B48" s="63"/>
      <c r="C48" s="64"/>
      <c r="D48" s="65"/>
      <c r="E48" s="1"/>
      <c r="F48" s="1"/>
      <c r="G48" s="1"/>
      <c r="H48" s="1"/>
      <c r="I48" s="1"/>
      <c r="J48" s="1"/>
      <c r="K48" s="1"/>
      <c r="L48" s="1"/>
      <c r="M48" s="1"/>
      <c r="N48" s="1"/>
      <c r="O48" s="1"/>
    </row>
    <row r="49" spans="1:15" ht="12.75" customHeight="1">
      <c r="A49" s="1"/>
      <c r="B49" s="63"/>
      <c r="C49" s="64"/>
      <c r="D49" s="65"/>
      <c r="E49" s="1"/>
      <c r="F49" s="1"/>
      <c r="G49" s="1"/>
      <c r="H49" s="1"/>
      <c r="I49" s="1"/>
      <c r="J49" s="1"/>
      <c r="K49" s="1"/>
      <c r="L49" s="1"/>
      <c r="M49" s="1"/>
      <c r="N49" s="1"/>
      <c r="O49" s="1"/>
    </row>
    <row r="50" spans="1:15" ht="12.75" customHeight="1">
      <c r="A50" s="1"/>
      <c r="B50" s="63"/>
      <c r="C50" s="64"/>
      <c r="D50" s="65"/>
      <c r="E50" s="1"/>
      <c r="F50" s="1"/>
      <c r="G50" s="1"/>
      <c r="H50" s="1"/>
      <c r="I50" s="1"/>
      <c r="J50" s="1"/>
      <c r="K50" s="1"/>
      <c r="L50" s="1"/>
      <c r="M50" s="1"/>
      <c r="N50" s="1"/>
      <c r="O50" s="1"/>
    </row>
    <row r="51" spans="1:15" ht="12.75" customHeight="1">
      <c r="A51" s="1"/>
      <c r="B51" s="63"/>
      <c r="C51" s="64"/>
      <c r="D51" s="65"/>
      <c r="E51" s="1"/>
      <c r="F51" s="1"/>
      <c r="G51" s="1"/>
      <c r="H51" s="1"/>
      <c r="I51" s="1"/>
      <c r="J51" s="1"/>
      <c r="K51" s="1"/>
      <c r="L51" s="1"/>
      <c r="M51" s="1"/>
      <c r="N51" s="1"/>
      <c r="O51" s="1"/>
    </row>
    <row r="52" spans="1:15" ht="12.75" customHeight="1">
      <c r="A52" s="1"/>
      <c r="B52" s="63"/>
      <c r="C52" s="64"/>
      <c r="D52" s="65"/>
      <c r="E52" s="1"/>
      <c r="F52" s="1"/>
      <c r="G52" s="1"/>
      <c r="H52" s="1"/>
      <c r="I52" s="1"/>
      <c r="J52" s="1"/>
      <c r="K52" s="1"/>
      <c r="L52" s="1"/>
      <c r="M52" s="1"/>
      <c r="N52" s="1"/>
      <c r="O52" s="1"/>
    </row>
    <row r="53" spans="1:15" ht="12.75" customHeight="1">
      <c r="A53" s="1"/>
      <c r="B53" s="63"/>
      <c r="C53" s="64"/>
      <c r="D53" s="65"/>
      <c r="E53" s="1"/>
      <c r="F53" s="1"/>
      <c r="G53" s="1"/>
      <c r="H53" s="1"/>
      <c r="I53" s="1"/>
      <c r="J53" s="1"/>
      <c r="K53" s="1"/>
      <c r="L53" s="1"/>
      <c r="M53" s="1"/>
      <c r="N53" s="1"/>
      <c r="O53" s="1"/>
    </row>
    <row r="54" spans="1:15" ht="12.75" customHeight="1">
      <c r="A54" s="1"/>
      <c r="B54" s="63"/>
      <c r="C54" s="64"/>
      <c r="D54" s="65"/>
      <c r="E54" s="1"/>
      <c r="F54" s="1"/>
      <c r="G54" s="1"/>
      <c r="H54" s="1"/>
      <c r="I54" s="1"/>
      <c r="J54" s="1"/>
      <c r="K54" s="1"/>
      <c r="L54" s="1"/>
      <c r="M54" s="1"/>
      <c r="N54" s="1"/>
      <c r="O54" s="1"/>
    </row>
    <row r="55" spans="1:15" ht="12.75" customHeight="1">
      <c r="A55" s="1"/>
      <c r="B55" s="63"/>
      <c r="C55" s="64"/>
      <c r="D55" s="65"/>
      <c r="E55" s="1"/>
      <c r="F55" s="1"/>
      <c r="G55" s="1"/>
      <c r="H55" s="1"/>
      <c r="I55" s="1"/>
      <c r="J55" s="1"/>
      <c r="K55" s="1"/>
      <c r="L55" s="1"/>
      <c r="M55" s="1"/>
      <c r="N55" s="1"/>
      <c r="O55" s="1"/>
    </row>
    <row r="56" spans="1:15" ht="12.75" customHeight="1">
      <c r="A56" s="1"/>
      <c r="B56" s="63"/>
      <c r="C56" s="64"/>
      <c r="D56" s="65"/>
      <c r="E56" s="1"/>
      <c r="F56" s="1"/>
      <c r="G56" s="1"/>
      <c r="H56" s="1"/>
      <c r="I56" s="1"/>
      <c r="J56" s="1"/>
      <c r="K56" s="1"/>
      <c r="L56" s="1"/>
      <c r="M56" s="1"/>
      <c r="N56" s="1"/>
      <c r="O56" s="1"/>
    </row>
    <row r="57" spans="1:15" ht="12.75" customHeight="1">
      <c r="A57" s="1"/>
      <c r="B57" s="63"/>
      <c r="C57" s="64"/>
      <c r="D57" s="65"/>
      <c r="E57" s="1"/>
      <c r="F57" s="1"/>
      <c r="G57" s="1"/>
      <c r="H57" s="1"/>
      <c r="I57" s="1"/>
      <c r="J57" s="1"/>
      <c r="K57" s="1"/>
      <c r="L57" s="1"/>
      <c r="M57" s="1"/>
      <c r="N57" s="1"/>
      <c r="O57" s="1"/>
    </row>
    <row r="58" spans="1:15" ht="12.75" customHeight="1">
      <c r="A58" s="1"/>
      <c r="B58" s="63"/>
      <c r="C58" s="64"/>
      <c r="D58" s="65"/>
      <c r="E58" s="1"/>
      <c r="F58" s="1"/>
      <c r="G58" s="1"/>
      <c r="H58" s="1"/>
      <c r="I58" s="1"/>
      <c r="J58" s="1"/>
      <c r="K58" s="1"/>
      <c r="L58" s="1"/>
      <c r="M58" s="1"/>
      <c r="N58" s="1"/>
      <c r="O58" s="1"/>
    </row>
    <row r="59" spans="1:15" ht="12.75" customHeight="1">
      <c r="A59" s="1"/>
      <c r="B59" s="63"/>
      <c r="C59" s="64"/>
      <c r="D59" s="65"/>
      <c r="E59" s="1"/>
      <c r="F59" s="1"/>
      <c r="G59" s="1"/>
      <c r="H59" s="1"/>
      <c r="I59" s="1"/>
      <c r="J59" s="1"/>
      <c r="K59" s="1"/>
      <c r="L59" s="1"/>
      <c r="M59" s="1"/>
      <c r="N59" s="1"/>
      <c r="O59" s="1"/>
    </row>
    <row r="60" spans="1:15" ht="12.75" customHeight="1">
      <c r="A60" s="1"/>
      <c r="B60" s="63"/>
      <c r="C60" s="64"/>
      <c r="D60" s="65"/>
      <c r="E60" s="1"/>
      <c r="F60" s="1"/>
      <c r="G60" s="1"/>
      <c r="H60" s="1"/>
      <c r="I60" s="1"/>
      <c r="J60" s="1"/>
      <c r="K60" s="1"/>
      <c r="L60" s="1"/>
      <c r="M60" s="1"/>
      <c r="N60" s="1"/>
      <c r="O60" s="1"/>
    </row>
    <row r="61" spans="1:15" ht="12.75" customHeight="1">
      <c r="A61" s="1"/>
      <c r="B61" s="63"/>
      <c r="C61" s="64"/>
      <c r="D61" s="65"/>
      <c r="E61" s="1"/>
      <c r="F61" s="1"/>
      <c r="G61" s="1"/>
      <c r="H61" s="1"/>
      <c r="I61" s="1"/>
      <c r="J61" s="1"/>
      <c r="K61" s="1"/>
      <c r="L61" s="1"/>
      <c r="M61" s="1"/>
      <c r="N61" s="1"/>
      <c r="O61" s="1"/>
    </row>
    <row r="62" spans="1:15" ht="12.75" customHeight="1">
      <c r="A62" s="1"/>
      <c r="B62" s="63"/>
      <c r="C62" s="64"/>
      <c r="D62" s="65"/>
      <c r="E62" s="1"/>
      <c r="F62" s="1"/>
      <c r="G62" s="1"/>
      <c r="H62" s="1"/>
      <c r="I62" s="1"/>
      <c r="J62" s="1"/>
      <c r="K62" s="1"/>
      <c r="L62" s="1"/>
      <c r="M62" s="1"/>
      <c r="N62" s="1"/>
      <c r="O62" s="1"/>
    </row>
    <row r="63" spans="1:15" ht="12.75" customHeight="1">
      <c r="A63" s="1"/>
      <c r="B63" s="63"/>
      <c r="C63" s="64"/>
      <c r="D63" s="65"/>
      <c r="E63" s="1"/>
      <c r="F63" s="1"/>
      <c r="G63" s="1"/>
      <c r="H63" s="1"/>
      <c r="I63" s="1"/>
      <c r="J63" s="1"/>
      <c r="K63" s="1"/>
      <c r="L63" s="1"/>
      <c r="M63" s="1"/>
      <c r="N63" s="1"/>
      <c r="O63" s="1"/>
    </row>
    <row r="64" spans="1:15" ht="12.75" customHeight="1">
      <c r="A64" s="1"/>
      <c r="B64" s="63"/>
      <c r="C64" s="64"/>
      <c r="D64" s="65"/>
      <c r="E64" s="1"/>
      <c r="F64" s="1"/>
      <c r="G64" s="1"/>
      <c r="H64" s="1"/>
      <c r="I64" s="1"/>
      <c r="J64" s="1"/>
      <c r="K64" s="1"/>
      <c r="L64" s="1"/>
      <c r="M64" s="1"/>
      <c r="N64" s="1"/>
      <c r="O64" s="1"/>
    </row>
    <row r="65" spans="1:15" ht="12.75" customHeight="1">
      <c r="A65" s="1"/>
      <c r="B65" s="63"/>
      <c r="C65" s="64"/>
      <c r="D65" s="65"/>
      <c r="E65" s="1"/>
      <c r="F65" s="1"/>
      <c r="G65" s="1"/>
      <c r="H65" s="1"/>
      <c r="I65" s="1"/>
      <c r="J65" s="1"/>
      <c r="K65" s="1"/>
      <c r="L65" s="1"/>
      <c r="M65" s="1"/>
      <c r="N65" s="1"/>
      <c r="O65" s="1"/>
    </row>
    <row r="66" spans="1:15" ht="12.75" customHeight="1">
      <c r="A66" s="1"/>
      <c r="B66" s="63"/>
      <c r="C66" s="64"/>
      <c r="D66" s="65"/>
      <c r="E66" s="1"/>
      <c r="F66" s="1"/>
      <c r="G66" s="1"/>
      <c r="H66" s="1"/>
      <c r="I66" s="1"/>
      <c r="J66" s="1"/>
      <c r="K66" s="1"/>
      <c r="L66" s="1"/>
      <c r="M66" s="1"/>
      <c r="N66" s="1"/>
      <c r="O66" s="1"/>
    </row>
    <row r="67" spans="1:15" ht="12.75" customHeight="1">
      <c r="A67" s="1"/>
      <c r="B67" s="63"/>
      <c r="C67" s="64"/>
      <c r="D67" s="65"/>
      <c r="E67" s="1"/>
      <c r="F67" s="1"/>
      <c r="G67" s="1"/>
      <c r="H67" s="1"/>
      <c r="I67" s="1"/>
      <c r="J67" s="1"/>
      <c r="K67" s="1"/>
      <c r="L67" s="1"/>
      <c r="M67" s="1"/>
      <c r="N67" s="1"/>
      <c r="O67" s="1"/>
    </row>
    <row r="68" spans="1:15" ht="12.75" customHeight="1">
      <c r="A68" s="1"/>
      <c r="B68" s="63"/>
      <c r="C68" s="64"/>
      <c r="D68" s="65"/>
      <c r="E68" s="1"/>
      <c r="F68" s="1"/>
      <c r="G68" s="1"/>
      <c r="H68" s="1"/>
      <c r="I68" s="1"/>
      <c r="J68" s="1"/>
      <c r="K68" s="1"/>
      <c r="L68" s="1"/>
      <c r="M68" s="1"/>
      <c r="N68" s="1"/>
      <c r="O68" s="1"/>
    </row>
    <row r="69" spans="1:15" ht="12.75" customHeight="1">
      <c r="A69" s="1"/>
      <c r="B69" s="63"/>
      <c r="C69" s="64"/>
      <c r="D69" s="65"/>
      <c r="E69" s="1"/>
      <c r="F69" s="1"/>
      <c r="G69" s="1"/>
      <c r="H69" s="1"/>
      <c r="I69" s="1"/>
      <c r="J69" s="1"/>
      <c r="K69" s="1"/>
      <c r="L69" s="1"/>
      <c r="M69" s="1"/>
      <c r="N69" s="1"/>
      <c r="O69" s="1"/>
    </row>
    <row r="70" spans="1:15" ht="12.75" customHeight="1">
      <c r="A70" s="1"/>
      <c r="B70" s="63"/>
      <c r="C70" s="64"/>
      <c r="D70" s="65"/>
      <c r="E70" s="1"/>
      <c r="F70" s="1"/>
      <c r="G70" s="1"/>
      <c r="H70" s="1"/>
      <c r="I70" s="1"/>
      <c r="J70" s="1"/>
      <c r="K70" s="1"/>
      <c r="L70" s="1"/>
      <c r="M70" s="1"/>
      <c r="N70" s="1"/>
      <c r="O70" s="1"/>
    </row>
    <row r="71" spans="1:15" ht="15" customHeight="1">
      <c r="B71" s="63"/>
      <c r="C71" s="64"/>
      <c r="D71" s="65"/>
    </row>
  </sheetData>
  <mergeCells count="4">
    <mergeCell ref="B2:D2"/>
    <mergeCell ref="B3:D3"/>
    <mergeCell ref="B5:D5"/>
    <mergeCell ref="B6:D6"/>
  </mergeCells>
  <printOptions horizontalCentered="1"/>
  <pageMargins left="0.70866141732283472" right="0.70866141732283472" top="0.74803149606299213" bottom="0.74803149606299213"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
  <sheetViews>
    <sheetView workbookViewId="0"/>
  </sheetViews>
  <sheetFormatPr defaultColWidth="14.44140625" defaultRowHeight="15" customHeight="1"/>
  <cols>
    <col min="1" max="1" width="6.6640625" customWidth="1"/>
    <col min="2" max="2" width="42.88671875" customWidth="1"/>
    <col min="3" max="3" width="6.33203125" customWidth="1"/>
    <col min="4" max="4" width="7.88671875" customWidth="1"/>
    <col min="5" max="5" width="12.6640625" customWidth="1"/>
    <col min="6" max="6" width="16.44140625" customWidth="1"/>
    <col min="7" max="7" width="15.109375" customWidth="1"/>
    <col min="8" max="8" width="16.88671875" customWidth="1"/>
    <col min="9" max="26" width="11.44140625" customWidth="1"/>
  </cols>
  <sheetData>
    <row r="1" spans="1:26" ht="12.75" customHeight="1">
      <c r="A1" s="75"/>
      <c r="B1" s="76"/>
      <c r="C1" s="77"/>
      <c r="D1" s="78"/>
      <c r="E1" s="79"/>
      <c r="F1" s="80"/>
      <c r="G1" s="81"/>
      <c r="H1" s="81"/>
      <c r="I1" s="81"/>
      <c r="J1" s="81"/>
      <c r="K1" s="81"/>
      <c r="L1" s="81"/>
      <c r="M1" s="81"/>
      <c r="N1" s="81"/>
      <c r="O1" s="81"/>
      <c r="P1" s="81"/>
      <c r="Q1" s="81"/>
      <c r="R1" s="81"/>
      <c r="S1" s="81"/>
      <c r="T1" s="81"/>
      <c r="U1" s="81"/>
      <c r="V1" s="81"/>
      <c r="W1" s="81"/>
      <c r="X1" s="81"/>
      <c r="Y1" s="81"/>
      <c r="Z1" s="81"/>
    </row>
    <row r="2" spans="1:26" ht="12.75" customHeight="1">
      <c r="A2" s="82"/>
      <c r="B2" s="83"/>
      <c r="C2" s="84"/>
      <c r="D2" s="85"/>
      <c r="E2" s="86"/>
      <c r="F2" s="87"/>
      <c r="G2" s="81"/>
      <c r="H2" s="81"/>
      <c r="I2" s="81"/>
      <c r="J2" s="81"/>
      <c r="K2" s="81"/>
      <c r="L2" s="81"/>
      <c r="M2" s="81"/>
      <c r="N2" s="81"/>
      <c r="O2" s="81"/>
      <c r="P2" s="81"/>
      <c r="Q2" s="81"/>
      <c r="R2" s="81"/>
      <c r="S2" s="81"/>
      <c r="T2" s="81"/>
      <c r="U2" s="81"/>
      <c r="V2" s="81"/>
      <c r="W2" s="81"/>
      <c r="X2" s="81"/>
      <c r="Y2" s="81"/>
      <c r="Z2" s="81"/>
    </row>
    <row r="3" spans="1:26" ht="18" customHeight="1">
      <c r="A3" s="82"/>
      <c r="B3" s="83"/>
      <c r="C3" s="84"/>
      <c r="D3" s="85"/>
      <c r="E3" s="86"/>
      <c r="F3" s="87"/>
      <c r="G3" s="81"/>
      <c r="H3" s="81"/>
      <c r="I3" s="81"/>
      <c r="J3" s="81"/>
      <c r="K3" s="81"/>
      <c r="L3" s="81"/>
      <c r="M3" s="81"/>
      <c r="N3" s="81"/>
      <c r="O3" s="81"/>
      <c r="P3" s="81"/>
      <c r="Q3" s="81"/>
      <c r="R3" s="81"/>
      <c r="S3" s="81"/>
      <c r="T3" s="81"/>
      <c r="U3" s="81"/>
      <c r="V3" s="81"/>
      <c r="W3" s="81"/>
      <c r="X3" s="81"/>
      <c r="Y3" s="81"/>
      <c r="Z3" s="81"/>
    </row>
    <row r="4" spans="1:26" ht="16.5" customHeight="1">
      <c r="A4" s="437" t="s">
        <v>66</v>
      </c>
      <c r="B4" s="430"/>
      <c r="C4" s="430"/>
      <c r="D4" s="430"/>
      <c r="E4" s="430"/>
      <c r="F4" s="431"/>
      <c r="G4" s="81"/>
      <c r="H4" s="81"/>
      <c r="I4" s="81"/>
      <c r="J4" s="81"/>
      <c r="K4" s="81"/>
      <c r="L4" s="81"/>
      <c r="M4" s="81"/>
      <c r="N4" s="81"/>
      <c r="O4" s="81"/>
      <c r="P4" s="81"/>
      <c r="Q4" s="81"/>
      <c r="R4" s="81"/>
      <c r="S4" s="81"/>
      <c r="T4" s="81"/>
      <c r="U4" s="81"/>
      <c r="V4" s="81"/>
      <c r="W4" s="81"/>
      <c r="X4" s="81"/>
      <c r="Y4" s="81"/>
      <c r="Z4" s="81"/>
    </row>
    <row r="5" spans="1:26" ht="18" customHeight="1">
      <c r="A5" s="438" t="s">
        <v>67</v>
      </c>
      <c r="B5" s="430"/>
      <c r="C5" s="430"/>
      <c r="D5" s="430"/>
      <c r="E5" s="430"/>
      <c r="F5" s="431"/>
      <c r="G5" s="81"/>
      <c r="H5" s="88"/>
      <c r="I5" s="81"/>
      <c r="J5" s="81"/>
      <c r="K5" s="81"/>
      <c r="L5" s="81"/>
      <c r="M5" s="81"/>
      <c r="N5" s="81"/>
      <c r="O5" s="81"/>
      <c r="P5" s="81"/>
      <c r="Q5" s="81"/>
      <c r="R5" s="81"/>
      <c r="S5" s="81"/>
      <c r="T5" s="81"/>
      <c r="U5" s="81"/>
      <c r="V5" s="81"/>
      <c r="W5" s="81"/>
      <c r="X5" s="81"/>
      <c r="Y5" s="81"/>
      <c r="Z5" s="81"/>
    </row>
    <row r="6" spans="1:26" ht="12.75" customHeight="1">
      <c r="A6" s="82"/>
      <c r="B6" s="89"/>
      <c r="C6" s="90"/>
      <c r="D6" s="91"/>
      <c r="E6" s="92"/>
      <c r="F6" s="87"/>
      <c r="G6" s="81"/>
      <c r="H6" s="81"/>
      <c r="I6" s="81"/>
      <c r="J6" s="81"/>
      <c r="K6" s="81"/>
      <c r="L6" s="81"/>
      <c r="M6" s="81"/>
      <c r="N6" s="81"/>
      <c r="O6" s="81"/>
      <c r="P6" s="81"/>
      <c r="Q6" s="81"/>
      <c r="R6" s="81"/>
      <c r="S6" s="81"/>
      <c r="T6" s="81"/>
      <c r="U6" s="81"/>
      <c r="V6" s="81"/>
      <c r="W6" s="81"/>
      <c r="X6" s="81"/>
      <c r="Y6" s="81"/>
      <c r="Z6" s="81"/>
    </row>
    <row r="7" spans="1:26" ht="17.25" customHeight="1">
      <c r="A7" s="93" t="s">
        <v>68</v>
      </c>
      <c r="B7" s="94" t="s">
        <v>5</v>
      </c>
      <c r="C7" s="95" t="s">
        <v>6</v>
      </c>
      <c r="D7" s="96" t="s">
        <v>7</v>
      </c>
      <c r="E7" s="97" t="s">
        <v>8</v>
      </c>
      <c r="F7" s="98" t="s">
        <v>9</v>
      </c>
      <c r="G7" s="81"/>
      <c r="H7" s="81"/>
      <c r="I7" s="81"/>
      <c r="J7" s="81"/>
      <c r="K7" s="81"/>
      <c r="L7" s="81"/>
      <c r="M7" s="81"/>
      <c r="N7" s="81"/>
      <c r="O7" s="81"/>
      <c r="P7" s="81"/>
      <c r="Q7" s="81"/>
      <c r="R7" s="81"/>
      <c r="S7" s="81"/>
      <c r="T7" s="81"/>
      <c r="U7" s="81"/>
      <c r="V7" s="81"/>
      <c r="W7" s="81"/>
      <c r="X7" s="81"/>
      <c r="Y7" s="81"/>
      <c r="Z7" s="81"/>
    </row>
    <row r="8" spans="1:26" ht="12.75" customHeight="1">
      <c r="A8" s="99">
        <v>1</v>
      </c>
      <c r="B8" s="100" t="s">
        <v>69</v>
      </c>
      <c r="C8" s="101"/>
      <c r="D8" s="102"/>
      <c r="E8" s="103"/>
      <c r="F8" s="104"/>
      <c r="G8" s="81"/>
      <c r="H8" s="81"/>
      <c r="I8" s="81"/>
      <c r="J8" s="81"/>
      <c r="K8" s="81"/>
      <c r="L8" s="81"/>
      <c r="M8" s="81"/>
      <c r="N8" s="81"/>
      <c r="O8" s="81"/>
      <c r="P8" s="81"/>
      <c r="Q8" s="81"/>
      <c r="R8" s="81"/>
      <c r="S8" s="81"/>
      <c r="T8" s="81"/>
      <c r="U8" s="81"/>
      <c r="V8" s="81"/>
      <c r="W8" s="81"/>
      <c r="X8" s="81"/>
      <c r="Y8" s="81"/>
      <c r="Z8" s="81"/>
    </row>
    <row r="9" spans="1:26" ht="12.75" customHeight="1">
      <c r="A9" s="105">
        <v>1.1000000000000001</v>
      </c>
      <c r="B9" s="106" t="s">
        <v>70</v>
      </c>
      <c r="C9" s="101" t="s">
        <v>55</v>
      </c>
      <c r="D9" s="102">
        <v>65</v>
      </c>
      <c r="E9" s="107">
        <v>26780</v>
      </c>
      <c r="F9" s="104">
        <f t="shared" ref="F9:F12" si="0">D9*E9</f>
        <v>1740700</v>
      </c>
      <c r="G9" s="81"/>
      <c r="H9" s="81"/>
      <c r="I9" s="81"/>
      <c r="J9" s="81"/>
      <c r="K9" s="81"/>
      <c r="L9" s="81"/>
      <c r="M9" s="81"/>
      <c r="N9" s="81"/>
      <c r="O9" s="81"/>
      <c r="P9" s="81"/>
      <c r="Q9" s="81"/>
      <c r="R9" s="81"/>
      <c r="S9" s="81"/>
      <c r="T9" s="81"/>
      <c r="U9" s="81"/>
      <c r="V9" s="81"/>
      <c r="W9" s="81"/>
      <c r="X9" s="81"/>
      <c r="Y9" s="81"/>
      <c r="Z9" s="81"/>
    </row>
    <row r="10" spans="1:26" ht="12.75" customHeight="1">
      <c r="A10" s="108">
        <v>1.2</v>
      </c>
      <c r="B10" s="109" t="s">
        <v>71</v>
      </c>
      <c r="C10" s="110" t="s">
        <v>49</v>
      </c>
      <c r="D10" s="111">
        <v>625</v>
      </c>
      <c r="E10" s="112">
        <v>27758</v>
      </c>
      <c r="F10" s="113">
        <f t="shared" si="0"/>
        <v>17348750</v>
      </c>
      <c r="G10" s="114"/>
      <c r="H10" s="114"/>
      <c r="I10" s="114"/>
      <c r="J10" s="114"/>
      <c r="K10" s="114"/>
      <c r="L10" s="114"/>
      <c r="M10" s="114"/>
      <c r="N10" s="114"/>
      <c r="O10" s="114"/>
      <c r="P10" s="114"/>
      <c r="Q10" s="114"/>
      <c r="R10" s="114"/>
      <c r="S10" s="114"/>
      <c r="T10" s="114"/>
      <c r="U10" s="114"/>
      <c r="V10" s="114"/>
      <c r="W10" s="114"/>
      <c r="X10" s="114"/>
      <c r="Y10" s="114"/>
      <c r="Z10" s="114"/>
    </row>
    <row r="11" spans="1:26" ht="12.75" customHeight="1">
      <c r="A11" s="105">
        <v>1.3</v>
      </c>
      <c r="B11" s="109" t="s">
        <v>72</v>
      </c>
      <c r="C11" s="110" t="s">
        <v>73</v>
      </c>
      <c r="D11" s="111">
        <v>15</v>
      </c>
      <c r="E11" s="107">
        <v>26780</v>
      </c>
      <c r="F11" s="113">
        <f t="shared" si="0"/>
        <v>401700</v>
      </c>
      <c r="G11" s="114"/>
      <c r="H11" s="114"/>
      <c r="I11" s="114"/>
      <c r="J11" s="114"/>
      <c r="K11" s="114"/>
      <c r="L11" s="114"/>
      <c r="M11" s="114"/>
      <c r="N11" s="114"/>
      <c r="O11" s="114"/>
      <c r="P11" s="114"/>
      <c r="Q11" s="114"/>
      <c r="R11" s="114"/>
      <c r="S11" s="114"/>
      <c r="T11" s="114"/>
      <c r="U11" s="114"/>
      <c r="V11" s="114"/>
      <c r="W11" s="114"/>
      <c r="X11" s="114"/>
      <c r="Y11" s="114"/>
      <c r="Z11" s="114"/>
    </row>
    <row r="12" spans="1:26" ht="12.75" customHeight="1">
      <c r="A12" s="108">
        <v>1.4</v>
      </c>
      <c r="B12" s="109" t="s">
        <v>74</v>
      </c>
      <c r="C12" s="110" t="s">
        <v>49</v>
      </c>
      <c r="D12" s="111">
        <v>40</v>
      </c>
      <c r="E12" s="112">
        <v>35951.499999999985</v>
      </c>
      <c r="F12" s="113">
        <f t="shared" si="0"/>
        <v>1438059.9999999995</v>
      </c>
      <c r="G12" s="114"/>
      <c r="H12" s="114"/>
      <c r="I12" s="114"/>
      <c r="J12" s="114"/>
      <c r="K12" s="114"/>
      <c r="L12" s="114"/>
      <c r="M12" s="114"/>
      <c r="N12" s="114"/>
      <c r="O12" s="114"/>
      <c r="P12" s="114"/>
      <c r="Q12" s="114"/>
      <c r="R12" s="114"/>
      <c r="S12" s="114"/>
      <c r="T12" s="114"/>
      <c r="U12" s="114"/>
      <c r="V12" s="114"/>
      <c r="W12" s="114"/>
      <c r="X12" s="114"/>
      <c r="Y12" s="114"/>
      <c r="Z12" s="114"/>
    </row>
    <row r="13" spans="1:26" ht="12.75" customHeight="1">
      <c r="A13" s="115"/>
      <c r="B13" s="116" t="s">
        <v>75</v>
      </c>
      <c r="C13" s="110"/>
      <c r="D13" s="111"/>
      <c r="E13" s="117"/>
      <c r="F13" s="118">
        <f>SUM(F9:F12)</f>
        <v>20929210</v>
      </c>
      <c r="G13" s="114"/>
      <c r="H13" s="114"/>
      <c r="I13" s="114"/>
      <c r="J13" s="114"/>
      <c r="K13" s="114"/>
      <c r="L13" s="114"/>
      <c r="M13" s="114"/>
      <c r="N13" s="114"/>
      <c r="O13" s="114"/>
      <c r="P13" s="114"/>
      <c r="Q13" s="114"/>
      <c r="R13" s="114"/>
      <c r="S13" s="114"/>
      <c r="T13" s="114"/>
      <c r="U13" s="114"/>
      <c r="V13" s="114"/>
      <c r="W13" s="114"/>
      <c r="X13" s="114"/>
      <c r="Y13" s="114"/>
      <c r="Z13" s="114"/>
    </row>
    <row r="14" spans="1:26" ht="12.75" customHeight="1">
      <c r="A14" s="115">
        <v>2</v>
      </c>
      <c r="B14" s="116" t="s">
        <v>76</v>
      </c>
      <c r="C14" s="110"/>
      <c r="D14" s="111"/>
      <c r="E14" s="117"/>
      <c r="F14" s="113"/>
      <c r="G14" s="114"/>
      <c r="H14" s="114"/>
      <c r="I14" s="114"/>
      <c r="J14" s="114"/>
      <c r="K14" s="114"/>
      <c r="L14" s="114"/>
      <c r="M14" s="114"/>
      <c r="N14" s="114"/>
      <c r="O14" s="114"/>
      <c r="P14" s="114"/>
      <c r="Q14" s="114"/>
      <c r="R14" s="114"/>
      <c r="S14" s="114"/>
      <c r="T14" s="114"/>
      <c r="U14" s="114"/>
      <c r="V14" s="114"/>
      <c r="W14" s="114"/>
      <c r="X14" s="114"/>
      <c r="Y14" s="114"/>
      <c r="Z14" s="114"/>
    </row>
    <row r="15" spans="1:26" ht="38.25" customHeight="1">
      <c r="A15" s="108">
        <v>2.1</v>
      </c>
      <c r="B15" s="109" t="s">
        <v>77</v>
      </c>
      <c r="C15" s="110" t="s">
        <v>26</v>
      </c>
      <c r="D15" s="111">
        <v>50</v>
      </c>
      <c r="E15" s="112">
        <v>65251.3</v>
      </c>
      <c r="F15" s="113">
        <f t="shared" ref="F15:F17" si="1">D15*E15</f>
        <v>3262565</v>
      </c>
      <c r="G15" s="114"/>
      <c r="H15" s="114"/>
      <c r="I15" s="114"/>
      <c r="J15" s="114"/>
      <c r="K15" s="114"/>
      <c r="L15" s="114"/>
      <c r="M15" s="114"/>
      <c r="N15" s="114"/>
      <c r="O15" s="114"/>
      <c r="P15" s="114"/>
      <c r="Q15" s="114"/>
      <c r="R15" s="114"/>
      <c r="S15" s="114"/>
      <c r="T15" s="114"/>
      <c r="U15" s="114"/>
      <c r="V15" s="114"/>
      <c r="W15" s="114"/>
      <c r="X15" s="114"/>
      <c r="Y15" s="114"/>
      <c r="Z15" s="114"/>
    </row>
    <row r="16" spans="1:26" ht="12.75" customHeight="1">
      <c r="A16" s="108">
        <v>2.2000000000000002</v>
      </c>
      <c r="B16" s="109" t="s">
        <v>78</v>
      </c>
      <c r="C16" s="110" t="s">
        <v>73</v>
      </c>
      <c r="D16" s="111">
        <v>4</v>
      </c>
      <c r="E16" s="112">
        <v>346235.5</v>
      </c>
      <c r="F16" s="113">
        <f t="shared" si="1"/>
        <v>1384942</v>
      </c>
      <c r="G16" s="114"/>
      <c r="H16" s="114"/>
      <c r="I16" s="114"/>
      <c r="J16" s="114"/>
      <c r="K16" s="114"/>
      <c r="L16" s="114"/>
      <c r="M16" s="114"/>
      <c r="N16" s="114"/>
      <c r="O16" s="114"/>
      <c r="P16" s="114"/>
      <c r="Q16" s="114"/>
      <c r="R16" s="114"/>
      <c r="S16" s="114"/>
      <c r="T16" s="114"/>
      <c r="U16" s="114"/>
      <c r="V16" s="114"/>
      <c r="W16" s="114"/>
      <c r="X16" s="114"/>
      <c r="Y16" s="114"/>
      <c r="Z16" s="114"/>
    </row>
    <row r="17" spans="1:26" ht="12.75" customHeight="1">
      <c r="A17" s="108">
        <v>2.2999999999999998</v>
      </c>
      <c r="B17" s="109" t="s">
        <v>79</v>
      </c>
      <c r="C17" s="110" t="s">
        <v>49</v>
      </c>
      <c r="D17" s="111">
        <v>90</v>
      </c>
      <c r="E17" s="112">
        <v>25304.559999999998</v>
      </c>
      <c r="F17" s="113">
        <f t="shared" si="1"/>
        <v>2277410.4</v>
      </c>
      <c r="G17" s="114"/>
      <c r="H17" s="114"/>
      <c r="I17" s="114"/>
      <c r="J17" s="114"/>
      <c r="K17" s="114"/>
      <c r="L17" s="114"/>
      <c r="M17" s="114"/>
      <c r="N17" s="114"/>
      <c r="O17" s="114"/>
      <c r="P17" s="114"/>
      <c r="Q17" s="114"/>
      <c r="R17" s="114"/>
      <c r="S17" s="114"/>
      <c r="T17" s="114"/>
      <c r="U17" s="114"/>
      <c r="V17" s="114"/>
      <c r="W17" s="114"/>
      <c r="X17" s="114"/>
      <c r="Y17" s="114"/>
      <c r="Z17" s="114"/>
    </row>
    <row r="18" spans="1:26" ht="12.75" customHeight="1">
      <c r="A18" s="115"/>
      <c r="B18" s="116" t="s">
        <v>75</v>
      </c>
      <c r="C18" s="110"/>
      <c r="D18" s="111"/>
      <c r="E18" s="117"/>
      <c r="F18" s="118">
        <f>SUM(F15:F17)</f>
        <v>6924917.4000000004</v>
      </c>
      <c r="G18" s="114"/>
      <c r="H18" s="114"/>
      <c r="I18" s="114"/>
      <c r="J18" s="114"/>
      <c r="K18" s="114"/>
      <c r="L18" s="114"/>
      <c r="M18" s="114"/>
      <c r="N18" s="114"/>
      <c r="O18" s="114"/>
      <c r="P18" s="114"/>
      <c r="Q18" s="114"/>
      <c r="R18" s="114"/>
      <c r="S18" s="114"/>
      <c r="T18" s="114"/>
      <c r="U18" s="114"/>
      <c r="V18" s="114"/>
      <c r="W18" s="114"/>
      <c r="X18" s="114"/>
      <c r="Y18" s="114"/>
      <c r="Z18" s="114"/>
    </row>
    <row r="19" spans="1:26" ht="12.75" customHeight="1">
      <c r="A19" s="115">
        <v>3</v>
      </c>
      <c r="B19" s="116" t="s">
        <v>80</v>
      </c>
      <c r="C19" s="110"/>
      <c r="D19" s="111"/>
      <c r="E19" s="117"/>
      <c r="F19" s="113"/>
      <c r="G19" s="114"/>
      <c r="H19" s="114"/>
      <c r="I19" s="114"/>
      <c r="J19" s="114"/>
      <c r="K19" s="114"/>
      <c r="L19" s="114"/>
      <c r="M19" s="114"/>
      <c r="N19" s="114"/>
      <c r="O19" s="114"/>
      <c r="P19" s="114"/>
      <c r="Q19" s="114"/>
      <c r="R19" s="114"/>
      <c r="S19" s="114"/>
      <c r="T19" s="114"/>
      <c r="U19" s="114"/>
      <c r="V19" s="114"/>
      <c r="W19" s="114"/>
      <c r="X19" s="114"/>
      <c r="Y19" s="114"/>
      <c r="Z19" s="114"/>
    </row>
    <row r="20" spans="1:26" ht="37.5" customHeight="1">
      <c r="A20" s="108">
        <v>3.1</v>
      </c>
      <c r="B20" s="109" t="s">
        <v>77</v>
      </c>
      <c r="C20" s="110" t="s">
        <v>49</v>
      </c>
      <c r="D20" s="111">
        <v>80</v>
      </c>
      <c r="E20" s="112">
        <v>65251.3</v>
      </c>
      <c r="F20" s="113">
        <f t="shared" ref="F20:F27" si="2">D20*E20</f>
        <v>5220104</v>
      </c>
      <c r="G20" s="114"/>
      <c r="H20" s="114"/>
      <c r="I20" s="114"/>
      <c r="J20" s="114"/>
      <c r="K20" s="114"/>
      <c r="L20" s="114"/>
      <c r="M20" s="114"/>
      <c r="N20" s="114"/>
      <c r="O20" s="114"/>
      <c r="P20" s="114"/>
      <c r="Q20" s="114"/>
      <c r="R20" s="114"/>
      <c r="S20" s="114"/>
      <c r="T20" s="114"/>
      <c r="U20" s="114"/>
      <c r="V20" s="114"/>
      <c r="W20" s="114"/>
      <c r="X20" s="114"/>
      <c r="Y20" s="114"/>
      <c r="Z20" s="114"/>
    </row>
    <row r="21" spans="1:26" ht="12.75" customHeight="1">
      <c r="A21" s="108">
        <v>3.2</v>
      </c>
      <c r="B21" s="109" t="s">
        <v>81</v>
      </c>
      <c r="C21" s="110" t="s">
        <v>73</v>
      </c>
      <c r="D21" s="119">
        <v>5</v>
      </c>
      <c r="E21" s="112">
        <v>346235.5</v>
      </c>
      <c r="F21" s="113">
        <f t="shared" si="2"/>
        <v>1731177.5</v>
      </c>
      <c r="G21" s="114"/>
      <c r="H21" s="114"/>
      <c r="I21" s="114"/>
      <c r="J21" s="114"/>
      <c r="K21" s="114"/>
      <c r="L21" s="114"/>
      <c r="M21" s="114"/>
      <c r="N21" s="114"/>
      <c r="O21" s="114"/>
      <c r="P21" s="114"/>
      <c r="Q21" s="114"/>
      <c r="R21" s="114"/>
      <c r="S21" s="114"/>
      <c r="T21" s="114"/>
      <c r="U21" s="114"/>
      <c r="V21" s="114"/>
      <c r="W21" s="114"/>
      <c r="X21" s="114"/>
      <c r="Y21" s="114"/>
      <c r="Z21" s="114"/>
    </row>
    <row r="22" spans="1:26" ht="12.75" customHeight="1">
      <c r="A22" s="108">
        <v>3.3</v>
      </c>
      <c r="B22" s="109" t="s">
        <v>79</v>
      </c>
      <c r="C22" s="110" t="s">
        <v>49</v>
      </c>
      <c r="D22" s="111">
        <v>106</v>
      </c>
      <c r="E22" s="112">
        <v>25304.559999999998</v>
      </c>
      <c r="F22" s="113">
        <f t="shared" si="2"/>
        <v>2682283.36</v>
      </c>
      <c r="G22" s="114"/>
      <c r="H22" s="114"/>
      <c r="I22" s="114"/>
      <c r="J22" s="114"/>
      <c r="K22" s="114"/>
      <c r="L22" s="114"/>
      <c r="M22" s="114"/>
      <c r="N22" s="114"/>
      <c r="O22" s="114"/>
      <c r="P22" s="114"/>
      <c r="Q22" s="114"/>
      <c r="R22" s="114"/>
      <c r="S22" s="114"/>
      <c r="T22" s="114"/>
      <c r="U22" s="114"/>
      <c r="V22" s="114"/>
      <c r="W22" s="114"/>
      <c r="X22" s="114"/>
      <c r="Y22" s="114"/>
      <c r="Z22" s="114"/>
    </row>
    <row r="23" spans="1:26" ht="12.75" customHeight="1">
      <c r="A23" s="108">
        <v>3.4</v>
      </c>
      <c r="B23" s="109" t="s">
        <v>82</v>
      </c>
      <c r="C23" s="110" t="s">
        <v>49</v>
      </c>
      <c r="D23" s="111">
        <v>40</v>
      </c>
      <c r="E23" s="112">
        <v>122200</v>
      </c>
      <c r="F23" s="113">
        <f t="shared" si="2"/>
        <v>4888000</v>
      </c>
      <c r="G23" s="114"/>
      <c r="H23" s="114"/>
      <c r="I23" s="114"/>
      <c r="J23" s="114"/>
      <c r="K23" s="114"/>
      <c r="L23" s="114"/>
      <c r="M23" s="114"/>
      <c r="N23" s="114"/>
      <c r="O23" s="114"/>
      <c r="P23" s="114"/>
      <c r="Q23" s="114"/>
      <c r="R23" s="114"/>
      <c r="S23" s="114"/>
      <c r="T23" s="114"/>
      <c r="U23" s="114"/>
      <c r="V23" s="114"/>
      <c r="W23" s="114"/>
      <c r="X23" s="114"/>
      <c r="Y23" s="114"/>
      <c r="Z23" s="114"/>
    </row>
    <row r="24" spans="1:26" ht="12.75" customHeight="1">
      <c r="A24" s="108">
        <v>3.5</v>
      </c>
      <c r="B24" s="109" t="s">
        <v>83</v>
      </c>
      <c r="C24" s="110" t="s">
        <v>49</v>
      </c>
      <c r="D24" s="111">
        <v>35</v>
      </c>
      <c r="E24" s="112">
        <v>65251.3</v>
      </c>
      <c r="F24" s="113">
        <f t="shared" si="2"/>
        <v>2283795.5</v>
      </c>
      <c r="G24" s="114"/>
      <c r="H24" s="114"/>
      <c r="I24" s="114"/>
      <c r="J24" s="114"/>
      <c r="K24" s="114"/>
      <c r="L24" s="114"/>
      <c r="M24" s="114"/>
      <c r="N24" s="114"/>
      <c r="O24" s="114"/>
      <c r="P24" s="114"/>
      <c r="Q24" s="114"/>
      <c r="R24" s="114"/>
      <c r="S24" s="114"/>
      <c r="T24" s="114"/>
      <c r="U24" s="114"/>
      <c r="V24" s="114"/>
      <c r="W24" s="114"/>
      <c r="X24" s="114"/>
      <c r="Y24" s="114"/>
      <c r="Z24" s="114"/>
    </row>
    <row r="25" spans="1:26" ht="12.75" customHeight="1">
      <c r="A25" s="108">
        <v>3.6</v>
      </c>
      <c r="B25" s="109" t="s">
        <v>84</v>
      </c>
      <c r="C25" s="110" t="s">
        <v>73</v>
      </c>
      <c r="D25" s="111">
        <v>3</v>
      </c>
      <c r="E25" s="112">
        <v>491700</v>
      </c>
      <c r="F25" s="113">
        <f t="shared" si="2"/>
        <v>1475100</v>
      </c>
      <c r="G25" s="114"/>
      <c r="H25" s="114"/>
      <c r="I25" s="114"/>
      <c r="J25" s="114"/>
      <c r="K25" s="114"/>
      <c r="L25" s="114"/>
      <c r="M25" s="114"/>
      <c r="N25" s="114"/>
      <c r="O25" s="114"/>
      <c r="P25" s="114"/>
      <c r="Q25" s="114"/>
      <c r="R25" s="114"/>
      <c r="S25" s="114"/>
      <c r="T25" s="114"/>
      <c r="U25" s="114"/>
      <c r="V25" s="114"/>
      <c r="W25" s="114"/>
      <c r="X25" s="114"/>
      <c r="Y25" s="114"/>
      <c r="Z25" s="114"/>
    </row>
    <row r="26" spans="1:26" ht="12.75" customHeight="1">
      <c r="A26" s="108">
        <v>3.7</v>
      </c>
      <c r="B26" s="109" t="s">
        <v>85</v>
      </c>
      <c r="C26" s="110" t="s">
        <v>73</v>
      </c>
      <c r="D26" s="111">
        <v>4</v>
      </c>
      <c r="E26" s="112">
        <v>863000</v>
      </c>
      <c r="F26" s="113">
        <f t="shared" si="2"/>
        <v>3452000</v>
      </c>
      <c r="G26" s="114"/>
      <c r="H26" s="114"/>
      <c r="I26" s="114"/>
      <c r="J26" s="114"/>
      <c r="K26" s="114"/>
      <c r="L26" s="114"/>
      <c r="M26" s="114"/>
      <c r="N26" s="114"/>
      <c r="O26" s="114"/>
      <c r="P26" s="114"/>
      <c r="Q26" s="114"/>
      <c r="R26" s="114"/>
      <c r="S26" s="114"/>
      <c r="T26" s="114"/>
      <c r="U26" s="114"/>
      <c r="V26" s="114"/>
      <c r="W26" s="114"/>
      <c r="X26" s="114"/>
      <c r="Y26" s="114"/>
      <c r="Z26" s="114"/>
    </row>
    <row r="27" spans="1:26" ht="12.75" customHeight="1">
      <c r="A27" s="108">
        <v>3.8</v>
      </c>
      <c r="B27" s="109" t="s">
        <v>86</v>
      </c>
      <c r="C27" s="110" t="s">
        <v>87</v>
      </c>
      <c r="D27" s="111">
        <v>2</v>
      </c>
      <c r="E27" s="112">
        <v>1608900</v>
      </c>
      <c r="F27" s="113">
        <f t="shared" si="2"/>
        <v>3217800</v>
      </c>
      <c r="G27" s="114"/>
      <c r="H27" s="114"/>
      <c r="I27" s="114"/>
      <c r="J27" s="114"/>
      <c r="K27" s="114"/>
      <c r="L27" s="114"/>
      <c r="M27" s="114"/>
      <c r="N27" s="114"/>
      <c r="O27" s="114"/>
      <c r="P27" s="114"/>
      <c r="Q27" s="114"/>
      <c r="R27" s="114"/>
      <c r="S27" s="114"/>
      <c r="T27" s="114"/>
      <c r="U27" s="114"/>
      <c r="V27" s="114"/>
      <c r="W27" s="114"/>
      <c r="X27" s="114"/>
      <c r="Y27" s="114"/>
      <c r="Z27" s="114"/>
    </row>
    <row r="28" spans="1:26" ht="12.75" customHeight="1">
      <c r="A28" s="115"/>
      <c r="B28" s="116" t="s">
        <v>75</v>
      </c>
      <c r="C28" s="110"/>
      <c r="D28" s="111"/>
      <c r="E28" s="117"/>
      <c r="F28" s="118">
        <f>SUM(F20:F27)</f>
        <v>24950260.359999999</v>
      </c>
      <c r="G28" s="114"/>
      <c r="H28" s="114"/>
      <c r="I28" s="114"/>
      <c r="J28" s="114"/>
      <c r="K28" s="114"/>
      <c r="L28" s="114"/>
      <c r="M28" s="114"/>
      <c r="N28" s="114"/>
      <c r="O28" s="114"/>
      <c r="P28" s="114"/>
      <c r="Q28" s="114"/>
      <c r="R28" s="114"/>
      <c r="S28" s="114"/>
      <c r="T28" s="114"/>
      <c r="U28" s="114"/>
      <c r="V28" s="114"/>
      <c r="W28" s="114"/>
      <c r="X28" s="114"/>
      <c r="Y28" s="114"/>
      <c r="Z28" s="114"/>
    </row>
    <row r="29" spans="1:26" ht="12.75" customHeight="1">
      <c r="A29" s="115">
        <v>4</v>
      </c>
      <c r="B29" s="116" t="s">
        <v>88</v>
      </c>
      <c r="C29" s="110"/>
      <c r="D29" s="111"/>
      <c r="E29" s="117"/>
      <c r="F29" s="113"/>
      <c r="G29" s="114"/>
      <c r="H29" s="114"/>
      <c r="I29" s="114"/>
      <c r="J29" s="114"/>
      <c r="K29" s="114"/>
      <c r="L29" s="114"/>
      <c r="M29" s="114"/>
      <c r="N29" s="114"/>
      <c r="O29" s="114"/>
      <c r="P29" s="114"/>
      <c r="Q29" s="114"/>
      <c r="R29" s="114"/>
      <c r="S29" s="114"/>
      <c r="T29" s="114"/>
      <c r="U29" s="114"/>
      <c r="V29" s="114"/>
      <c r="W29" s="114"/>
      <c r="X29" s="114"/>
      <c r="Y29" s="114"/>
      <c r="Z29" s="114"/>
    </row>
    <row r="30" spans="1:26" ht="51" customHeight="1">
      <c r="A30" s="108">
        <v>4.0999999999999996</v>
      </c>
      <c r="B30" s="109" t="s">
        <v>77</v>
      </c>
      <c r="C30" s="110" t="s">
        <v>49</v>
      </c>
      <c r="D30" s="111">
        <v>100</v>
      </c>
      <c r="E30" s="112">
        <v>65251.3</v>
      </c>
      <c r="F30" s="113">
        <f t="shared" ref="F30:F32" si="3">D30*E30</f>
        <v>6525130</v>
      </c>
      <c r="G30" s="114"/>
      <c r="H30" s="114"/>
      <c r="I30" s="114"/>
      <c r="J30" s="114"/>
      <c r="K30" s="114"/>
      <c r="L30" s="114"/>
      <c r="M30" s="114"/>
      <c r="N30" s="114"/>
      <c r="O30" s="114"/>
      <c r="P30" s="114"/>
      <c r="Q30" s="114"/>
      <c r="R30" s="114"/>
      <c r="S30" s="114"/>
      <c r="T30" s="114"/>
      <c r="U30" s="114"/>
      <c r="V30" s="114"/>
      <c r="W30" s="114"/>
      <c r="X30" s="114"/>
      <c r="Y30" s="114"/>
      <c r="Z30" s="114"/>
    </row>
    <row r="31" spans="1:26" ht="12.75" customHeight="1">
      <c r="A31" s="108">
        <v>4.2</v>
      </c>
      <c r="B31" s="109" t="s">
        <v>89</v>
      </c>
      <c r="C31" s="110" t="s">
        <v>73</v>
      </c>
      <c r="D31" s="111">
        <v>1</v>
      </c>
      <c r="E31" s="112">
        <v>346235.5</v>
      </c>
      <c r="F31" s="113">
        <f t="shared" si="3"/>
        <v>346235.5</v>
      </c>
      <c r="G31" s="114"/>
      <c r="H31" s="114"/>
      <c r="I31" s="114"/>
      <c r="J31" s="114"/>
      <c r="K31" s="114"/>
      <c r="L31" s="114"/>
      <c r="M31" s="114"/>
      <c r="N31" s="114"/>
      <c r="O31" s="114"/>
      <c r="P31" s="114"/>
      <c r="Q31" s="114"/>
      <c r="R31" s="114"/>
      <c r="S31" s="114"/>
      <c r="T31" s="114"/>
      <c r="U31" s="114"/>
      <c r="V31" s="114"/>
      <c r="W31" s="114"/>
      <c r="X31" s="114"/>
      <c r="Y31" s="114"/>
      <c r="Z31" s="114"/>
    </row>
    <row r="32" spans="1:26" ht="12.75" customHeight="1">
      <c r="A32" s="108">
        <v>4.3</v>
      </c>
      <c r="B32" s="109" t="s">
        <v>79</v>
      </c>
      <c r="C32" s="110" t="s">
        <v>49</v>
      </c>
      <c r="D32" s="111">
        <v>118</v>
      </c>
      <c r="E32" s="112">
        <v>25304.559999999998</v>
      </c>
      <c r="F32" s="113">
        <f t="shared" si="3"/>
        <v>2985938.0799999996</v>
      </c>
      <c r="G32" s="114"/>
      <c r="H32" s="114"/>
      <c r="I32" s="114"/>
      <c r="J32" s="114"/>
      <c r="K32" s="114"/>
      <c r="L32" s="114"/>
      <c r="M32" s="114"/>
      <c r="N32" s="114"/>
      <c r="O32" s="114"/>
      <c r="P32" s="114"/>
      <c r="Q32" s="114"/>
      <c r="R32" s="114"/>
      <c r="S32" s="114"/>
      <c r="T32" s="114"/>
      <c r="U32" s="114"/>
      <c r="V32" s="114"/>
      <c r="W32" s="114"/>
      <c r="X32" s="114"/>
      <c r="Y32" s="114"/>
      <c r="Z32" s="114"/>
    </row>
    <row r="33" spans="1:26" ht="12.75" customHeight="1">
      <c r="A33" s="115"/>
      <c r="B33" s="116" t="s">
        <v>75</v>
      </c>
      <c r="C33" s="110"/>
      <c r="D33" s="111"/>
      <c r="E33" s="117"/>
      <c r="F33" s="118">
        <f>SUM(F30:F32)</f>
        <v>9857303.5800000001</v>
      </c>
      <c r="G33" s="114"/>
      <c r="H33" s="114"/>
      <c r="I33" s="114"/>
      <c r="J33" s="114"/>
      <c r="K33" s="114"/>
      <c r="L33" s="114"/>
      <c r="M33" s="114"/>
      <c r="N33" s="114"/>
      <c r="O33" s="114"/>
      <c r="P33" s="114"/>
      <c r="Q33" s="114"/>
      <c r="R33" s="114"/>
      <c r="S33" s="114"/>
      <c r="T33" s="114"/>
      <c r="U33" s="114"/>
      <c r="V33" s="114"/>
      <c r="W33" s="114"/>
      <c r="X33" s="114"/>
      <c r="Y33" s="114"/>
      <c r="Z33" s="114"/>
    </row>
    <row r="34" spans="1:26" ht="12.75" customHeight="1">
      <c r="A34" s="115">
        <v>5</v>
      </c>
      <c r="B34" s="116" t="s">
        <v>90</v>
      </c>
      <c r="C34" s="110"/>
      <c r="D34" s="111"/>
      <c r="E34" s="117"/>
      <c r="F34" s="113"/>
      <c r="G34" s="114"/>
      <c r="H34" s="114"/>
      <c r="I34" s="114"/>
      <c r="J34" s="114"/>
      <c r="K34" s="114"/>
      <c r="L34" s="114"/>
      <c r="M34" s="114"/>
      <c r="N34" s="114"/>
      <c r="O34" s="114"/>
      <c r="P34" s="114"/>
      <c r="Q34" s="114"/>
      <c r="R34" s="114"/>
      <c r="S34" s="114"/>
      <c r="T34" s="114"/>
      <c r="U34" s="114"/>
      <c r="V34" s="114"/>
      <c r="W34" s="114"/>
      <c r="X34" s="114"/>
      <c r="Y34" s="114"/>
      <c r="Z34" s="114"/>
    </row>
    <row r="35" spans="1:26" ht="12.75" customHeight="1">
      <c r="A35" s="108">
        <v>5.0999999999999996</v>
      </c>
      <c r="B35" s="109" t="s">
        <v>77</v>
      </c>
      <c r="C35" s="110" t="s">
        <v>49</v>
      </c>
      <c r="D35" s="111">
        <v>30</v>
      </c>
      <c r="E35" s="112">
        <v>65251.3</v>
      </c>
      <c r="F35" s="113">
        <f t="shared" ref="F35:F39" si="4">D35*E35</f>
        <v>1957539</v>
      </c>
      <c r="G35" s="114"/>
      <c r="H35" s="114"/>
      <c r="I35" s="114"/>
      <c r="J35" s="114"/>
      <c r="K35" s="114"/>
      <c r="L35" s="114"/>
      <c r="M35" s="114"/>
      <c r="N35" s="114"/>
      <c r="O35" s="114"/>
      <c r="P35" s="114"/>
      <c r="Q35" s="114"/>
      <c r="R35" s="114"/>
      <c r="S35" s="114"/>
      <c r="T35" s="114"/>
      <c r="U35" s="114"/>
      <c r="V35" s="114"/>
      <c r="W35" s="114"/>
      <c r="X35" s="114"/>
      <c r="Y35" s="114"/>
      <c r="Z35" s="114"/>
    </row>
    <row r="36" spans="1:26" ht="12.75" customHeight="1">
      <c r="A36" s="108">
        <v>5.2</v>
      </c>
      <c r="B36" s="109" t="s">
        <v>91</v>
      </c>
      <c r="C36" s="110" t="s">
        <v>73</v>
      </c>
      <c r="D36" s="111">
        <v>2</v>
      </c>
      <c r="E36" s="120">
        <v>235200</v>
      </c>
      <c r="F36" s="113">
        <f t="shared" si="4"/>
        <v>470400</v>
      </c>
      <c r="G36" s="114"/>
      <c r="H36" s="114"/>
      <c r="I36" s="114"/>
      <c r="J36" s="114"/>
      <c r="K36" s="114"/>
      <c r="L36" s="114"/>
      <c r="M36" s="114"/>
      <c r="N36" s="114"/>
      <c r="O36" s="114"/>
      <c r="P36" s="114"/>
      <c r="Q36" s="114"/>
      <c r="R36" s="114"/>
      <c r="S36" s="114"/>
      <c r="T36" s="114"/>
      <c r="U36" s="114"/>
      <c r="V36" s="114"/>
      <c r="W36" s="114"/>
      <c r="X36" s="114"/>
      <c r="Y36" s="114"/>
      <c r="Z36" s="114"/>
    </row>
    <row r="37" spans="1:26" ht="12.75" customHeight="1">
      <c r="A37" s="108">
        <v>5.3</v>
      </c>
      <c r="B37" s="109" t="s">
        <v>92</v>
      </c>
      <c r="C37" s="110" t="s">
        <v>49</v>
      </c>
      <c r="D37" s="111">
        <v>22</v>
      </c>
      <c r="E37" s="120">
        <v>785000</v>
      </c>
      <c r="F37" s="113">
        <f t="shared" si="4"/>
        <v>17270000</v>
      </c>
      <c r="G37" s="114"/>
      <c r="H37" s="114"/>
      <c r="I37" s="114"/>
      <c r="J37" s="114"/>
      <c r="K37" s="114"/>
      <c r="L37" s="114"/>
      <c r="M37" s="114"/>
      <c r="N37" s="114"/>
      <c r="O37" s="114"/>
      <c r="P37" s="114"/>
      <c r="Q37" s="114"/>
      <c r="R37" s="114"/>
      <c r="S37" s="114"/>
      <c r="T37" s="114"/>
      <c r="U37" s="114"/>
      <c r="V37" s="114"/>
      <c r="W37" s="114"/>
      <c r="X37" s="114"/>
      <c r="Y37" s="114"/>
      <c r="Z37" s="114"/>
    </row>
    <row r="38" spans="1:26" ht="12.75" customHeight="1">
      <c r="A38" s="108">
        <v>5.4</v>
      </c>
      <c r="B38" s="109" t="s">
        <v>93</v>
      </c>
      <c r="C38" s="110" t="s">
        <v>73</v>
      </c>
      <c r="D38" s="111">
        <v>2</v>
      </c>
      <c r="E38" s="112">
        <v>995012</v>
      </c>
      <c r="F38" s="113">
        <f t="shared" si="4"/>
        <v>1990024</v>
      </c>
      <c r="G38" s="114"/>
      <c r="H38" s="114"/>
      <c r="I38" s="114"/>
      <c r="J38" s="114"/>
      <c r="K38" s="114"/>
      <c r="L38" s="114"/>
      <c r="M38" s="114"/>
      <c r="N38" s="114"/>
      <c r="O38" s="114"/>
      <c r="P38" s="114"/>
      <c r="Q38" s="114"/>
      <c r="R38" s="114"/>
      <c r="S38" s="114"/>
      <c r="T38" s="114"/>
      <c r="U38" s="114"/>
      <c r="V38" s="114"/>
      <c r="W38" s="114"/>
      <c r="X38" s="114"/>
      <c r="Y38" s="114"/>
      <c r="Z38" s="114"/>
    </row>
    <row r="39" spans="1:26" ht="12.75" customHeight="1">
      <c r="A39" s="108">
        <v>5.5</v>
      </c>
      <c r="B39" s="109" t="s">
        <v>78</v>
      </c>
      <c r="C39" s="110" t="s">
        <v>73</v>
      </c>
      <c r="D39" s="111">
        <v>2</v>
      </c>
      <c r="E39" s="112">
        <v>346235.5</v>
      </c>
      <c r="F39" s="113">
        <f t="shared" si="4"/>
        <v>692471</v>
      </c>
      <c r="G39" s="114"/>
      <c r="H39" s="114"/>
      <c r="I39" s="114"/>
      <c r="J39" s="114"/>
      <c r="K39" s="114"/>
      <c r="L39" s="114"/>
      <c r="M39" s="114"/>
      <c r="N39" s="114"/>
      <c r="O39" s="114"/>
      <c r="P39" s="114"/>
      <c r="Q39" s="114"/>
      <c r="R39" s="114"/>
      <c r="S39" s="114"/>
      <c r="T39" s="114"/>
      <c r="U39" s="114"/>
      <c r="V39" s="114"/>
      <c r="W39" s="114"/>
      <c r="X39" s="114"/>
      <c r="Y39" s="114"/>
      <c r="Z39" s="114"/>
    </row>
    <row r="40" spans="1:26" ht="12.75" customHeight="1">
      <c r="A40" s="115"/>
      <c r="B40" s="116" t="s">
        <v>75</v>
      </c>
      <c r="C40" s="110"/>
      <c r="D40" s="111"/>
      <c r="E40" s="117"/>
      <c r="F40" s="118">
        <f>SUM(F35:F38)</f>
        <v>21687963</v>
      </c>
      <c r="G40" s="114"/>
      <c r="H40" s="114"/>
      <c r="I40" s="114"/>
      <c r="J40" s="114"/>
      <c r="K40" s="114"/>
      <c r="L40" s="114"/>
      <c r="M40" s="114"/>
      <c r="N40" s="114"/>
      <c r="O40" s="114"/>
      <c r="P40" s="114"/>
      <c r="Q40" s="114"/>
      <c r="R40" s="114"/>
      <c r="S40" s="114"/>
      <c r="T40" s="114"/>
      <c r="U40" s="114"/>
      <c r="V40" s="114"/>
      <c r="W40" s="114"/>
      <c r="X40" s="114"/>
      <c r="Y40" s="114"/>
      <c r="Z40" s="114"/>
    </row>
    <row r="41" spans="1:26" ht="12.75" customHeight="1">
      <c r="A41" s="115">
        <v>6</v>
      </c>
      <c r="B41" s="116" t="s">
        <v>94</v>
      </c>
      <c r="C41" s="110"/>
      <c r="D41" s="111"/>
      <c r="E41" s="117"/>
      <c r="F41" s="113"/>
      <c r="G41" s="114"/>
      <c r="H41" s="114"/>
      <c r="I41" s="114"/>
      <c r="J41" s="114"/>
      <c r="K41" s="114"/>
      <c r="L41" s="114"/>
      <c r="M41" s="114"/>
      <c r="N41" s="114"/>
      <c r="O41" s="114"/>
      <c r="P41" s="114"/>
      <c r="Q41" s="114"/>
      <c r="R41" s="114"/>
      <c r="S41" s="114"/>
      <c r="T41" s="114"/>
      <c r="U41" s="114"/>
      <c r="V41" s="114"/>
      <c r="W41" s="114"/>
      <c r="X41" s="114"/>
      <c r="Y41" s="114"/>
      <c r="Z41" s="114"/>
    </row>
    <row r="42" spans="1:26" ht="12.75" customHeight="1">
      <c r="A42" s="108">
        <v>6.1</v>
      </c>
      <c r="B42" s="109" t="s">
        <v>95</v>
      </c>
      <c r="C42" s="110" t="s">
        <v>26</v>
      </c>
      <c r="D42" s="111">
        <v>130</v>
      </c>
      <c r="E42" s="112">
        <v>148500</v>
      </c>
      <c r="F42" s="113">
        <f t="shared" ref="F42:F48" si="5">D42*E42</f>
        <v>19305000</v>
      </c>
      <c r="G42" s="114"/>
      <c r="H42" s="114"/>
      <c r="I42" s="114"/>
      <c r="J42" s="114"/>
      <c r="K42" s="114"/>
      <c r="L42" s="114"/>
      <c r="M42" s="114"/>
      <c r="N42" s="114"/>
      <c r="O42" s="114"/>
      <c r="P42" s="114"/>
      <c r="Q42" s="114"/>
      <c r="R42" s="114"/>
      <c r="S42" s="114"/>
      <c r="T42" s="114"/>
      <c r="U42" s="114"/>
      <c r="V42" s="114"/>
      <c r="W42" s="114"/>
      <c r="X42" s="114"/>
      <c r="Y42" s="114"/>
      <c r="Z42" s="114"/>
    </row>
    <row r="43" spans="1:26" ht="12.75" customHeight="1">
      <c r="A43" s="108">
        <v>6.2</v>
      </c>
      <c r="B43" s="109" t="s">
        <v>96</v>
      </c>
      <c r="C43" s="110" t="s">
        <v>6</v>
      </c>
      <c r="D43" s="111">
        <v>39</v>
      </c>
      <c r="E43" s="112">
        <v>132500</v>
      </c>
      <c r="F43" s="113">
        <f t="shared" si="5"/>
        <v>5167500</v>
      </c>
      <c r="G43" s="114"/>
      <c r="H43" s="114"/>
      <c r="I43" s="114"/>
      <c r="J43" s="114"/>
      <c r="K43" s="114"/>
      <c r="L43" s="114"/>
      <c r="M43" s="114"/>
      <c r="N43" s="114"/>
      <c r="O43" s="114"/>
      <c r="P43" s="114"/>
      <c r="Q43" s="114"/>
      <c r="R43" s="114"/>
      <c r="S43" s="114"/>
      <c r="T43" s="114"/>
      <c r="U43" s="114"/>
      <c r="V43" s="114"/>
      <c r="W43" s="114"/>
      <c r="X43" s="114"/>
      <c r="Y43" s="114"/>
      <c r="Z43" s="114"/>
    </row>
    <row r="44" spans="1:26" ht="12.75" customHeight="1">
      <c r="A44" s="108">
        <v>6.3</v>
      </c>
      <c r="B44" s="109" t="s">
        <v>97</v>
      </c>
      <c r="C44" s="110" t="s">
        <v>55</v>
      </c>
      <c r="D44" s="111">
        <v>60</v>
      </c>
      <c r="E44" s="112">
        <v>25304.559999999998</v>
      </c>
      <c r="F44" s="113">
        <f t="shared" si="5"/>
        <v>1518273.5999999999</v>
      </c>
      <c r="G44" s="114"/>
      <c r="H44" s="114"/>
      <c r="I44" s="114"/>
      <c r="J44" s="114"/>
      <c r="K44" s="114"/>
      <c r="L44" s="114"/>
      <c r="M44" s="114"/>
      <c r="N44" s="114"/>
      <c r="O44" s="114"/>
      <c r="P44" s="114"/>
      <c r="Q44" s="114"/>
      <c r="R44" s="114"/>
      <c r="S44" s="114"/>
      <c r="T44" s="114"/>
      <c r="U44" s="114"/>
      <c r="V44" s="114"/>
      <c r="W44" s="114"/>
      <c r="X44" s="114"/>
      <c r="Y44" s="114"/>
      <c r="Z44" s="114"/>
    </row>
    <row r="45" spans="1:26" ht="13.5" customHeight="1">
      <c r="A45" s="108">
        <v>6.4</v>
      </c>
      <c r="B45" s="109" t="s">
        <v>98</v>
      </c>
      <c r="C45" s="110" t="s">
        <v>55</v>
      </c>
      <c r="D45" s="111">
        <v>60</v>
      </c>
      <c r="E45" s="112">
        <v>16800</v>
      </c>
      <c r="F45" s="113">
        <f t="shared" si="5"/>
        <v>1008000</v>
      </c>
      <c r="G45" s="114"/>
      <c r="H45" s="114"/>
      <c r="I45" s="114"/>
      <c r="J45" s="114"/>
      <c r="K45" s="114"/>
      <c r="L45" s="114"/>
      <c r="M45" s="114"/>
      <c r="N45" s="114"/>
      <c r="O45" s="114"/>
      <c r="P45" s="114"/>
      <c r="Q45" s="114"/>
      <c r="R45" s="114"/>
      <c r="S45" s="114"/>
      <c r="T45" s="114"/>
      <c r="U45" s="114"/>
      <c r="V45" s="114"/>
      <c r="W45" s="114"/>
      <c r="X45" s="114"/>
      <c r="Y45" s="114"/>
      <c r="Z45" s="114"/>
    </row>
    <row r="46" spans="1:26" ht="12.75" customHeight="1">
      <c r="A46" s="108">
        <v>6.5</v>
      </c>
      <c r="B46" s="109" t="s">
        <v>99</v>
      </c>
      <c r="C46" s="110" t="s">
        <v>6</v>
      </c>
      <c r="D46" s="111">
        <v>40</v>
      </c>
      <c r="E46" s="112">
        <v>79241.040000000008</v>
      </c>
      <c r="F46" s="113">
        <f t="shared" si="5"/>
        <v>3169641.6000000006</v>
      </c>
      <c r="G46" s="114"/>
      <c r="H46" s="114"/>
      <c r="I46" s="114"/>
      <c r="J46" s="114"/>
      <c r="K46" s="114"/>
      <c r="L46" s="114"/>
      <c r="M46" s="114"/>
      <c r="N46" s="114"/>
      <c r="O46" s="114"/>
      <c r="P46" s="114"/>
      <c r="Q46" s="114"/>
      <c r="R46" s="114"/>
      <c r="S46" s="114"/>
      <c r="T46" s="114"/>
      <c r="U46" s="114"/>
      <c r="V46" s="114"/>
      <c r="W46" s="114"/>
      <c r="X46" s="114"/>
      <c r="Y46" s="114"/>
      <c r="Z46" s="114"/>
    </row>
    <row r="47" spans="1:26" ht="12.75" customHeight="1">
      <c r="A47" s="108">
        <v>6.6</v>
      </c>
      <c r="B47" s="109" t="s">
        <v>100</v>
      </c>
      <c r="C47" s="110" t="s">
        <v>55</v>
      </c>
      <c r="D47" s="111">
        <v>30</v>
      </c>
      <c r="E47" s="112">
        <v>297194.16000000003</v>
      </c>
      <c r="F47" s="113">
        <f t="shared" si="5"/>
        <v>8915824.8000000007</v>
      </c>
      <c r="G47" s="114"/>
      <c r="H47" s="114"/>
      <c r="I47" s="114"/>
      <c r="J47" s="114"/>
      <c r="K47" s="114"/>
      <c r="L47" s="114"/>
      <c r="M47" s="114"/>
      <c r="N47" s="114"/>
      <c r="O47" s="114"/>
      <c r="P47" s="114"/>
      <c r="Q47" s="114"/>
      <c r="R47" s="114"/>
      <c r="S47" s="114"/>
      <c r="T47" s="114"/>
      <c r="U47" s="114"/>
      <c r="V47" s="114"/>
      <c r="W47" s="114"/>
      <c r="X47" s="114"/>
      <c r="Y47" s="114"/>
      <c r="Z47" s="114"/>
    </row>
    <row r="48" spans="1:26" ht="12.75" customHeight="1">
      <c r="A48" s="108">
        <v>6.7</v>
      </c>
      <c r="B48" s="109" t="s">
        <v>101</v>
      </c>
      <c r="C48" s="110" t="s">
        <v>102</v>
      </c>
      <c r="D48" s="111">
        <v>37</v>
      </c>
      <c r="E48" s="112">
        <v>79800</v>
      </c>
      <c r="F48" s="113">
        <f t="shared" si="5"/>
        <v>2952600</v>
      </c>
      <c r="G48" s="114"/>
      <c r="H48" s="114"/>
      <c r="I48" s="114"/>
      <c r="J48" s="114"/>
      <c r="K48" s="114"/>
      <c r="L48" s="114"/>
      <c r="M48" s="114"/>
      <c r="N48" s="114"/>
      <c r="O48" s="114"/>
      <c r="P48" s="114"/>
      <c r="Q48" s="114"/>
      <c r="R48" s="114"/>
      <c r="S48" s="114"/>
      <c r="T48" s="114"/>
      <c r="U48" s="114"/>
      <c r="V48" s="114"/>
      <c r="W48" s="114"/>
      <c r="X48" s="114"/>
      <c r="Y48" s="114"/>
      <c r="Z48" s="114"/>
    </row>
    <row r="49" spans="1:26" ht="12.75" customHeight="1">
      <c r="A49" s="115"/>
      <c r="B49" s="116" t="s">
        <v>75</v>
      </c>
      <c r="C49" s="110"/>
      <c r="D49" s="111"/>
      <c r="E49" s="117"/>
      <c r="F49" s="118">
        <f>SUM(F42:F48)</f>
        <v>42036840</v>
      </c>
      <c r="G49" s="114"/>
      <c r="H49" s="114"/>
      <c r="I49" s="114"/>
      <c r="J49" s="114"/>
      <c r="K49" s="114"/>
      <c r="L49" s="114"/>
      <c r="M49" s="114"/>
      <c r="N49" s="114"/>
      <c r="O49" s="114"/>
      <c r="P49" s="114"/>
      <c r="Q49" s="114"/>
      <c r="R49" s="114"/>
      <c r="S49" s="114"/>
      <c r="T49" s="114"/>
      <c r="U49" s="114"/>
      <c r="V49" s="114"/>
      <c r="W49" s="114"/>
      <c r="X49" s="114"/>
      <c r="Y49" s="114"/>
      <c r="Z49" s="114"/>
    </row>
    <row r="50" spans="1:26" ht="12.75" customHeight="1">
      <c r="A50" s="115">
        <v>7</v>
      </c>
      <c r="B50" s="116" t="s">
        <v>103</v>
      </c>
      <c r="C50" s="110"/>
      <c r="D50" s="111"/>
      <c r="E50" s="117"/>
      <c r="F50" s="113"/>
      <c r="G50" s="114"/>
      <c r="H50" s="114"/>
      <c r="I50" s="114"/>
      <c r="J50" s="114"/>
      <c r="K50" s="114"/>
      <c r="L50" s="114"/>
      <c r="M50" s="114"/>
      <c r="N50" s="114"/>
      <c r="O50" s="114"/>
      <c r="P50" s="114"/>
      <c r="Q50" s="114"/>
      <c r="R50" s="114"/>
      <c r="S50" s="114"/>
      <c r="T50" s="114"/>
      <c r="U50" s="114"/>
      <c r="V50" s="114"/>
      <c r="W50" s="114"/>
      <c r="X50" s="114"/>
      <c r="Y50" s="114"/>
      <c r="Z50" s="114"/>
    </row>
    <row r="51" spans="1:26" ht="12.75" customHeight="1">
      <c r="A51" s="108">
        <v>7.1</v>
      </c>
      <c r="B51" s="109" t="s">
        <v>104</v>
      </c>
      <c r="C51" s="110" t="s">
        <v>6</v>
      </c>
      <c r="D51" s="111">
        <v>1</v>
      </c>
      <c r="E51" s="112">
        <v>160413.5</v>
      </c>
      <c r="F51" s="113">
        <f t="shared" ref="F51:F56" si="6">D51*E51</f>
        <v>160413.5</v>
      </c>
      <c r="G51" s="114"/>
      <c r="H51" s="114"/>
      <c r="I51" s="114"/>
      <c r="J51" s="114"/>
      <c r="K51" s="114"/>
      <c r="L51" s="114"/>
      <c r="M51" s="114"/>
      <c r="N51" s="114"/>
      <c r="O51" s="114"/>
      <c r="P51" s="114"/>
      <c r="Q51" s="114"/>
      <c r="R51" s="114"/>
      <c r="S51" s="114"/>
      <c r="T51" s="114"/>
      <c r="U51" s="114"/>
      <c r="V51" s="114"/>
      <c r="W51" s="114"/>
      <c r="X51" s="114"/>
      <c r="Y51" s="114"/>
      <c r="Z51" s="114"/>
    </row>
    <row r="52" spans="1:26" ht="12.75" customHeight="1">
      <c r="A52" s="108">
        <v>7.2</v>
      </c>
      <c r="B52" s="109" t="s">
        <v>105</v>
      </c>
      <c r="C52" s="110" t="s">
        <v>6</v>
      </c>
      <c r="D52" s="111">
        <v>1</v>
      </c>
      <c r="E52" s="112">
        <v>479613.5</v>
      </c>
      <c r="F52" s="113">
        <f t="shared" si="6"/>
        <v>479613.5</v>
      </c>
      <c r="G52" s="114"/>
      <c r="H52" s="114"/>
      <c r="I52" s="114"/>
      <c r="J52" s="114"/>
      <c r="K52" s="114"/>
      <c r="L52" s="114"/>
      <c r="M52" s="114"/>
      <c r="N52" s="114"/>
      <c r="O52" s="114"/>
      <c r="P52" s="114"/>
      <c r="Q52" s="114"/>
      <c r="R52" s="114"/>
      <c r="S52" s="114"/>
      <c r="T52" s="114"/>
      <c r="U52" s="114"/>
      <c r="V52" s="114"/>
      <c r="W52" s="114"/>
      <c r="X52" s="114"/>
      <c r="Y52" s="114"/>
      <c r="Z52" s="114"/>
    </row>
    <row r="53" spans="1:26" ht="12.75" customHeight="1">
      <c r="A53" s="108">
        <v>7.3</v>
      </c>
      <c r="B53" s="109" t="s">
        <v>106</v>
      </c>
      <c r="C53" s="110" t="s">
        <v>55</v>
      </c>
      <c r="D53" s="111">
        <v>37</v>
      </c>
      <c r="E53" s="112">
        <v>92500</v>
      </c>
      <c r="F53" s="113">
        <f t="shared" si="6"/>
        <v>3422500</v>
      </c>
      <c r="G53" s="114"/>
      <c r="H53" s="114"/>
      <c r="I53" s="114"/>
      <c r="J53" s="114"/>
      <c r="K53" s="114"/>
      <c r="L53" s="114"/>
      <c r="M53" s="114"/>
      <c r="N53" s="114"/>
      <c r="O53" s="114"/>
      <c r="P53" s="114"/>
      <c r="Q53" s="114"/>
      <c r="R53" s="114"/>
      <c r="S53" s="114"/>
      <c r="T53" s="114"/>
      <c r="U53" s="114"/>
      <c r="V53" s="114"/>
      <c r="W53" s="114"/>
      <c r="X53" s="114"/>
      <c r="Y53" s="114"/>
      <c r="Z53" s="114"/>
    </row>
    <row r="54" spans="1:26" ht="12.75" customHeight="1">
      <c r="A54" s="108">
        <v>7.4</v>
      </c>
      <c r="B54" s="109" t="s">
        <v>107</v>
      </c>
      <c r="C54" s="110" t="s">
        <v>87</v>
      </c>
      <c r="D54" s="111">
        <v>42</v>
      </c>
      <c r="E54" s="112">
        <v>78984</v>
      </c>
      <c r="F54" s="113">
        <f t="shared" si="6"/>
        <v>3317328</v>
      </c>
      <c r="G54" s="114"/>
      <c r="H54" s="114"/>
      <c r="I54" s="114"/>
      <c r="J54" s="114"/>
      <c r="K54" s="114"/>
      <c r="L54" s="114"/>
      <c r="M54" s="114"/>
      <c r="N54" s="114"/>
      <c r="O54" s="114"/>
      <c r="P54" s="114"/>
      <c r="Q54" s="114"/>
      <c r="R54" s="114"/>
      <c r="S54" s="114"/>
      <c r="T54" s="114"/>
      <c r="U54" s="114"/>
      <c r="V54" s="114"/>
      <c r="W54" s="114"/>
      <c r="X54" s="114"/>
      <c r="Y54" s="114"/>
      <c r="Z54" s="114"/>
    </row>
    <row r="55" spans="1:26" ht="12.75" customHeight="1">
      <c r="A55" s="108">
        <v>7.5</v>
      </c>
      <c r="B55" s="109" t="s">
        <v>108</v>
      </c>
      <c r="C55" s="110" t="s">
        <v>73</v>
      </c>
      <c r="D55" s="111">
        <v>36</v>
      </c>
      <c r="E55" s="112">
        <v>45200</v>
      </c>
      <c r="F55" s="113">
        <f t="shared" si="6"/>
        <v>1627200</v>
      </c>
      <c r="G55" s="114"/>
      <c r="H55" s="114"/>
      <c r="I55" s="114"/>
      <c r="J55" s="114"/>
      <c r="K55" s="114"/>
      <c r="L55" s="114"/>
      <c r="M55" s="114"/>
      <c r="N55" s="114"/>
      <c r="O55" s="114"/>
      <c r="P55" s="114"/>
      <c r="Q55" s="114"/>
      <c r="R55" s="114"/>
      <c r="S55" s="114"/>
      <c r="T55" s="114"/>
      <c r="U55" s="114"/>
      <c r="V55" s="114"/>
      <c r="W55" s="114"/>
      <c r="X55" s="114"/>
      <c r="Y55" s="114"/>
      <c r="Z55" s="114"/>
    </row>
    <row r="56" spans="1:26" ht="12.75" customHeight="1">
      <c r="A56" s="108">
        <v>7.6</v>
      </c>
      <c r="B56" s="109" t="s">
        <v>109</v>
      </c>
      <c r="C56" s="110" t="s">
        <v>73</v>
      </c>
      <c r="D56" s="111">
        <v>36</v>
      </c>
      <c r="E56" s="112">
        <v>245300</v>
      </c>
      <c r="F56" s="113">
        <f t="shared" si="6"/>
        <v>8830800</v>
      </c>
      <c r="G56" s="114"/>
      <c r="H56" s="114"/>
      <c r="I56" s="114"/>
      <c r="J56" s="114"/>
      <c r="K56" s="114"/>
      <c r="L56" s="114"/>
      <c r="M56" s="114"/>
      <c r="N56" s="114"/>
      <c r="O56" s="114"/>
      <c r="P56" s="114"/>
      <c r="Q56" s="114"/>
      <c r="R56" s="114"/>
      <c r="S56" s="114"/>
      <c r="T56" s="114"/>
      <c r="U56" s="114"/>
      <c r="V56" s="114"/>
      <c r="W56" s="114"/>
      <c r="X56" s="114"/>
      <c r="Y56" s="114"/>
      <c r="Z56" s="114"/>
    </row>
    <row r="57" spans="1:26" ht="12.75" customHeight="1">
      <c r="A57" s="108"/>
      <c r="B57" s="116" t="s">
        <v>75</v>
      </c>
      <c r="C57" s="110"/>
      <c r="D57" s="111"/>
      <c r="E57" s="117"/>
      <c r="F57" s="118">
        <f>SUM(F51:F56)</f>
        <v>17837855</v>
      </c>
      <c r="G57" s="114"/>
      <c r="H57" s="114"/>
      <c r="I57" s="114"/>
      <c r="J57" s="114"/>
      <c r="K57" s="114"/>
      <c r="L57" s="114"/>
      <c r="M57" s="114"/>
      <c r="N57" s="114"/>
      <c r="O57" s="114"/>
      <c r="P57" s="114"/>
      <c r="Q57" s="114"/>
      <c r="R57" s="114"/>
      <c r="S57" s="114"/>
      <c r="T57" s="114"/>
      <c r="U57" s="114"/>
      <c r="V57" s="114"/>
      <c r="W57" s="114"/>
      <c r="X57" s="114"/>
      <c r="Y57" s="114"/>
      <c r="Z57" s="114"/>
    </row>
    <row r="58" spans="1:26" ht="12.75" customHeight="1">
      <c r="A58" s="115">
        <v>8</v>
      </c>
      <c r="B58" s="116" t="s">
        <v>110</v>
      </c>
      <c r="C58" s="110"/>
      <c r="D58" s="111"/>
      <c r="E58" s="117"/>
      <c r="F58" s="113"/>
      <c r="G58" s="114"/>
      <c r="H58" s="114"/>
      <c r="I58" s="114"/>
      <c r="J58" s="114"/>
      <c r="K58" s="114"/>
      <c r="L58" s="114"/>
      <c r="M58" s="114"/>
      <c r="N58" s="114"/>
      <c r="O58" s="114"/>
      <c r="P58" s="114"/>
      <c r="Q58" s="114"/>
      <c r="R58" s="114"/>
      <c r="S58" s="114"/>
      <c r="T58" s="114"/>
      <c r="U58" s="114"/>
      <c r="V58" s="114"/>
      <c r="W58" s="114"/>
      <c r="X58" s="114"/>
      <c r="Y58" s="114"/>
      <c r="Z58" s="114"/>
    </row>
    <row r="59" spans="1:26" ht="12.75" customHeight="1">
      <c r="A59" s="108">
        <v>8.1</v>
      </c>
      <c r="B59" s="109" t="s">
        <v>111</v>
      </c>
      <c r="C59" s="110" t="s">
        <v>49</v>
      </c>
      <c r="D59" s="111">
        <v>300</v>
      </c>
      <c r="E59" s="112">
        <v>154800</v>
      </c>
      <c r="F59" s="113">
        <f t="shared" ref="F59:F60" si="7">D59*E59</f>
        <v>46440000</v>
      </c>
      <c r="G59" s="114"/>
      <c r="H59" s="114"/>
      <c r="I59" s="114"/>
      <c r="J59" s="114"/>
      <c r="K59" s="114"/>
      <c r="L59" s="114"/>
      <c r="M59" s="114"/>
      <c r="N59" s="114"/>
      <c r="O59" s="114"/>
      <c r="P59" s="114"/>
      <c r="Q59" s="114"/>
      <c r="R59" s="114"/>
      <c r="S59" s="114"/>
      <c r="T59" s="114"/>
      <c r="U59" s="114"/>
      <c r="V59" s="114"/>
      <c r="W59" s="114"/>
      <c r="X59" s="114"/>
      <c r="Y59" s="114"/>
      <c r="Z59" s="114"/>
    </row>
    <row r="60" spans="1:26" ht="12.75" customHeight="1">
      <c r="A60" s="108">
        <v>8.1999999999999993</v>
      </c>
      <c r="B60" s="109" t="s">
        <v>112</v>
      </c>
      <c r="C60" s="110" t="s">
        <v>49</v>
      </c>
      <c r="D60" s="111">
        <v>365</v>
      </c>
      <c r="E60" s="112">
        <v>65251.3</v>
      </c>
      <c r="F60" s="113">
        <f t="shared" si="7"/>
        <v>23816724.5</v>
      </c>
      <c r="G60" s="114"/>
      <c r="H60" s="114"/>
      <c r="I60" s="114"/>
      <c r="J60" s="114"/>
      <c r="K60" s="114"/>
      <c r="L60" s="114"/>
      <c r="M60" s="114"/>
      <c r="N60" s="114"/>
      <c r="O60" s="114"/>
      <c r="P60" s="114"/>
      <c r="Q60" s="114"/>
      <c r="R60" s="114"/>
      <c r="S60" s="114"/>
      <c r="T60" s="114"/>
      <c r="U60" s="114"/>
      <c r="V60" s="114"/>
      <c r="W60" s="114"/>
      <c r="X60" s="114"/>
      <c r="Y60" s="114"/>
      <c r="Z60" s="114"/>
    </row>
    <row r="61" spans="1:26" ht="12.75" customHeight="1">
      <c r="A61" s="115"/>
      <c r="B61" s="116" t="s">
        <v>75</v>
      </c>
      <c r="C61" s="110"/>
      <c r="D61" s="111"/>
      <c r="E61" s="117"/>
      <c r="F61" s="118">
        <f>SUM(F59:F60)</f>
        <v>70256724.5</v>
      </c>
      <c r="G61" s="114"/>
      <c r="H61" s="114"/>
      <c r="I61" s="114"/>
      <c r="J61" s="114"/>
      <c r="K61" s="114"/>
      <c r="L61" s="114"/>
      <c r="M61" s="114"/>
      <c r="N61" s="114"/>
      <c r="O61" s="114"/>
      <c r="P61" s="114"/>
      <c r="Q61" s="114"/>
      <c r="R61" s="114"/>
      <c r="S61" s="114"/>
      <c r="T61" s="114"/>
      <c r="U61" s="114"/>
      <c r="V61" s="114"/>
      <c r="W61" s="114"/>
      <c r="X61" s="114"/>
      <c r="Y61" s="114"/>
      <c r="Z61" s="114"/>
    </row>
    <row r="62" spans="1:26" ht="12.75" customHeight="1">
      <c r="A62" s="115">
        <v>9</v>
      </c>
      <c r="B62" s="116" t="s">
        <v>113</v>
      </c>
      <c r="C62" s="110"/>
      <c r="D62" s="111"/>
      <c r="E62" s="117"/>
      <c r="F62" s="113"/>
      <c r="G62" s="114"/>
      <c r="H62" s="114"/>
      <c r="I62" s="114"/>
      <c r="J62" s="114"/>
      <c r="K62" s="114"/>
      <c r="L62" s="114"/>
      <c r="M62" s="114"/>
      <c r="N62" s="114"/>
      <c r="O62" s="114"/>
      <c r="P62" s="114"/>
      <c r="Q62" s="114"/>
      <c r="R62" s="114"/>
      <c r="S62" s="114"/>
      <c r="T62" s="114"/>
      <c r="U62" s="114"/>
      <c r="V62" s="114"/>
      <c r="W62" s="114"/>
      <c r="X62" s="114"/>
      <c r="Y62" s="114"/>
      <c r="Z62" s="114"/>
    </row>
    <row r="63" spans="1:26" ht="12.75" customHeight="1">
      <c r="A63" s="108">
        <v>9.1</v>
      </c>
      <c r="B63" s="109" t="s">
        <v>79</v>
      </c>
      <c r="C63" s="110" t="s">
        <v>49</v>
      </c>
      <c r="D63" s="111">
        <v>612</v>
      </c>
      <c r="E63" s="112">
        <v>25304.559999999998</v>
      </c>
      <c r="F63" s="113">
        <f t="shared" ref="F63:F66" si="8">D63*E63</f>
        <v>15486390.719999999</v>
      </c>
      <c r="G63" s="114"/>
      <c r="H63" s="114"/>
      <c r="I63" s="114"/>
      <c r="J63" s="114"/>
      <c r="K63" s="114"/>
      <c r="L63" s="114"/>
      <c r="M63" s="114"/>
      <c r="N63" s="114"/>
      <c r="O63" s="114"/>
      <c r="P63" s="114"/>
      <c r="Q63" s="114"/>
      <c r="R63" s="114"/>
      <c r="S63" s="114"/>
      <c r="T63" s="114"/>
      <c r="U63" s="114"/>
      <c r="V63" s="114"/>
      <c r="W63" s="114"/>
      <c r="X63" s="114"/>
      <c r="Y63" s="114"/>
      <c r="Z63" s="114"/>
    </row>
    <row r="64" spans="1:26" ht="12.75" customHeight="1">
      <c r="A64" s="108">
        <v>9.1999999999999993</v>
      </c>
      <c r="B64" s="109" t="s">
        <v>114</v>
      </c>
      <c r="C64" s="110" t="s">
        <v>6</v>
      </c>
      <c r="D64" s="111">
        <v>1</v>
      </c>
      <c r="E64" s="112">
        <v>882306</v>
      </c>
      <c r="F64" s="113">
        <f t="shared" si="8"/>
        <v>882306</v>
      </c>
      <c r="G64" s="114"/>
      <c r="H64" s="114"/>
      <c r="I64" s="114"/>
      <c r="J64" s="114"/>
      <c r="K64" s="114"/>
      <c r="L64" s="114"/>
      <c r="M64" s="114"/>
      <c r="N64" s="114"/>
      <c r="O64" s="114"/>
      <c r="P64" s="114"/>
      <c r="Q64" s="114"/>
      <c r="R64" s="114"/>
      <c r="S64" s="114"/>
      <c r="T64" s="114"/>
      <c r="U64" s="114"/>
      <c r="V64" s="114"/>
      <c r="W64" s="114"/>
      <c r="X64" s="114"/>
      <c r="Y64" s="114"/>
      <c r="Z64" s="114"/>
    </row>
    <row r="65" spans="1:26" ht="12.75" customHeight="1">
      <c r="A65" s="108">
        <v>9.3000000000000007</v>
      </c>
      <c r="B65" s="109" t="s">
        <v>115</v>
      </c>
      <c r="C65" s="110" t="s">
        <v>6</v>
      </c>
      <c r="D65" s="121">
        <f>35</f>
        <v>35</v>
      </c>
      <c r="E65" s="112">
        <v>102790</v>
      </c>
      <c r="F65" s="113">
        <f t="shared" si="8"/>
        <v>3597650</v>
      </c>
      <c r="G65" s="114"/>
      <c r="H65" s="114"/>
      <c r="I65" s="114"/>
      <c r="J65" s="114"/>
      <c r="K65" s="114"/>
      <c r="L65" s="114"/>
      <c r="M65" s="114"/>
      <c r="N65" s="114"/>
      <c r="O65" s="114"/>
      <c r="P65" s="114"/>
      <c r="Q65" s="114"/>
      <c r="R65" s="114"/>
      <c r="S65" s="114"/>
      <c r="T65" s="114"/>
      <c r="U65" s="114"/>
      <c r="V65" s="114"/>
      <c r="W65" s="114"/>
      <c r="X65" s="114"/>
      <c r="Y65" s="114"/>
      <c r="Z65" s="114"/>
    </row>
    <row r="66" spans="1:26" ht="12.75" customHeight="1">
      <c r="A66" s="108">
        <v>9.4</v>
      </c>
      <c r="B66" s="109" t="s">
        <v>116</v>
      </c>
      <c r="C66" s="110" t="s">
        <v>24</v>
      </c>
      <c r="D66" s="121">
        <f>12</f>
        <v>12</v>
      </c>
      <c r="E66" s="112">
        <v>620450</v>
      </c>
      <c r="F66" s="113">
        <f t="shared" si="8"/>
        <v>7445400</v>
      </c>
      <c r="G66" s="114"/>
      <c r="H66" s="114"/>
      <c r="I66" s="114"/>
      <c r="J66" s="114"/>
      <c r="K66" s="114"/>
      <c r="L66" s="114"/>
      <c r="M66" s="114"/>
      <c r="N66" s="114"/>
      <c r="O66" s="114"/>
      <c r="P66" s="114"/>
      <c r="Q66" s="114"/>
      <c r="R66" s="114"/>
      <c r="S66" s="114"/>
      <c r="T66" s="114"/>
      <c r="U66" s="114"/>
      <c r="V66" s="114"/>
      <c r="W66" s="114"/>
      <c r="X66" s="114"/>
      <c r="Y66" s="114"/>
      <c r="Z66" s="114"/>
    </row>
    <row r="67" spans="1:26" ht="12.75" customHeight="1">
      <c r="A67" s="115"/>
      <c r="B67" s="122" t="s">
        <v>75</v>
      </c>
      <c r="C67" s="110"/>
      <c r="D67" s="111"/>
      <c r="E67" s="117"/>
      <c r="F67" s="118">
        <f>F13+F18+F28+F33+F40+F49+F57+F61+F70</f>
        <v>214827309.34</v>
      </c>
      <c r="G67" s="114"/>
      <c r="H67" s="114"/>
      <c r="I67" s="114"/>
      <c r="J67" s="114"/>
      <c r="K67" s="114"/>
      <c r="L67" s="114"/>
      <c r="M67" s="114"/>
      <c r="N67" s="114"/>
      <c r="O67" s="114"/>
      <c r="P67" s="114"/>
      <c r="Q67" s="114"/>
      <c r="R67" s="114"/>
      <c r="S67" s="114"/>
      <c r="T67" s="114"/>
      <c r="U67" s="114"/>
      <c r="V67" s="114"/>
      <c r="W67" s="114"/>
      <c r="X67" s="114"/>
      <c r="Y67" s="114"/>
      <c r="Z67" s="114"/>
    </row>
    <row r="68" spans="1:26" ht="12.75" customHeight="1">
      <c r="A68" s="115">
        <v>10</v>
      </c>
      <c r="B68" s="116" t="s">
        <v>117</v>
      </c>
      <c r="C68" s="110"/>
      <c r="D68" s="111"/>
      <c r="E68" s="117"/>
      <c r="F68" s="113"/>
      <c r="G68" s="114"/>
      <c r="H68" s="114"/>
      <c r="I68" s="114"/>
      <c r="J68" s="114"/>
      <c r="K68" s="114"/>
      <c r="L68" s="114"/>
      <c r="M68" s="114"/>
      <c r="N68" s="114"/>
      <c r="O68" s="114"/>
      <c r="P68" s="114"/>
      <c r="Q68" s="114"/>
      <c r="R68" s="114"/>
      <c r="S68" s="114"/>
      <c r="T68" s="114"/>
      <c r="U68" s="114"/>
      <c r="V68" s="114"/>
      <c r="W68" s="114"/>
      <c r="X68" s="114"/>
      <c r="Y68" s="114"/>
      <c r="Z68" s="114"/>
    </row>
    <row r="69" spans="1:26" ht="12.75" customHeight="1">
      <c r="A69" s="108">
        <v>10.1</v>
      </c>
      <c r="B69" s="106" t="s">
        <v>118</v>
      </c>
      <c r="C69" s="101" t="s">
        <v>119</v>
      </c>
      <c r="D69" s="102">
        <f>1</f>
        <v>1</v>
      </c>
      <c r="E69" s="112">
        <v>346235.5</v>
      </c>
      <c r="F69" s="104">
        <f>D69*E69</f>
        <v>346235.5</v>
      </c>
      <c r="G69" s="81"/>
      <c r="H69" s="81"/>
      <c r="I69" s="81"/>
      <c r="J69" s="81"/>
      <c r="K69" s="81"/>
      <c r="L69" s="81"/>
      <c r="M69" s="81"/>
      <c r="N69" s="81"/>
      <c r="O69" s="81"/>
      <c r="P69" s="81"/>
      <c r="Q69" s="81"/>
      <c r="R69" s="81"/>
      <c r="S69" s="81"/>
      <c r="T69" s="81"/>
      <c r="U69" s="81"/>
      <c r="V69" s="81"/>
      <c r="W69" s="81"/>
      <c r="X69" s="81"/>
      <c r="Y69" s="81"/>
      <c r="Z69" s="81"/>
    </row>
    <row r="70" spans="1:26" ht="12.75" customHeight="1">
      <c r="A70" s="99"/>
      <c r="B70" s="123" t="s">
        <v>75</v>
      </c>
      <c r="C70" s="101"/>
      <c r="D70" s="102"/>
      <c r="E70" s="103"/>
      <c r="F70" s="124">
        <f>SUM(F69)</f>
        <v>346235.5</v>
      </c>
      <c r="G70" s="81"/>
      <c r="H70" s="81"/>
      <c r="I70" s="81"/>
      <c r="J70" s="81"/>
      <c r="K70" s="81"/>
      <c r="L70" s="81"/>
      <c r="M70" s="81"/>
      <c r="N70" s="81"/>
      <c r="O70" s="81"/>
      <c r="P70" s="81"/>
      <c r="Q70" s="81"/>
      <c r="R70" s="81"/>
      <c r="S70" s="81"/>
      <c r="T70" s="81"/>
      <c r="U70" s="81"/>
      <c r="V70" s="81"/>
      <c r="W70" s="81"/>
      <c r="X70" s="81"/>
      <c r="Y70" s="81"/>
      <c r="Z70" s="81"/>
    </row>
    <row r="71" spans="1:26" ht="12.75" customHeight="1">
      <c r="A71" s="99"/>
      <c r="B71" s="123" t="s">
        <v>42</v>
      </c>
      <c r="C71" s="101"/>
      <c r="D71" s="102"/>
      <c r="E71" s="103"/>
      <c r="F71" s="124">
        <f>F67</f>
        <v>214827309.34</v>
      </c>
      <c r="G71" s="125"/>
      <c r="H71" s="81"/>
      <c r="I71" s="81"/>
      <c r="J71" s="81"/>
      <c r="K71" s="81"/>
      <c r="L71" s="81"/>
      <c r="M71" s="81"/>
      <c r="N71" s="81"/>
      <c r="O71" s="81"/>
      <c r="P71" s="81"/>
      <c r="Q71" s="81"/>
      <c r="R71" s="81"/>
      <c r="S71" s="81"/>
      <c r="T71" s="81"/>
      <c r="U71" s="81"/>
      <c r="V71" s="81"/>
      <c r="W71" s="81"/>
      <c r="X71" s="81"/>
      <c r="Y71" s="81"/>
      <c r="Z71" s="81"/>
    </row>
    <row r="72" spans="1:26" ht="12.75" customHeight="1">
      <c r="A72" s="99"/>
      <c r="B72" s="123" t="s">
        <v>43</v>
      </c>
      <c r="C72" s="126"/>
      <c r="D72" s="127">
        <v>0.18</v>
      </c>
      <c r="E72" s="128"/>
      <c r="F72" s="124">
        <f>F71*D72</f>
        <v>38668915.681199998</v>
      </c>
      <c r="G72" s="81"/>
      <c r="H72" s="81"/>
      <c r="I72" s="81"/>
      <c r="J72" s="81"/>
      <c r="K72" s="81"/>
      <c r="L72" s="81"/>
      <c r="M72" s="81"/>
      <c r="N72" s="81"/>
      <c r="O72" s="81"/>
      <c r="P72" s="81"/>
      <c r="Q72" s="81"/>
      <c r="R72" s="81"/>
      <c r="S72" s="81"/>
      <c r="T72" s="81"/>
      <c r="U72" s="81"/>
      <c r="V72" s="81"/>
      <c r="W72" s="81"/>
      <c r="X72" s="81"/>
      <c r="Y72" s="81"/>
      <c r="Z72" s="81"/>
    </row>
    <row r="73" spans="1:26" ht="12.75" customHeight="1">
      <c r="A73" s="99"/>
      <c r="B73" s="123" t="s">
        <v>44</v>
      </c>
      <c r="C73" s="126"/>
      <c r="D73" s="127">
        <v>0.08</v>
      </c>
      <c r="E73" s="128"/>
      <c r="F73" s="124">
        <f>F71*D73</f>
        <v>17186184.747200001</v>
      </c>
      <c r="G73" s="81"/>
      <c r="H73" s="81"/>
      <c r="I73" s="81"/>
      <c r="J73" s="81"/>
      <c r="K73" s="81"/>
      <c r="L73" s="81"/>
      <c r="M73" s="81"/>
      <c r="N73" s="81"/>
      <c r="O73" s="81"/>
      <c r="P73" s="81"/>
      <c r="Q73" s="81"/>
      <c r="R73" s="81"/>
      <c r="S73" s="81"/>
      <c r="T73" s="81"/>
      <c r="U73" s="81"/>
      <c r="V73" s="81"/>
      <c r="W73" s="81"/>
      <c r="X73" s="81"/>
      <c r="Y73" s="81"/>
      <c r="Z73" s="81"/>
    </row>
    <row r="74" spans="1:26" ht="12.75" customHeight="1">
      <c r="A74" s="99"/>
      <c r="B74" s="123" t="s">
        <v>45</v>
      </c>
      <c r="C74" s="126"/>
      <c r="D74" s="127">
        <v>0.04</v>
      </c>
      <c r="E74" s="128"/>
      <c r="F74" s="124">
        <f>F71*D74</f>
        <v>8593092.3736000005</v>
      </c>
      <c r="G74" s="81"/>
      <c r="H74" s="81"/>
      <c r="I74" s="81"/>
      <c r="J74" s="81"/>
      <c r="K74" s="81"/>
      <c r="L74" s="81"/>
      <c r="M74" s="81"/>
      <c r="N74" s="81"/>
      <c r="O74" s="81"/>
      <c r="P74" s="81"/>
      <c r="Q74" s="81"/>
      <c r="R74" s="81"/>
      <c r="S74" s="81"/>
      <c r="T74" s="81"/>
      <c r="U74" s="81"/>
      <c r="V74" s="81"/>
      <c r="W74" s="81"/>
      <c r="X74" s="81"/>
      <c r="Y74" s="81"/>
      <c r="Z74" s="81"/>
    </row>
    <row r="75" spans="1:26" ht="12.75" customHeight="1">
      <c r="A75" s="99"/>
      <c r="B75" s="123" t="s">
        <v>46</v>
      </c>
      <c r="C75" s="126"/>
      <c r="D75" s="127">
        <v>0.3</v>
      </c>
      <c r="E75" s="128"/>
      <c r="F75" s="124">
        <f>F74+F73+F72</f>
        <v>64448192.802000001</v>
      </c>
      <c r="G75" s="81"/>
      <c r="H75" s="81"/>
      <c r="I75" s="81"/>
      <c r="J75" s="81"/>
      <c r="K75" s="81"/>
      <c r="L75" s="81"/>
      <c r="M75" s="81"/>
      <c r="N75" s="81"/>
      <c r="O75" s="81"/>
      <c r="P75" s="81"/>
      <c r="Q75" s="81"/>
      <c r="R75" s="81"/>
      <c r="S75" s="81"/>
      <c r="T75" s="81"/>
      <c r="U75" s="81"/>
      <c r="V75" s="81"/>
      <c r="W75" s="81"/>
      <c r="X75" s="81"/>
      <c r="Y75" s="81"/>
      <c r="Z75" s="81"/>
    </row>
    <row r="76" spans="1:26" ht="12.75" customHeight="1">
      <c r="A76" s="99"/>
      <c r="B76" s="123"/>
      <c r="C76" s="126"/>
      <c r="D76" s="127"/>
      <c r="E76" s="128"/>
      <c r="F76" s="104"/>
      <c r="G76" s="81"/>
      <c r="H76" s="81"/>
      <c r="I76" s="81"/>
      <c r="J76" s="81"/>
      <c r="K76" s="81"/>
      <c r="L76" s="81"/>
      <c r="M76" s="81"/>
      <c r="N76" s="81"/>
      <c r="O76" s="81"/>
      <c r="P76" s="81"/>
      <c r="Q76" s="81"/>
      <c r="R76" s="81"/>
      <c r="S76" s="81"/>
      <c r="T76" s="81"/>
      <c r="U76" s="81"/>
      <c r="V76" s="81"/>
      <c r="W76" s="81"/>
      <c r="X76" s="81"/>
      <c r="Y76" s="81"/>
      <c r="Z76" s="81"/>
    </row>
    <row r="77" spans="1:26" ht="12.75" customHeight="1">
      <c r="A77" s="99"/>
      <c r="B77" s="123" t="s">
        <v>47</v>
      </c>
      <c r="C77" s="126"/>
      <c r="D77" s="127">
        <v>0.19</v>
      </c>
      <c r="E77" s="128"/>
      <c r="F77" s="124">
        <f>F74*D77</f>
        <v>1632687.5509840001</v>
      </c>
      <c r="G77" s="81"/>
      <c r="H77" s="81"/>
      <c r="I77" s="81"/>
      <c r="J77" s="81"/>
      <c r="K77" s="81"/>
      <c r="L77" s="81"/>
      <c r="M77" s="81"/>
      <c r="N77" s="81"/>
      <c r="O77" s="81"/>
      <c r="P77" s="81"/>
      <c r="Q77" s="81"/>
      <c r="R77" s="81"/>
      <c r="S77" s="81"/>
      <c r="T77" s="81"/>
      <c r="U77" s="81"/>
      <c r="V77" s="81"/>
      <c r="W77" s="81"/>
      <c r="X77" s="81"/>
      <c r="Y77" s="81"/>
      <c r="Z77" s="81"/>
    </row>
    <row r="78" spans="1:26" ht="12.75" customHeight="1">
      <c r="A78" s="99"/>
      <c r="B78" s="123" t="s">
        <v>120</v>
      </c>
      <c r="C78" s="126"/>
      <c r="D78" s="129"/>
      <c r="E78" s="128"/>
      <c r="F78" s="118">
        <f>F77+F75+F71</f>
        <v>280908189.69298398</v>
      </c>
      <c r="G78" s="130"/>
      <c r="H78" s="130"/>
      <c r="I78" s="81"/>
      <c r="J78" s="81"/>
      <c r="K78" s="81"/>
      <c r="L78" s="81"/>
      <c r="M78" s="81"/>
      <c r="N78" s="81"/>
      <c r="O78" s="81"/>
      <c r="P78" s="81"/>
      <c r="Q78" s="81"/>
      <c r="R78" s="81"/>
      <c r="S78" s="81"/>
      <c r="T78" s="81"/>
      <c r="U78" s="81"/>
      <c r="V78" s="81"/>
      <c r="W78" s="81"/>
      <c r="X78" s="81"/>
      <c r="Y78" s="81"/>
      <c r="Z78" s="81"/>
    </row>
    <row r="79" spans="1:26" ht="12.75" customHeight="1">
      <c r="A79" s="89"/>
      <c r="B79" s="83"/>
      <c r="C79" s="84"/>
      <c r="D79" s="85"/>
      <c r="E79" s="86"/>
      <c r="F79" s="86"/>
      <c r="G79" s="81"/>
      <c r="H79" s="81"/>
      <c r="I79" s="81"/>
      <c r="J79" s="81"/>
      <c r="K79" s="81"/>
      <c r="L79" s="81"/>
      <c r="M79" s="81"/>
      <c r="N79" s="81"/>
      <c r="O79" s="81"/>
      <c r="P79" s="81"/>
      <c r="Q79" s="81"/>
      <c r="R79" s="81"/>
      <c r="S79" s="81"/>
      <c r="T79" s="81"/>
      <c r="U79" s="81"/>
      <c r="V79" s="81"/>
      <c r="W79" s="81"/>
      <c r="X79" s="81"/>
      <c r="Y79" s="81"/>
      <c r="Z79" s="81"/>
    </row>
    <row r="80" spans="1:26" ht="12.75" customHeight="1">
      <c r="A80" s="89"/>
      <c r="B80" s="83"/>
      <c r="C80" s="84"/>
      <c r="D80" s="85"/>
      <c r="E80" s="86"/>
      <c r="F80" s="86"/>
      <c r="G80" s="81"/>
      <c r="H80" s="81"/>
      <c r="I80" s="81"/>
      <c r="J80" s="81"/>
      <c r="K80" s="81"/>
      <c r="L80" s="81"/>
      <c r="M80" s="81"/>
      <c r="N80" s="81"/>
      <c r="O80" s="81"/>
      <c r="P80" s="81"/>
      <c r="Q80" s="81"/>
      <c r="R80" s="81"/>
      <c r="S80" s="81"/>
      <c r="T80" s="81"/>
      <c r="U80" s="81"/>
      <c r="V80" s="81"/>
      <c r="W80" s="81"/>
      <c r="X80" s="81"/>
      <c r="Y80" s="81"/>
      <c r="Z80" s="81"/>
    </row>
    <row r="81" spans="1:26" ht="12.75" customHeight="1">
      <c r="A81" s="89"/>
      <c r="B81" s="83"/>
      <c r="C81" s="84"/>
      <c r="D81" s="85"/>
      <c r="E81" s="86"/>
      <c r="F81" s="86"/>
      <c r="G81" s="81"/>
      <c r="H81" s="81"/>
      <c r="I81" s="81"/>
      <c r="J81" s="81"/>
      <c r="K81" s="81"/>
      <c r="L81" s="81"/>
      <c r="M81" s="81"/>
      <c r="N81" s="81"/>
      <c r="O81" s="81"/>
      <c r="P81" s="81"/>
      <c r="Q81" s="81"/>
      <c r="R81" s="81"/>
      <c r="S81" s="81"/>
      <c r="T81" s="81"/>
      <c r="U81" s="81"/>
      <c r="V81" s="81"/>
      <c r="W81" s="81"/>
      <c r="X81" s="81"/>
      <c r="Y81" s="81"/>
      <c r="Z81" s="81"/>
    </row>
    <row r="82" spans="1:26" ht="12.75" customHeight="1">
      <c r="A82" s="89"/>
      <c r="B82" s="83"/>
      <c r="C82" s="84"/>
      <c r="D82" s="85"/>
      <c r="E82" s="86"/>
      <c r="F82" s="86"/>
      <c r="G82" s="81"/>
      <c r="H82" s="81"/>
      <c r="I82" s="81"/>
      <c r="J82" s="81"/>
      <c r="K82" s="81"/>
      <c r="L82" s="81"/>
      <c r="M82" s="81"/>
      <c r="N82" s="81"/>
      <c r="O82" s="81"/>
      <c r="P82" s="81"/>
      <c r="Q82" s="81"/>
      <c r="R82" s="81"/>
      <c r="S82" s="81"/>
      <c r="T82" s="81"/>
      <c r="U82" s="81"/>
      <c r="V82" s="81"/>
      <c r="W82" s="81"/>
      <c r="X82" s="81"/>
      <c r="Y82" s="81"/>
      <c r="Z82" s="81"/>
    </row>
    <row r="83" spans="1:26" ht="12.75" customHeight="1">
      <c r="A83" s="89"/>
      <c r="B83" s="83"/>
      <c r="C83" s="84"/>
      <c r="D83" s="85"/>
      <c r="E83" s="86"/>
      <c r="F83" s="86"/>
      <c r="G83" s="81"/>
      <c r="H83" s="81"/>
      <c r="I83" s="81"/>
      <c r="J83" s="81"/>
      <c r="K83" s="81"/>
      <c r="L83" s="81"/>
      <c r="M83" s="81"/>
      <c r="N83" s="81"/>
      <c r="O83" s="81"/>
      <c r="P83" s="81"/>
      <c r="Q83" s="81"/>
      <c r="R83" s="81"/>
      <c r="S83" s="81"/>
      <c r="T83" s="81"/>
      <c r="U83" s="81"/>
      <c r="V83" s="81"/>
      <c r="W83" s="81"/>
      <c r="X83" s="81"/>
      <c r="Y83" s="81"/>
      <c r="Z83" s="81"/>
    </row>
    <row r="84" spans="1:26" ht="12.75" customHeight="1">
      <c r="A84" s="131"/>
      <c r="B84" s="132"/>
      <c r="C84" s="84"/>
      <c r="D84" s="85"/>
      <c r="E84" s="86"/>
      <c r="F84" s="86"/>
      <c r="G84" s="81"/>
      <c r="H84" s="81"/>
      <c r="I84" s="81"/>
      <c r="J84" s="81"/>
      <c r="K84" s="81"/>
      <c r="L84" s="81"/>
      <c r="M84" s="81"/>
      <c r="N84" s="81"/>
      <c r="O84" s="81"/>
      <c r="P84" s="81"/>
      <c r="Q84" s="81"/>
      <c r="R84" s="81"/>
      <c r="S84" s="81"/>
      <c r="T84" s="81"/>
      <c r="U84" s="81"/>
      <c r="V84" s="81"/>
      <c r="W84" s="81"/>
      <c r="X84" s="81"/>
      <c r="Y84" s="81"/>
      <c r="Z84" s="81"/>
    </row>
    <row r="85" spans="1:26" ht="15" customHeight="1">
      <c r="A85" s="435" t="s">
        <v>121</v>
      </c>
      <c r="B85" s="430"/>
      <c r="C85" s="133"/>
      <c r="D85" s="134"/>
      <c r="E85" s="135"/>
      <c r="F85" s="136"/>
      <c r="G85" s="137"/>
      <c r="H85" s="137"/>
      <c r="I85" s="137"/>
      <c r="J85" s="138"/>
      <c r="K85" s="138"/>
      <c r="L85" s="138"/>
      <c r="M85" s="138"/>
      <c r="N85" s="138"/>
      <c r="O85" s="138"/>
      <c r="P85" s="138"/>
      <c r="Q85" s="138"/>
      <c r="R85" s="138"/>
      <c r="S85" s="138"/>
      <c r="T85" s="138"/>
      <c r="U85" s="138"/>
      <c r="V85" s="138"/>
      <c r="W85" s="138"/>
      <c r="X85" s="138"/>
      <c r="Y85" s="138"/>
      <c r="Z85" s="138"/>
    </row>
    <row r="86" spans="1:26" ht="12.75" customHeight="1">
      <c r="A86" s="439" t="s">
        <v>122</v>
      </c>
      <c r="B86" s="430"/>
      <c r="C86" s="133"/>
      <c r="D86" s="134"/>
      <c r="E86" s="135"/>
      <c r="F86" s="136"/>
      <c r="G86" s="137"/>
      <c r="H86" s="137"/>
      <c r="I86" s="137"/>
      <c r="J86" s="138"/>
      <c r="K86" s="138"/>
      <c r="L86" s="138"/>
      <c r="M86" s="138"/>
      <c r="N86" s="138"/>
      <c r="O86" s="138"/>
      <c r="P86" s="138"/>
      <c r="Q86" s="138"/>
      <c r="R86" s="138"/>
      <c r="S86" s="138"/>
      <c r="T86" s="138"/>
      <c r="U86" s="138"/>
      <c r="V86" s="138"/>
      <c r="W86" s="138"/>
      <c r="X86" s="138"/>
      <c r="Y86" s="138"/>
      <c r="Z86" s="138"/>
    </row>
    <row r="87" spans="1:26" ht="12.75" customHeight="1">
      <c r="A87" s="439" t="s">
        <v>123</v>
      </c>
      <c r="B87" s="430"/>
      <c r="C87" s="133"/>
      <c r="D87" s="134"/>
      <c r="E87" s="135"/>
      <c r="F87" s="136"/>
      <c r="G87" s="137"/>
      <c r="H87" s="137"/>
      <c r="I87" s="137"/>
      <c r="J87" s="138"/>
      <c r="K87" s="138"/>
      <c r="L87" s="138"/>
      <c r="M87" s="138"/>
      <c r="N87" s="138"/>
      <c r="O87" s="138"/>
      <c r="P87" s="138"/>
      <c r="Q87" s="138"/>
      <c r="R87" s="138"/>
      <c r="S87" s="138"/>
      <c r="T87" s="138"/>
      <c r="U87" s="138"/>
      <c r="V87" s="138"/>
      <c r="W87" s="138"/>
      <c r="X87" s="138"/>
      <c r="Y87" s="138"/>
      <c r="Z87" s="138"/>
    </row>
    <row r="88" spans="1:26" ht="12.75" customHeight="1">
      <c r="A88" s="435" t="s">
        <v>124</v>
      </c>
      <c r="B88" s="430"/>
      <c r="C88" s="133"/>
      <c r="D88" s="134"/>
      <c r="E88" s="135"/>
      <c r="F88" s="136"/>
      <c r="G88" s="137"/>
      <c r="H88" s="137"/>
      <c r="I88" s="137"/>
      <c r="J88" s="138"/>
      <c r="K88" s="138"/>
      <c r="L88" s="138"/>
      <c r="M88" s="138"/>
      <c r="N88" s="138"/>
      <c r="O88" s="138"/>
      <c r="P88" s="138"/>
      <c r="Q88" s="138"/>
      <c r="R88" s="138"/>
      <c r="S88" s="138"/>
      <c r="T88" s="138"/>
      <c r="U88" s="138"/>
      <c r="V88" s="138"/>
      <c r="W88" s="138"/>
      <c r="X88" s="138"/>
      <c r="Y88" s="138"/>
      <c r="Z88" s="138"/>
    </row>
    <row r="89" spans="1:26" ht="12.75" customHeight="1">
      <c r="A89" s="436"/>
      <c r="B89" s="430"/>
      <c r="C89" s="137"/>
      <c r="D89" s="134"/>
      <c r="E89" s="135"/>
      <c r="F89" s="136"/>
      <c r="G89" s="137"/>
      <c r="H89" s="137"/>
      <c r="I89" s="137"/>
      <c r="J89" s="138"/>
      <c r="K89" s="138"/>
      <c r="L89" s="138"/>
      <c r="M89" s="138"/>
      <c r="N89" s="138"/>
      <c r="O89" s="138"/>
      <c r="P89" s="137"/>
      <c r="Q89" s="137"/>
      <c r="R89" s="137"/>
      <c r="S89" s="137"/>
      <c r="T89" s="137"/>
      <c r="U89" s="137"/>
      <c r="V89" s="137"/>
      <c r="W89" s="137"/>
      <c r="X89" s="137"/>
      <c r="Y89" s="137"/>
      <c r="Z89" s="137"/>
    </row>
    <row r="90" spans="1:26" ht="12.75" customHeight="1">
      <c r="A90" s="89"/>
      <c r="B90" s="83"/>
      <c r="C90" s="84"/>
      <c r="D90" s="85"/>
      <c r="E90" s="86"/>
      <c r="F90" s="86"/>
      <c r="G90" s="81"/>
      <c r="H90" s="81"/>
      <c r="I90" s="81"/>
      <c r="J90" s="81"/>
      <c r="K90" s="81"/>
      <c r="L90" s="81"/>
      <c r="M90" s="81"/>
      <c r="N90" s="81"/>
      <c r="O90" s="81"/>
      <c r="P90" s="81"/>
      <c r="Q90" s="81"/>
      <c r="R90" s="81"/>
      <c r="S90" s="81"/>
      <c r="T90" s="81"/>
      <c r="U90" s="81"/>
      <c r="V90" s="81"/>
      <c r="W90" s="81"/>
      <c r="X90" s="81"/>
      <c r="Y90" s="81"/>
      <c r="Z90" s="81"/>
    </row>
    <row r="91" spans="1:26" ht="12.75" customHeight="1">
      <c r="A91" s="89"/>
      <c r="B91" s="83"/>
      <c r="C91" s="84"/>
      <c r="D91" s="85"/>
      <c r="E91" s="86"/>
      <c r="F91" s="86"/>
      <c r="G91" s="81"/>
      <c r="H91" s="81"/>
      <c r="I91" s="81"/>
      <c r="J91" s="81"/>
      <c r="K91" s="81"/>
      <c r="L91" s="81"/>
      <c r="M91" s="81"/>
      <c r="N91" s="81"/>
      <c r="O91" s="81"/>
      <c r="P91" s="81"/>
      <c r="Q91" s="81"/>
      <c r="R91" s="81"/>
      <c r="S91" s="81"/>
      <c r="T91" s="81"/>
      <c r="U91" s="81"/>
      <c r="V91" s="81"/>
      <c r="W91" s="81"/>
      <c r="X91" s="81"/>
      <c r="Y91" s="81"/>
      <c r="Z91" s="81"/>
    </row>
    <row r="92" spans="1:26" ht="12.75" customHeight="1">
      <c r="A92" s="89"/>
      <c r="B92" s="83"/>
      <c r="C92" s="84"/>
      <c r="D92" s="85"/>
      <c r="E92" s="86"/>
      <c r="F92" s="86"/>
      <c r="G92" s="81"/>
      <c r="H92" s="81"/>
      <c r="I92" s="81"/>
      <c r="J92" s="81"/>
      <c r="K92" s="81"/>
      <c r="L92" s="81"/>
      <c r="M92" s="81"/>
      <c r="N92" s="81"/>
      <c r="O92" s="81"/>
      <c r="P92" s="81"/>
      <c r="Q92" s="81"/>
      <c r="R92" s="81"/>
      <c r="S92" s="81"/>
      <c r="T92" s="81"/>
      <c r="U92" s="81"/>
      <c r="V92" s="81"/>
      <c r="W92" s="81"/>
      <c r="X92" s="81"/>
      <c r="Y92" s="81"/>
      <c r="Z92" s="81"/>
    </row>
    <row r="93" spans="1:26" ht="12.75" customHeight="1">
      <c r="A93" s="89"/>
      <c r="B93" s="83"/>
      <c r="C93" s="84"/>
      <c r="D93" s="85"/>
      <c r="E93" s="86"/>
      <c r="F93" s="86"/>
      <c r="G93" s="81"/>
      <c r="H93" s="81"/>
      <c r="I93" s="81"/>
      <c r="J93" s="81"/>
      <c r="K93" s="81"/>
      <c r="L93" s="81"/>
      <c r="M93" s="81"/>
      <c r="N93" s="81"/>
      <c r="O93" s="81"/>
      <c r="P93" s="81"/>
      <c r="Q93" s="81"/>
      <c r="R93" s="81"/>
      <c r="S93" s="81"/>
      <c r="T93" s="81"/>
      <c r="U93" s="81"/>
      <c r="V93" s="81"/>
      <c r="W93" s="81"/>
      <c r="X93" s="81"/>
      <c r="Y93" s="81"/>
      <c r="Z93" s="81"/>
    </row>
    <row r="94" spans="1:26" ht="12.75" customHeight="1">
      <c r="A94" s="89"/>
      <c r="B94" s="83"/>
      <c r="C94" s="84"/>
      <c r="D94" s="85"/>
      <c r="E94" s="86"/>
      <c r="F94" s="86"/>
      <c r="G94" s="81"/>
      <c r="H94" s="81"/>
      <c r="I94" s="81"/>
      <c r="J94" s="81"/>
      <c r="K94" s="81"/>
      <c r="L94" s="81"/>
      <c r="M94" s="81"/>
      <c r="N94" s="81"/>
      <c r="O94" s="81"/>
      <c r="P94" s="81"/>
      <c r="Q94" s="81"/>
      <c r="R94" s="81"/>
      <c r="S94" s="81"/>
      <c r="T94" s="81"/>
      <c r="U94" s="81"/>
      <c r="V94" s="81"/>
      <c r="W94" s="81"/>
      <c r="X94" s="81"/>
      <c r="Y94" s="81"/>
      <c r="Z94" s="81"/>
    </row>
    <row r="95" spans="1:26" ht="12.75" customHeight="1">
      <c r="A95" s="89"/>
      <c r="B95" s="83"/>
      <c r="C95" s="84"/>
      <c r="D95" s="85"/>
      <c r="E95" s="86"/>
      <c r="F95" s="86"/>
      <c r="G95" s="81"/>
      <c r="H95" s="81"/>
      <c r="I95" s="81"/>
      <c r="J95" s="81"/>
      <c r="K95" s="81"/>
      <c r="L95" s="81"/>
      <c r="M95" s="81"/>
      <c r="N95" s="81"/>
      <c r="O95" s="81"/>
      <c r="P95" s="81"/>
      <c r="Q95" s="81"/>
      <c r="R95" s="81"/>
      <c r="S95" s="81"/>
      <c r="T95" s="81"/>
      <c r="U95" s="81"/>
      <c r="V95" s="81"/>
      <c r="W95" s="81"/>
      <c r="X95" s="81"/>
      <c r="Y95" s="81"/>
      <c r="Z95" s="81"/>
    </row>
    <row r="96" spans="1:26" ht="12.75" customHeight="1">
      <c r="A96" s="89"/>
      <c r="B96" s="83"/>
      <c r="C96" s="84"/>
      <c r="D96" s="85"/>
      <c r="E96" s="86"/>
      <c r="F96" s="86"/>
      <c r="G96" s="81"/>
      <c r="H96" s="81"/>
      <c r="I96" s="81"/>
      <c r="J96" s="81"/>
      <c r="K96" s="81"/>
      <c r="L96" s="81"/>
      <c r="M96" s="81"/>
      <c r="N96" s="81"/>
      <c r="O96" s="81"/>
      <c r="P96" s="81"/>
      <c r="Q96" s="81"/>
      <c r="R96" s="81"/>
      <c r="S96" s="81"/>
      <c r="T96" s="81"/>
      <c r="U96" s="81"/>
      <c r="V96" s="81"/>
      <c r="W96" s="81"/>
      <c r="X96" s="81"/>
      <c r="Y96" s="81"/>
      <c r="Z96" s="81"/>
    </row>
    <row r="97" spans="1:26" ht="12.75" customHeight="1">
      <c r="A97" s="89"/>
      <c r="B97" s="83"/>
      <c r="C97" s="84"/>
      <c r="D97" s="85"/>
      <c r="E97" s="86"/>
      <c r="F97" s="86"/>
      <c r="G97" s="81"/>
      <c r="H97" s="81"/>
      <c r="I97" s="81"/>
      <c r="J97" s="81"/>
      <c r="K97" s="81"/>
      <c r="L97" s="81"/>
      <c r="M97" s="81"/>
      <c r="N97" s="81"/>
      <c r="O97" s="81"/>
      <c r="P97" s="81"/>
      <c r="Q97" s="81"/>
      <c r="R97" s="81"/>
      <c r="S97" s="81"/>
      <c r="T97" s="81"/>
      <c r="U97" s="81"/>
      <c r="V97" s="81"/>
      <c r="W97" s="81"/>
      <c r="X97" s="81"/>
      <c r="Y97" s="81"/>
      <c r="Z97" s="81"/>
    </row>
    <row r="98" spans="1:26" ht="12.75" customHeight="1">
      <c r="A98" s="89"/>
      <c r="B98" s="83"/>
      <c r="C98" s="84"/>
      <c r="D98" s="85"/>
      <c r="E98" s="86"/>
      <c r="F98" s="86"/>
      <c r="G98" s="81"/>
      <c r="H98" s="81"/>
      <c r="I98" s="81"/>
      <c r="J98" s="81"/>
      <c r="K98" s="81"/>
      <c r="L98" s="81"/>
      <c r="M98" s="81"/>
      <c r="N98" s="81"/>
      <c r="O98" s="81"/>
      <c r="P98" s="81"/>
      <c r="Q98" s="81"/>
      <c r="R98" s="81"/>
      <c r="S98" s="81"/>
      <c r="T98" s="81"/>
      <c r="U98" s="81"/>
      <c r="V98" s="81"/>
      <c r="W98" s="81"/>
      <c r="X98" s="81"/>
      <c r="Y98" s="81"/>
      <c r="Z98" s="81"/>
    </row>
    <row r="99" spans="1:26" ht="12.75" customHeight="1">
      <c r="A99" s="89"/>
      <c r="B99" s="83"/>
      <c r="C99" s="84"/>
      <c r="D99" s="85"/>
      <c r="E99" s="86"/>
      <c r="F99" s="86"/>
      <c r="G99" s="81"/>
      <c r="H99" s="81"/>
      <c r="I99" s="81"/>
      <c r="J99" s="81"/>
      <c r="K99" s="81"/>
      <c r="L99" s="81"/>
      <c r="M99" s="81"/>
      <c r="N99" s="81"/>
      <c r="O99" s="81"/>
      <c r="P99" s="81"/>
      <c r="Q99" s="81"/>
      <c r="R99" s="81"/>
      <c r="S99" s="81"/>
      <c r="T99" s="81"/>
      <c r="U99" s="81"/>
      <c r="V99" s="81"/>
      <c r="W99" s="81"/>
      <c r="X99" s="81"/>
      <c r="Y99" s="81"/>
      <c r="Z99" s="81"/>
    </row>
    <row r="100" spans="1:26" ht="12.75" customHeight="1">
      <c r="A100" s="89"/>
      <c r="B100" s="83"/>
      <c r="C100" s="84"/>
      <c r="D100" s="85"/>
      <c r="E100" s="86"/>
      <c r="F100" s="86"/>
      <c r="G100" s="81"/>
      <c r="H100" s="81"/>
      <c r="I100" s="81"/>
      <c r="J100" s="81"/>
      <c r="K100" s="81"/>
      <c r="L100" s="81"/>
      <c r="M100" s="81"/>
      <c r="N100" s="81"/>
      <c r="O100" s="81"/>
      <c r="P100" s="81"/>
      <c r="Q100" s="81"/>
      <c r="R100" s="81"/>
      <c r="S100" s="81"/>
      <c r="T100" s="81"/>
      <c r="U100" s="81"/>
      <c r="V100" s="81"/>
      <c r="W100" s="81"/>
      <c r="X100" s="81"/>
      <c r="Y100" s="81"/>
      <c r="Z100" s="81"/>
    </row>
  </sheetData>
  <mergeCells count="7">
    <mergeCell ref="A88:B88"/>
    <mergeCell ref="A89:B89"/>
    <mergeCell ref="A4:F4"/>
    <mergeCell ref="A5:F5"/>
    <mergeCell ref="A85:B85"/>
    <mergeCell ref="A86:B86"/>
    <mergeCell ref="A87:B87"/>
  </mergeCells>
  <printOptions horizontalCentered="1"/>
  <pageMargins left="0.70866141732283472" right="0.70866141732283472" top="0.74803149606299213" bottom="0.74803149606299213" header="0" footer="0"/>
  <pageSetup scale="90" orientation="portrait"/>
  <headerFooter>
    <oddFooter>&amp;C</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00"/>
  <sheetViews>
    <sheetView workbookViewId="0"/>
  </sheetViews>
  <sheetFormatPr defaultColWidth="14.44140625" defaultRowHeight="15" customHeight="1"/>
  <cols>
    <col min="1" max="1" width="6.6640625" customWidth="1"/>
    <col min="2" max="2" width="42.88671875" customWidth="1"/>
    <col min="3" max="3" width="6.33203125" customWidth="1"/>
    <col min="4" max="4" width="7.88671875" customWidth="1"/>
    <col min="5" max="5" width="12.6640625" customWidth="1"/>
    <col min="6" max="6" width="11.33203125" customWidth="1"/>
    <col min="7" max="7" width="15.109375" customWidth="1"/>
    <col min="8" max="8" width="16.88671875" customWidth="1"/>
    <col min="9" max="11" width="11.44140625" customWidth="1"/>
  </cols>
  <sheetData>
    <row r="1" spans="1:11" ht="12.75" customHeight="1">
      <c r="A1" s="139"/>
      <c r="B1" s="140"/>
      <c r="C1" s="141"/>
      <c r="D1" s="142"/>
      <c r="E1" s="143"/>
      <c r="F1" s="144"/>
      <c r="G1" s="145"/>
      <c r="H1" s="145"/>
      <c r="I1" s="145"/>
      <c r="J1" s="145"/>
      <c r="K1" s="145"/>
    </row>
    <row r="2" spans="1:11" ht="12.75" customHeight="1">
      <c r="A2" s="146"/>
      <c r="B2" s="147"/>
      <c r="C2" s="148"/>
      <c r="D2" s="149"/>
      <c r="E2" s="150"/>
      <c r="F2" s="151"/>
      <c r="G2" s="145"/>
      <c r="H2" s="145"/>
      <c r="I2" s="145"/>
      <c r="J2" s="145"/>
      <c r="K2" s="145"/>
    </row>
    <row r="3" spans="1:11" ht="12.75" customHeight="1">
      <c r="A3" s="146"/>
      <c r="B3" s="147"/>
      <c r="C3" s="148"/>
      <c r="D3" s="149"/>
      <c r="E3" s="150"/>
      <c r="F3" s="151"/>
      <c r="G3" s="145"/>
      <c r="H3" s="145"/>
      <c r="I3" s="145"/>
      <c r="J3" s="145"/>
      <c r="K3" s="145"/>
    </row>
    <row r="4" spans="1:11" ht="12.75" customHeight="1">
      <c r="A4" s="441"/>
      <c r="B4" s="430"/>
      <c r="C4" s="430"/>
      <c r="D4" s="430"/>
      <c r="E4" s="430"/>
      <c r="F4" s="431"/>
      <c r="G4" s="145"/>
      <c r="H4" s="145"/>
      <c r="I4" s="145"/>
      <c r="J4" s="145"/>
      <c r="K4" s="145"/>
    </row>
    <row r="5" spans="1:11" ht="27.75" customHeight="1">
      <c r="A5" s="442" t="s">
        <v>125</v>
      </c>
      <c r="B5" s="430"/>
      <c r="C5" s="430"/>
      <c r="D5" s="430"/>
      <c r="E5" s="430"/>
      <c r="F5" s="431"/>
      <c r="G5" s="145"/>
      <c r="H5" s="152"/>
      <c r="I5" s="145"/>
      <c r="J5" s="145"/>
      <c r="K5" s="145"/>
    </row>
    <row r="6" spans="1:11" ht="8.25" customHeight="1">
      <c r="A6" s="441"/>
      <c r="B6" s="430"/>
      <c r="C6" s="430"/>
      <c r="D6" s="430"/>
      <c r="E6" s="430"/>
      <c r="F6" s="431"/>
      <c r="G6" s="145"/>
      <c r="H6" s="145"/>
      <c r="I6" s="145"/>
      <c r="J6" s="145"/>
      <c r="K6" s="145"/>
    </row>
    <row r="7" spans="1:11" ht="12.75" customHeight="1">
      <c r="A7" s="441" t="s">
        <v>126</v>
      </c>
      <c r="B7" s="430"/>
      <c r="C7" s="430"/>
      <c r="D7" s="430"/>
      <c r="E7" s="430"/>
      <c r="F7" s="431"/>
      <c r="G7" s="145"/>
      <c r="H7" s="145"/>
      <c r="I7" s="145"/>
      <c r="J7" s="145"/>
      <c r="K7" s="145"/>
    </row>
    <row r="8" spans="1:11" ht="12.75" customHeight="1">
      <c r="A8" s="146"/>
      <c r="B8" s="153"/>
      <c r="C8" s="154"/>
      <c r="D8" s="155"/>
      <c r="E8" s="156"/>
      <c r="F8" s="151"/>
      <c r="G8" s="145"/>
      <c r="H8" s="145"/>
      <c r="I8" s="145"/>
      <c r="J8" s="145"/>
      <c r="K8" s="145"/>
    </row>
    <row r="9" spans="1:11" ht="17.25" customHeight="1">
      <c r="A9" s="157" t="s">
        <v>68</v>
      </c>
      <c r="B9" s="158" t="s">
        <v>5</v>
      </c>
      <c r="C9" s="159" t="s">
        <v>6</v>
      </c>
      <c r="D9" s="160" t="s">
        <v>7</v>
      </c>
      <c r="E9" s="161" t="s">
        <v>8</v>
      </c>
      <c r="F9" s="162" t="s">
        <v>9</v>
      </c>
      <c r="G9" s="145"/>
      <c r="H9" s="145"/>
      <c r="I9" s="145"/>
      <c r="J9" s="145"/>
      <c r="K9" s="145"/>
    </row>
    <row r="10" spans="1:11" ht="12.75" customHeight="1">
      <c r="A10" s="163">
        <v>1</v>
      </c>
      <c r="B10" s="164" t="s">
        <v>69</v>
      </c>
      <c r="C10" s="165"/>
      <c r="D10" s="166"/>
      <c r="E10" s="107"/>
      <c r="F10" s="167"/>
      <c r="G10" s="145"/>
      <c r="H10" s="145"/>
      <c r="I10" s="145"/>
      <c r="J10" s="145"/>
      <c r="K10" s="145"/>
    </row>
    <row r="11" spans="1:11" ht="12.75" customHeight="1">
      <c r="A11" s="168">
        <v>1.1000000000000001</v>
      </c>
      <c r="B11" s="169" t="s">
        <v>70</v>
      </c>
      <c r="C11" s="165" t="s">
        <v>55</v>
      </c>
      <c r="D11" s="166">
        <v>65</v>
      </c>
      <c r="E11" s="107">
        <v>25300</v>
      </c>
      <c r="F11" s="167">
        <f t="shared" ref="F11:F14" si="0">D11*E11</f>
        <v>1644500</v>
      </c>
      <c r="G11" s="145"/>
      <c r="H11" s="145"/>
      <c r="I11" s="145"/>
      <c r="J11" s="145"/>
      <c r="K11" s="145"/>
    </row>
    <row r="12" spans="1:11" ht="12.75" customHeight="1">
      <c r="A12" s="170">
        <v>1.2</v>
      </c>
      <c r="B12" s="171" t="s">
        <v>71</v>
      </c>
      <c r="C12" s="172" t="s">
        <v>49</v>
      </c>
      <c r="D12" s="173">
        <v>625</v>
      </c>
      <c r="E12" s="112">
        <v>35200</v>
      </c>
      <c r="F12" s="174">
        <f t="shared" si="0"/>
        <v>22000000</v>
      </c>
      <c r="G12" s="175"/>
      <c r="H12" s="175"/>
      <c r="I12" s="175"/>
      <c r="J12" s="175"/>
      <c r="K12" s="175"/>
    </row>
    <row r="13" spans="1:11" ht="12.75" customHeight="1">
      <c r="A13" s="168">
        <v>1.3</v>
      </c>
      <c r="B13" s="171" t="s">
        <v>72</v>
      </c>
      <c r="C13" s="172" t="s">
        <v>73</v>
      </c>
      <c r="D13" s="173">
        <v>15</v>
      </c>
      <c r="E13" s="107">
        <v>26300</v>
      </c>
      <c r="F13" s="174">
        <f t="shared" si="0"/>
        <v>394500</v>
      </c>
      <c r="G13" s="175"/>
      <c r="H13" s="175"/>
      <c r="I13" s="175"/>
      <c r="J13" s="175"/>
      <c r="K13" s="175"/>
    </row>
    <row r="14" spans="1:11" ht="12.75" customHeight="1">
      <c r="A14" s="170">
        <v>1.4</v>
      </c>
      <c r="B14" s="171" t="s">
        <v>74</v>
      </c>
      <c r="C14" s="172" t="s">
        <v>49</v>
      </c>
      <c r="D14" s="173">
        <v>40</v>
      </c>
      <c r="E14" s="112">
        <v>35200</v>
      </c>
      <c r="F14" s="174">
        <f t="shared" si="0"/>
        <v>1408000</v>
      </c>
      <c r="G14" s="175"/>
      <c r="H14" s="175"/>
      <c r="I14" s="175"/>
      <c r="J14" s="175"/>
      <c r="K14" s="175"/>
    </row>
    <row r="15" spans="1:11" ht="12.75" customHeight="1">
      <c r="A15" s="176"/>
      <c r="B15" s="177" t="s">
        <v>75</v>
      </c>
      <c r="C15" s="172"/>
      <c r="D15" s="173"/>
      <c r="E15" s="112"/>
      <c r="F15" s="178">
        <f>SUM(F11:F14)</f>
        <v>25447000</v>
      </c>
      <c r="G15" s="175"/>
      <c r="H15" s="175"/>
      <c r="I15" s="175"/>
      <c r="J15" s="175"/>
      <c r="K15" s="175"/>
    </row>
    <row r="16" spans="1:11" ht="12.75" customHeight="1">
      <c r="A16" s="176">
        <v>2</v>
      </c>
      <c r="B16" s="177" t="s">
        <v>76</v>
      </c>
      <c r="C16" s="172"/>
      <c r="D16" s="173"/>
      <c r="E16" s="112"/>
      <c r="F16" s="174"/>
      <c r="G16" s="175"/>
      <c r="H16" s="175"/>
      <c r="I16" s="175"/>
      <c r="J16" s="175"/>
      <c r="K16" s="175"/>
    </row>
    <row r="17" spans="1:11" ht="38.25" customHeight="1">
      <c r="A17" s="170">
        <v>2.1</v>
      </c>
      <c r="B17" s="171" t="s">
        <v>77</v>
      </c>
      <c r="C17" s="172" t="s">
        <v>26</v>
      </c>
      <c r="D17" s="173">
        <v>50</v>
      </c>
      <c r="E17" s="112">
        <v>64500</v>
      </c>
      <c r="F17" s="174">
        <f t="shared" ref="F17:F19" si="1">D17*E17</f>
        <v>3225000</v>
      </c>
      <c r="G17" s="175"/>
      <c r="H17" s="175"/>
      <c r="I17" s="175"/>
      <c r="J17" s="175"/>
      <c r="K17" s="175"/>
    </row>
    <row r="18" spans="1:11" ht="12.75" customHeight="1">
      <c r="A18" s="170">
        <v>2.2000000000000002</v>
      </c>
      <c r="B18" s="171" t="s">
        <v>78</v>
      </c>
      <c r="C18" s="172" t="s">
        <v>73</v>
      </c>
      <c r="D18" s="173">
        <v>4</v>
      </c>
      <c r="E18" s="112">
        <v>365200</v>
      </c>
      <c r="F18" s="174">
        <f t="shared" si="1"/>
        <v>1460800</v>
      </c>
      <c r="G18" s="175"/>
      <c r="H18" s="175"/>
      <c r="I18" s="175"/>
      <c r="J18" s="175"/>
      <c r="K18" s="175"/>
    </row>
    <row r="19" spans="1:11" ht="12.75" customHeight="1">
      <c r="A19" s="170">
        <v>2.2999999999999998</v>
      </c>
      <c r="B19" s="171" t="s">
        <v>79</v>
      </c>
      <c r="C19" s="172" t="s">
        <v>49</v>
      </c>
      <c r="D19" s="173">
        <v>90</v>
      </c>
      <c r="E19" s="112">
        <v>22150</v>
      </c>
      <c r="F19" s="174">
        <f t="shared" si="1"/>
        <v>1993500</v>
      </c>
      <c r="G19" s="175"/>
      <c r="H19" s="175"/>
      <c r="I19" s="175"/>
      <c r="J19" s="175"/>
      <c r="K19" s="175"/>
    </row>
    <row r="20" spans="1:11" ht="12.75" customHeight="1">
      <c r="A20" s="176"/>
      <c r="B20" s="177" t="s">
        <v>75</v>
      </c>
      <c r="C20" s="172"/>
      <c r="D20" s="173"/>
      <c r="E20" s="112"/>
      <c r="F20" s="178">
        <f>SUM(F17:F19)</f>
        <v>6679300</v>
      </c>
      <c r="G20" s="175"/>
      <c r="H20" s="175"/>
      <c r="I20" s="175"/>
      <c r="J20" s="175"/>
      <c r="K20" s="175"/>
    </row>
    <row r="21" spans="1:11" ht="12.75" customHeight="1">
      <c r="A21" s="176">
        <v>3</v>
      </c>
      <c r="B21" s="177" t="s">
        <v>80</v>
      </c>
      <c r="C21" s="172"/>
      <c r="D21" s="173"/>
      <c r="E21" s="112"/>
      <c r="F21" s="174"/>
      <c r="G21" s="175"/>
      <c r="H21" s="175"/>
      <c r="I21" s="175"/>
      <c r="J21" s="175"/>
      <c r="K21" s="175"/>
    </row>
    <row r="22" spans="1:11" ht="37.5" customHeight="1">
      <c r="A22" s="170">
        <v>3.1</v>
      </c>
      <c r="B22" s="171" t="s">
        <v>77</v>
      </c>
      <c r="C22" s="172" t="s">
        <v>49</v>
      </c>
      <c r="D22" s="173">
        <v>80</v>
      </c>
      <c r="E22" s="112">
        <v>64500</v>
      </c>
      <c r="F22" s="174">
        <f t="shared" ref="F22:F29" si="2">D22*E22</f>
        <v>5160000</v>
      </c>
      <c r="G22" s="175"/>
      <c r="H22" s="175"/>
      <c r="I22" s="175"/>
      <c r="J22" s="175"/>
      <c r="K22" s="175"/>
    </row>
    <row r="23" spans="1:11" ht="12.75" customHeight="1">
      <c r="A23" s="170">
        <v>3.2</v>
      </c>
      <c r="B23" s="171" t="s">
        <v>81</v>
      </c>
      <c r="C23" s="172" t="s">
        <v>73</v>
      </c>
      <c r="D23" s="179">
        <v>5</v>
      </c>
      <c r="E23" s="112">
        <v>365200</v>
      </c>
      <c r="F23" s="174">
        <f t="shared" si="2"/>
        <v>1826000</v>
      </c>
      <c r="G23" s="175"/>
      <c r="H23" s="175"/>
      <c r="I23" s="175"/>
      <c r="J23" s="175"/>
      <c r="K23" s="175"/>
    </row>
    <row r="24" spans="1:11" ht="12.75" customHeight="1">
      <c r="A24" s="170">
        <v>3.3</v>
      </c>
      <c r="B24" s="171" t="s">
        <v>79</v>
      </c>
      <c r="C24" s="172" t="s">
        <v>49</v>
      </c>
      <c r="D24" s="173">
        <v>106</v>
      </c>
      <c r="E24" s="112">
        <v>22150</v>
      </c>
      <c r="F24" s="174">
        <f t="shared" si="2"/>
        <v>2347900</v>
      </c>
      <c r="G24" s="175"/>
      <c r="H24" s="175"/>
      <c r="I24" s="175"/>
      <c r="J24" s="175"/>
      <c r="K24" s="175"/>
    </row>
    <row r="25" spans="1:11" ht="12.75" customHeight="1">
      <c r="A25" s="170">
        <v>3.4</v>
      </c>
      <c r="B25" s="171" t="s">
        <v>82</v>
      </c>
      <c r="C25" s="172" t="s">
        <v>49</v>
      </c>
      <c r="D25" s="173">
        <v>40</v>
      </c>
      <c r="E25" s="112">
        <v>114700.15</v>
      </c>
      <c r="F25" s="174">
        <f t="shared" si="2"/>
        <v>4588006</v>
      </c>
      <c r="G25" s="175"/>
      <c r="H25" s="175"/>
      <c r="I25" s="175"/>
      <c r="J25" s="175"/>
      <c r="K25" s="175"/>
    </row>
    <row r="26" spans="1:11" ht="12.75" customHeight="1">
      <c r="A26" s="170">
        <v>3.5</v>
      </c>
      <c r="B26" s="171" t="s">
        <v>83</v>
      </c>
      <c r="C26" s="172" t="s">
        <v>49</v>
      </c>
      <c r="D26" s="173">
        <v>35</v>
      </c>
      <c r="E26" s="112">
        <v>64500</v>
      </c>
      <c r="F26" s="174">
        <f t="shared" si="2"/>
        <v>2257500</v>
      </c>
      <c r="G26" s="175"/>
      <c r="H26" s="175"/>
      <c r="I26" s="175"/>
      <c r="J26" s="175"/>
      <c r="K26" s="175"/>
    </row>
    <row r="27" spans="1:11" ht="12.75" customHeight="1">
      <c r="A27" s="170">
        <v>3.6</v>
      </c>
      <c r="B27" s="171" t="s">
        <v>84</v>
      </c>
      <c r="C27" s="172" t="s">
        <v>73</v>
      </c>
      <c r="D27" s="173">
        <v>3</v>
      </c>
      <c r="E27" s="112">
        <v>525300</v>
      </c>
      <c r="F27" s="174">
        <f t="shared" si="2"/>
        <v>1575900</v>
      </c>
      <c r="G27" s="175"/>
      <c r="H27" s="175"/>
      <c r="I27" s="175"/>
      <c r="J27" s="175"/>
      <c r="K27" s="175"/>
    </row>
    <row r="28" spans="1:11" ht="12.75" customHeight="1">
      <c r="A28" s="170">
        <v>3.7</v>
      </c>
      <c r="B28" s="171" t="s">
        <v>85</v>
      </c>
      <c r="C28" s="172" t="s">
        <v>73</v>
      </c>
      <c r="D28" s="173">
        <v>4</v>
      </c>
      <c r="E28" s="112">
        <v>950000</v>
      </c>
      <c r="F28" s="174">
        <f t="shared" si="2"/>
        <v>3800000</v>
      </c>
      <c r="G28" s="175"/>
      <c r="H28" s="175"/>
      <c r="I28" s="175"/>
      <c r="J28" s="175"/>
      <c r="K28" s="175"/>
    </row>
    <row r="29" spans="1:11" ht="12.75" customHeight="1">
      <c r="A29" s="170">
        <v>3.8</v>
      </c>
      <c r="B29" s="171" t="s">
        <v>86</v>
      </c>
      <c r="C29" s="172" t="s">
        <v>87</v>
      </c>
      <c r="D29" s="173">
        <v>2</v>
      </c>
      <c r="E29" s="112">
        <v>1658000</v>
      </c>
      <c r="F29" s="174">
        <f t="shared" si="2"/>
        <v>3316000</v>
      </c>
      <c r="G29" s="175"/>
      <c r="H29" s="175"/>
      <c r="I29" s="175"/>
      <c r="J29" s="175"/>
      <c r="K29" s="175"/>
    </row>
    <row r="30" spans="1:11" ht="12.75" customHeight="1">
      <c r="A30" s="176"/>
      <c r="B30" s="177" t="s">
        <v>75</v>
      </c>
      <c r="C30" s="172"/>
      <c r="D30" s="173"/>
      <c r="E30" s="112"/>
      <c r="F30" s="178">
        <f>SUM(F22:F29)</f>
        <v>24871306</v>
      </c>
      <c r="G30" s="175"/>
      <c r="H30" s="175"/>
      <c r="I30" s="175"/>
      <c r="J30" s="175"/>
      <c r="K30" s="175"/>
    </row>
    <row r="31" spans="1:11" ht="12.75" customHeight="1">
      <c r="A31" s="176">
        <v>4</v>
      </c>
      <c r="B31" s="177" t="s">
        <v>88</v>
      </c>
      <c r="C31" s="172"/>
      <c r="D31" s="173"/>
      <c r="E31" s="112"/>
      <c r="F31" s="174"/>
      <c r="G31" s="175"/>
      <c r="H31" s="175"/>
      <c r="I31" s="175"/>
      <c r="J31" s="175"/>
      <c r="K31" s="175"/>
    </row>
    <row r="32" spans="1:11" ht="51" customHeight="1">
      <c r="A32" s="170">
        <v>4.0999999999999996</v>
      </c>
      <c r="B32" s="171" t="s">
        <v>77</v>
      </c>
      <c r="C32" s="172" t="s">
        <v>49</v>
      </c>
      <c r="D32" s="173">
        <v>100</v>
      </c>
      <c r="E32" s="112">
        <v>64500</v>
      </c>
      <c r="F32" s="174">
        <f t="shared" ref="F32:F34" si="3">D32*E32</f>
        <v>6450000</v>
      </c>
      <c r="G32" s="175"/>
      <c r="H32" s="175"/>
      <c r="I32" s="175"/>
      <c r="J32" s="175"/>
      <c r="K32" s="175"/>
    </row>
    <row r="33" spans="1:11" ht="12.75" customHeight="1">
      <c r="A33" s="170">
        <v>4.2</v>
      </c>
      <c r="B33" s="171" t="s">
        <v>89</v>
      </c>
      <c r="C33" s="172" t="s">
        <v>73</v>
      </c>
      <c r="D33" s="173">
        <v>1</v>
      </c>
      <c r="E33" s="112">
        <v>365200</v>
      </c>
      <c r="F33" s="174">
        <f t="shared" si="3"/>
        <v>365200</v>
      </c>
      <c r="G33" s="175"/>
      <c r="H33" s="175"/>
      <c r="I33" s="175"/>
      <c r="J33" s="175"/>
      <c r="K33" s="175"/>
    </row>
    <row r="34" spans="1:11" ht="12.75" customHeight="1">
      <c r="A34" s="170">
        <v>4.3</v>
      </c>
      <c r="B34" s="171" t="s">
        <v>79</v>
      </c>
      <c r="C34" s="172" t="s">
        <v>49</v>
      </c>
      <c r="D34" s="173">
        <v>118</v>
      </c>
      <c r="E34" s="112">
        <v>22150</v>
      </c>
      <c r="F34" s="174">
        <f t="shared" si="3"/>
        <v>2613700</v>
      </c>
      <c r="G34" s="175"/>
      <c r="H34" s="175"/>
      <c r="I34" s="175"/>
      <c r="J34" s="175"/>
      <c r="K34" s="175"/>
    </row>
    <row r="35" spans="1:11" ht="12.75" customHeight="1">
      <c r="A35" s="176"/>
      <c r="B35" s="177" t="s">
        <v>75</v>
      </c>
      <c r="C35" s="172"/>
      <c r="D35" s="173"/>
      <c r="E35" s="112"/>
      <c r="F35" s="178">
        <f>SUM(F32:F34)</f>
        <v>9428900</v>
      </c>
      <c r="G35" s="175"/>
      <c r="H35" s="175"/>
      <c r="I35" s="175"/>
      <c r="J35" s="175"/>
      <c r="K35" s="175"/>
    </row>
    <row r="36" spans="1:11" ht="12.75" customHeight="1">
      <c r="A36" s="176">
        <v>5</v>
      </c>
      <c r="B36" s="177" t="s">
        <v>90</v>
      </c>
      <c r="C36" s="172"/>
      <c r="D36" s="173"/>
      <c r="E36" s="112"/>
      <c r="F36" s="174"/>
      <c r="G36" s="175"/>
      <c r="H36" s="175"/>
      <c r="I36" s="175"/>
      <c r="J36" s="175"/>
      <c r="K36" s="175"/>
    </row>
    <row r="37" spans="1:11" ht="12.75" customHeight="1">
      <c r="A37" s="170">
        <v>5.0999999999999996</v>
      </c>
      <c r="B37" s="171" t="s">
        <v>77</v>
      </c>
      <c r="C37" s="172" t="s">
        <v>49</v>
      </c>
      <c r="D37" s="173">
        <v>30</v>
      </c>
      <c r="E37" s="112">
        <v>64500</v>
      </c>
      <c r="F37" s="174">
        <f t="shared" ref="F37:F41" si="4">D37*E37</f>
        <v>1935000</v>
      </c>
      <c r="G37" s="175"/>
      <c r="H37" s="175"/>
      <c r="I37" s="175"/>
      <c r="J37" s="175"/>
      <c r="K37" s="175"/>
    </row>
    <row r="38" spans="1:11" ht="12.75" customHeight="1">
      <c r="A38" s="170">
        <v>5.2</v>
      </c>
      <c r="B38" s="171" t="s">
        <v>91</v>
      </c>
      <c r="C38" s="172" t="s">
        <v>73</v>
      </c>
      <c r="D38" s="173">
        <v>2</v>
      </c>
      <c r="E38" s="120">
        <v>214146.5</v>
      </c>
      <c r="F38" s="174">
        <f t="shared" si="4"/>
        <v>428293</v>
      </c>
      <c r="G38" s="175"/>
      <c r="H38" s="175"/>
      <c r="I38" s="175"/>
      <c r="J38" s="175"/>
      <c r="K38" s="175"/>
    </row>
    <row r="39" spans="1:11" ht="12.75" customHeight="1">
      <c r="A39" s="170">
        <v>5.3</v>
      </c>
      <c r="B39" s="171" t="s">
        <v>92</v>
      </c>
      <c r="C39" s="172" t="s">
        <v>49</v>
      </c>
      <c r="D39" s="173">
        <v>22</v>
      </c>
      <c r="E39" s="120">
        <v>811440</v>
      </c>
      <c r="F39" s="174">
        <f t="shared" si="4"/>
        <v>17851680</v>
      </c>
      <c r="G39" s="175"/>
      <c r="H39" s="175"/>
      <c r="I39" s="175"/>
      <c r="J39" s="175"/>
      <c r="K39" s="175"/>
    </row>
    <row r="40" spans="1:11" ht="12.75" customHeight="1">
      <c r="A40" s="170">
        <v>5.4</v>
      </c>
      <c r="B40" s="171" t="s">
        <v>93</v>
      </c>
      <c r="C40" s="172" t="s">
        <v>73</v>
      </c>
      <c r="D40" s="173">
        <v>2</v>
      </c>
      <c r="E40" s="112">
        <v>1425000</v>
      </c>
      <c r="F40" s="174">
        <f t="shared" si="4"/>
        <v>2850000</v>
      </c>
      <c r="G40" s="175"/>
      <c r="H40" s="175"/>
      <c r="I40" s="175"/>
      <c r="J40" s="175"/>
      <c r="K40" s="175"/>
    </row>
    <row r="41" spans="1:11" ht="12.75" customHeight="1">
      <c r="A41" s="170">
        <v>5.5</v>
      </c>
      <c r="B41" s="171" t="s">
        <v>78</v>
      </c>
      <c r="C41" s="172" t="s">
        <v>73</v>
      </c>
      <c r="D41" s="173">
        <v>2</v>
      </c>
      <c r="E41" s="112">
        <v>365200</v>
      </c>
      <c r="F41" s="174">
        <f t="shared" si="4"/>
        <v>730400</v>
      </c>
      <c r="G41" s="175"/>
      <c r="H41" s="175"/>
      <c r="I41" s="175"/>
      <c r="J41" s="175"/>
      <c r="K41" s="175"/>
    </row>
    <row r="42" spans="1:11" ht="12.75" customHeight="1">
      <c r="A42" s="176"/>
      <c r="B42" s="177" t="s">
        <v>75</v>
      </c>
      <c r="C42" s="172"/>
      <c r="D42" s="173"/>
      <c r="E42" s="112"/>
      <c r="F42" s="178">
        <f>SUM(F37:F40)</f>
        <v>23064973</v>
      </c>
      <c r="G42" s="175"/>
      <c r="H42" s="175"/>
      <c r="I42" s="175"/>
      <c r="J42" s="175"/>
      <c r="K42" s="175"/>
    </row>
    <row r="43" spans="1:11" ht="12.75" customHeight="1">
      <c r="A43" s="176">
        <v>6</v>
      </c>
      <c r="B43" s="177" t="s">
        <v>94</v>
      </c>
      <c r="C43" s="172"/>
      <c r="D43" s="173"/>
      <c r="E43" s="112"/>
      <c r="F43" s="174"/>
      <c r="G43" s="175"/>
      <c r="H43" s="175"/>
      <c r="I43" s="175"/>
      <c r="J43" s="175"/>
      <c r="K43" s="175"/>
    </row>
    <row r="44" spans="1:11" ht="12.75" customHeight="1">
      <c r="A44" s="170">
        <v>6.1</v>
      </c>
      <c r="B44" s="171" t="s">
        <v>95</v>
      </c>
      <c r="C44" s="172" t="s">
        <v>26</v>
      </c>
      <c r="D44" s="173">
        <v>130</v>
      </c>
      <c r="E44" s="112">
        <v>143080</v>
      </c>
      <c r="F44" s="174">
        <f t="shared" ref="F44:F50" si="5">D44*E44</f>
        <v>18600400</v>
      </c>
      <c r="G44" s="175"/>
      <c r="H44" s="175"/>
      <c r="I44" s="175"/>
      <c r="J44" s="175"/>
      <c r="K44" s="175"/>
    </row>
    <row r="45" spans="1:11" ht="12.75" customHeight="1">
      <c r="A45" s="170">
        <v>6.2</v>
      </c>
      <c r="B45" s="171" t="s">
        <v>96</v>
      </c>
      <c r="C45" s="172" t="s">
        <v>6</v>
      </c>
      <c r="D45" s="173">
        <v>39</v>
      </c>
      <c r="E45" s="112">
        <v>122802.25999999986</v>
      </c>
      <c r="F45" s="174">
        <f t="shared" si="5"/>
        <v>4789288.139999995</v>
      </c>
      <c r="G45" s="175"/>
      <c r="H45" s="175"/>
      <c r="I45" s="175"/>
      <c r="J45" s="175"/>
      <c r="K45" s="175"/>
    </row>
    <row r="46" spans="1:11" ht="12.75" customHeight="1">
      <c r="A46" s="170">
        <v>6.3</v>
      </c>
      <c r="B46" s="171" t="s">
        <v>97</v>
      </c>
      <c r="C46" s="172" t="s">
        <v>55</v>
      </c>
      <c r="D46" s="173">
        <v>60</v>
      </c>
      <c r="E46" s="112">
        <v>22150</v>
      </c>
      <c r="F46" s="174">
        <f t="shared" si="5"/>
        <v>1329000</v>
      </c>
      <c r="G46" s="175"/>
      <c r="H46" s="175"/>
      <c r="I46" s="175"/>
      <c r="J46" s="175"/>
      <c r="K46" s="175"/>
    </row>
    <row r="47" spans="1:11" ht="13.5" customHeight="1">
      <c r="A47" s="170">
        <v>6.4</v>
      </c>
      <c r="B47" s="171" t="s">
        <v>98</v>
      </c>
      <c r="C47" s="172" t="s">
        <v>55</v>
      </c>
      <c r="D47" s="173">
        <v>60</v>
      </c>
      <c r="E47" s="112">
        <v>14940</v>
      </c>
      <c r="F47" s="174">
        <f t="shared" si="5"/>
        <v>896400</v>
      </c>
      <c r="G47" s="175"/>
      <c r="H47" s="175"/>
      <c r="I47" s="175"/>
      <c r="J47" s="175"/>
      <c r="K47" s="175"/>
    </row>
    <row r="48" spans="1:11" ht="12.75" customHeight="1">
      <c r="A48" s="170">
        <v>6.5</v>
      </c>
      <c r="B48" s="171" t="s">
        <v>99</v>
      </c>
      <c r="C48" s="172" t="s">
        <v>6</v>
      </c>
      <c r="D48" s="173">
        <v>40</v>
      </c>
      <c r="E48" s="112">
        <v>82300</v>
      </c>
      <c r="F48" s="174">
        <f t="shared" si="5"/>
        <v>3292000</v>
      </c>
      <c r="G48" s="175"/>
      <c r="H48" s="175"/>
      <c r="I48" s="175"/>
      <c r="J48" s="175"/>
      <c r="K48" s="175"/>
    </row>
    <row r="49" spans="1:11" ht="12.75" customHeight="1">
      <c r="A49" s="170">
        <v>6.6</v>
      </c>
      <c r="B49" s="171" t="s">
        <v>100</v>
      </c>
      <c r="C49" s="172" t="s">
        <v>55</v>
      </c>
      <c r="D49" s="173">
        <v>30</v>
      </c>
      <c r="E49" s="112">
        <v>275300</v>
      </c>
      <c r="F49" s="174">
        <f t="shared" si="5"/>
        <v>8259000</v>
      </c>
      <c r="G49" s="175"/>
      <c r="H49" s="175"/>
      <c r="I49" s="175"/>
      <c r="J49" s="175"/>
      <c r="K49" s="175"/>
    </row>
    <row r="50" spans="1:11" ht="12.75" customHeight="1">
      <c r="A50" s="170">
        <v>6.7</v>
      </c>
      <c r="B50" s="171" t="s">
        <v>101</v>
      </c>
      <c r="C50" s="172" t="s">
        <v>102</v>
      </c>
      <c r="D50" s="173">
        <v>37</v>
      </c>
      <c r="E50" s="112">
        <v>71200</v>
      </c>
      <c r="F50" s="174">
        <f t="shared" si="5"/>
        <v>2634400</v>
      </c>
      <c r="G50" s="175"/>
      <c r="H50" s="175"/>
      <c r="I50" s="175"/>
      <c r="J50" s="175"/>
      <c r="K50" s="175"/>
    </row>
    <row r="51" spans="1:11" ht="12.75" customHeight="1">
      <c r="A51" s="176"/>
      <c r="B51" s="177" t="s">
        <v>75</v>
      </c>
      <c r="C51" s="172"/>
      <c r="D51" s="173"/>
      <c r="E51" s="112"/>
      <c r="F51" s="178">
        <f>SUM(F44:F50)</f>
        <v>39800488.139999993</v>
      </c>
      <c r="G51" s="175"/>
      <c r="H51" s="175"/>
      <c r="I51" s="175"/>
      <c r="J51" s="175"/>
      <c r="K51" s="175"/>
    </row>
    <row r="52" spans="1:11" ht="12.75" customHeight="1">
      <c r="A52" s="176">
        <v>7</v>
      </c>
      <c r="B52" s="177" t="s">
        <v>103</v>
      </c>
      <c r="C52" s="172"/>
      <c r="D52" s="173"/>
      <c r="E52" s="112"/>
      <c r="F52" s="174"/>
      <c r="G52" s="175"/>
      <c r="H52" s="175"/>
      <c r="I52" s="175"/>
      <c r="J52" s="175"/>
      <c r="K52" s="175"/>
    </row>
    <row r="53" spans="1:11" ht="12.75" customHeight="1">
      <c r="A53" s="170">
        <v>7.1</v>
      </c>
      <c r="B53" s="171" t="s">
        <v>104</v>
      </c>
      <c r="C53" s="172" t="s">
        <v>6</v>
      </c>
      <c r="D53" s="173">
        <v>1</v>
      </c>
      <c r="E53" s="112">
        <v>165300</v>
      </c>
      <c r="F53" s="174">
        <f t="shared" ref="F53:F58" si="6">D53*E53</f>
        <v>165300</v>
      </c>
      <c r="G53" s="175"/>
      <c r="H53" s="175"/>
      <c r="I53" s="175"/>
      <c r="J53" s="175"/>
      <c r="K53" s="175"/>
    </row>
    <row r="54" spans="1:11" ht="12.75" customHeight="1">
      <c r="A54" s="170">
        <v>7.2</v>
      </c>
      <c r="B54" s="171" t="s">
        <v>105</v>
      </c>
      <c r="C54" s="172" t="s">
        <v>6</v>
      </c>
      <c r="D54" s="173">
        <v>1</v>
      </c>
      <c r="E54" s="112">
        <v>525300</v>
      </c>
      <c r="F54" s="174">
        <f t="shared" si="6"/>
        <v>525300</v>
      </c>
      <c r="G54" s="175"/>
      <c r="H54" s="175"/>
      <c r="I54" s="175"/>
      <c r="J54" s="175"/>
      <c r="K54" s="175"/>
    </row>
    <row r="55" spans="1:11" ht="12.75" customHeight="1">
      <c r="A55" s="170">
        <v>7.3</v>
      </c>
      <c r="B55" s="171" t="s">
        <v>106</v>
      </c>
      <c r="C55" s="172" t="s">
        <v>55</v>
      </c>
      <c r="D55" s="173">
        <v>37</v>
      </c>
      <c r="E55" s="112">
        <v>99319.739999999991</v>
      </c>
      <c r="F55" s="174">
        <f t="shared" si="6"/>
        <v>3674830.38</v>
      </c>
      <c r="G55" s="175"/>
      <c r="H55" s="175"/>
      <c r="I55" s="175"/>
      <c r="J55" s="175"/>
      <c r="K55" s="175"/>
    </row>
    <row r="56" spans="1:11" ht="12.75" customHeight="1">
      <c r="A56" s="170">
        <v>7.4</v>
      </c>
      <c r="B56" s="171" t="s">
        <v>107</v>
      </c>
      <c r="C56" s="172" t="s">
        <v>87</v>
      </c>
      <c r="D56" s="173">
        <v>42</v>
      </c>
      <c r="E56" s="112">
        <v>82300</v>
      </c>
      <c r="F56" s="174">
        <f t="shared" si="6"/>
        <v>3456600</v>
      </c>
      <c r="G56" s="175"/>
      <c r="H56" s="175"/>
      <c r="I56" s="175"/>
      <c r="J56" s="175"/>
      <c r="K56" s="175"/>
    </row>
    <row r="57" spans="1:11" ht="12.75" customHeight="1">
      <c r="A57" s="170">
        <v>7.5</v>
      </c>
      <c r="B57" s="171" t="s">
        <v>108</v>
      </c>
      <c r="C57" s="172" t="s">
        <v>73</v>
      </c>
      <c r="D57" s="173">
        <v>36</v>
      </c>
      <c r="E57" s="112">
        <v>42810</v>
      </c>
      <c r="F57" s="174">
        <f t="shared" si="6"/>
        <v>1541160</v>
      </c>
      <c r="G57" s="175"/>
      <c r="H57" s="175"/>
      <c r="I57" s="175"/>
      <c r="J57" s="175"/>
      <c r="K57" s="175"/>
    </row>
    <row r="58" spans="1:11" ht="12.75" customHeight="1">
      <c r="A58" s="170">
        <v>7.6</v>
      </c>
      <c r="B58" s="171" t="s">
        <v>109</v>
      </c>
      <c r="C58" s="172" t="s">
        <v>73</v>
      </c>
      <c r="D58" s="173">
        <v>36</v>
      </c>
      <c r="E58" s="112">
        <v>214913.5</v>
      </c>
      <c r="F58" s="174">
        <f t="shared" si="6"/>
        <v>7736886</v>
      </c>
      <c r="G58" s="175"/>
      <c r="H58" s="175"/>
      <c r="I58" s="175"/>
      <c r="J58" s="175"/>
      <c r="K58" s="175"/>
    </row>
    <row r="59" spans="1:11" ht="12.75" customHeight="1">
      <c r="A59" s="170"/>
      <c r="B59" s="177" t="s">
        <v>75</v>
      </c>
      <c r="C59" s="172"/>
      <c r="D59" s="173"/>
      <c r="E59" s="112"/>
      <c r="F59" s="178">
        <f>SUM(F53:F58)</f>
        <v>17100076.379999999</v>
      </c>
      <c r="G59" s="175"/>
      <c r="H59" s="175"/>
      <c r="I59" s="175"/>
      <c r="J59" s="175"/>
      <c r="K59" s="175"/>
    </row>
    <row r="60" spans="1:11" ht="12.75" customHeight="1">
      <c r="A60" s="176">
        <v>8</v>
      </c>
      <c r="B60" s="177" t="s">
        <v>110</v>
      </c>
      <c r="C60" s="172"/>
      <c r="D60" s="173"/>
      <c r="E60" s="112"/>
      <c r="F60" s="174"/>
      <c r="G60" s="175"/>
      <c r="H60" s="175"/>
      <c r="I60" s="175"/>
      <c r="J60" s="175"/>
      <c r="K60" s="175"/>
    </row>
    <row r="61" spans="1:11" ht="12.75" customHeight="1">
      <c r="A61" s="170">
        <v>8.1</v>
      </c>
      <c r="B61" s="171" t="s">
        <v>111</v>
      </c>
      <c r="C61" s="172" t="s">
        <v>49</v>
      </c>
      <c r="D61" s="173">
        <v>300</v>
      </c>
      <c r="E61" s="112">
        <v>146604.5</v>
      </c>
      <c r="F61" s="174">
        <f t="shared" ref="F61:F62" si="7">D61*E61</f>
        <v>43981350</v>
      </c>
      <c r="G61" s="175"/>
      <c r="H61" s="175"/>
      <c r="I61" s="175"/>
      <c r="J61" s="175"/>
      <c r="K61" s="175"/>
    </row>
    <row r="62" spans="1:11" ht="12.75" customHeight="1">
      <c r="A62" s="170">
        <v>8.1999999999999993</v>
      </c>
      <c r="B62" s="171" t="s">
        <v>112</v>
      </c>
      <c r="C62" s="172" t="s">
        <v>49</v>
      </c>
      <c r="D62" s="173">
        <v>365</v>
      </c>
      <c r="E62" s="112">
        <v>64500</v>
      </c>
      <c r="F62" s="174">
        <f t="shared" si="7"/>
        <v>23542500</v>
      </c>
      <c r="G62" s="175"/>
      <c r="H62" s="175"/>
      <c r="I62" s="175"/>
      <c r="J62" s="175"/>
      <c r="K62" s="175"/>
    </row>
    <row r="63" spans="1:11" ht="12.75" customHeight="1">
      <c r="A63" s="176"/>
      <c r="B63" s="177" t="s">
        <v>75</v>
      </c>
      <c r="C63" s="172"/>
      <c r="D63" s="173"/>
      <c r="E63" s="112"/>
      <c r="F63" s="178">
        <f>SUM(F61:F62)</f>
        <v>67523850</v>
      </c>
      <c r="G63" s="175"/>
      <c r="H63" s="175"/>
      <c r="I63" s="175"/>
      <c r="J63" s="175"/>
      <c r="K63" s="175"/>
    </row>
    <row r="64" spans="1:11" ht="12.75" customHeight="1">
      <c r="A64" s="176">
        <v>9</v>
      </c>
      <c r="B64" s="177" t="s">
        <v>113</v>
      </c>
      <c r="C64" s="172"/>
      <c r="D64" s="173"/>
      <c r="E64" s="112"/>
      <c r="F64" s="174"/>
      <c r="G64" s="175"/>
      <c r="H64" s="175"/>
      <c r="I64" s="175"/>
      <c r="J64" s="175"/>
      <c r="K64" s="175"/>
    </row>
    <row r="65" spans="1:11" ht="12.75" customHeight="1">
      <c r="A65" s="170">
        <v>9.1</v>
      </c>
      <c r="B65" s="171" t="s">
        <v>79</v>
      </c>
      <c r="C65" s="172" t="s">
        <v>49</v>
      </c>
      <c r="D65" s="173">
        <v>612</v>
      </c>
      <c r="E65" s="112">
        <v>22150</v>
      </c>
      <c r="F65" s="174">
        <f t="shared" ref="F65:F68" si="8">D65*E65</f>
        <v>13555800</v>
      </c>
      <c r="G65" s="175"/>
      <c r="H65" s="175"/>
      <c r="I65" s="175"/>
      <c r="J65" s="175"/>
      <c r="K65" s="175"/>
    </row>
    <row r="66" spans="1:11" ht="12.75" customHeight="1">
      <c r="A66" s="170">
        <v>9.1999999999999993</v>
      </c>
      <c r="B66" s="171" t="s">
        <v>114</v>
      </c>
      <c r="C66" s="172" t="s">
        <v>6</v>
      </c>
      <c r="D66" s="173">
        <v>1</v>
      </c>
      <c r="E66" s="112">
        <v>1352000</v>
      </c>
      <c r="F66" s="174">
        <f t="shared" si="8"/>
        <v>1352000</v>
      </c>
      <c r="G66" s="175"/>
      <c r="H66" s="175"/>
      <c r="I66" s="175"/>
      <c r="J66" s="175"/>
      <c r="K66" s="175"/>
    </row>
    <row r="67" spans="1:11" ht="12.75" customHeight="1">
      <c r="A67" s="170">
        <v>9.3000000000000007</v>
      </c>
      <c r="B67" s="171" t="s">
        <v>115</v>
      </c>
      <c r="C67" s="172" t="s">
        <v>6</v>
      </c>
      <c r="D67" s="180">
        <f>35</f>
        <v>35</v>
      </c>
      <c r="E67" s="112">
        <v>95200</v>
      </c>
      <c r="F67" s="174">
        <f t="shared" si="8"/>
        <v>3332000</v>
      </c>
      <c r="G67" s="175"/>
      <c r="H67" s="175"/>
      <c r="I67" s="175"/>
      <c r="J67" s="175"/>
      <c r="K67" s="175"/>
    </row>
    <row r="68" spans="1:11" ht="12.75" customHeight="1">
      <c r="A68" s="170">
        <v>9.4</v>
      </c>
      <c r="B68" s="171" t="s">
        <v>116</v>
      </c>
      <c r="C68" s="172" t="s">
        <v>24</v>
      </c>
      <c r="D68" s="180">
        <f>12</f>
        <v>12</v>
      </c>
      <c r="E68" s="112">
        <v>541987.12000000011</v>
      </c>
      <c r="F68" s="174">
        <f t="shared" si="8"/>
        <v>6503845.4400000013</v>
      </c>
      <c r="G68" s="175"/>
      <c r="H68" s="175"/>
      <c r="I68" s="175"/>
      <c r="J68" s="175"/>
      <c r="K68" s="175"/>
    </row>
    <row r="69" spans="1:11" ht="12.75" customHeight="1">
      <c r="A69" s="176"/>
      <c r="B69" s="181" t="s">
        <v>75</v>
      </c>
      <c r="C69" s="172"/>
      <c r="D69" s="173"/>
      <c r="E69" s="112"/>
      <c r="F69" s="178">
        <f>F15+F20+F30+F35+F42+F51+F59+F63+F72</f>
        <v>214226593.09999999</v>
      </c>
      <c r="G69" s="175"/>
      <c r="H69" s="175"/>
      <c r="I69" s="175"/>
      <c r="J69" s="175"/>
      <c r="K69" s="175"/>
    </row>
    <row r="70" spans="1:11" ht="12.75" customHeight="1">
      <c r="A70" s="176">
        <v>10</v>
      </c>
      <c r="B70" s="177" t="s">
        <v>117</v>
      </c>
      <c r="C70" s="172"/>
      <c r="D70" s="173"/>
      <c r="E70" s="112"/>
      <c r="F70" s="174"/>
      <c r="G70" s="175"/>
      <c r="H70" s="175"/>
      <c r="I70" s="175"/>
      <c r="J70" s="175"/>
      <c r="K70" s="175"/>
    </row>
    <row r="71" spans="1:11" ht="12.75" customHeight="1">
      <c r="A71" s="170">
        <v>10.1</v>
      </c>
      <c r="B71" s="169" t="s">
        <v>118</v>
      </c>
      <c r="C71" s="165" t="s">
        <v>119</v>
      </c>
      <c r="D71" s="166">
        <f>1</f>
        <v>1</v>
      </c>
      <c r="E71" s="112">
        <v>310699.57999999996</v>
      </c>
      <c r="F71" s="167">
        <f>D71*E71</f>
        <v>310699.57999999996</v>
      </c>
      <c r="G71" s="145"/>
      <c r="H71" s="145"/>
      <c r="I71" s="145"/>
      <c r="J71" s="145"/>
      <c r="K71" s="145"/>
    </row>
    <row r="72" spans="1:11" ht="12.75" customHeight="1">
      <c r="A72" s="163"/>
      <c r="B72" s="182" t="s">
        <v>75</v>
      </c>
      <c r="C72" s="165"/>
      <c r="D72" s="166"/>
      <c r="E72" s="107"/>
      <c r="F72" s="183">
        <f>SUM(F71)</f>
        <v>310699.57999999996</v>
      </c>
      <c r="G72" s="145"/>
      <c r="H72" s="145"/>
      <c r="I72" s="145"/>
      <c r="J72" s="145"/>
      <c r="K72" s="145"/>
    </row>
    <row r="73" spans="1:11" ht="12.75" customHeight="1">
      <c r="A73" s="163"/>
      <c r="B73" s="169"/>
      <c r="C73" s="165"/>
      <c r="D73" s="166"/>
      <c r="E73" s="107"/>
      <c r="F73" s="167"/>
      <c r="G73" s="145"/>
      <c r="H73" s="145"/>
      <c r="I73" s="145"/>
      <c r="J73" s="145"/>
      <c r="K73" s="145"/>
    </row>
    <row r="74" spans="1:11" ht="12.75" customHeight="1">
      <c r="A74" s="163"/>
      <c r="B74" s="182" t="s">
        <v>42</v>
      </c>
      <c r="C74" s="165"/>
      <c r="D74" s="166"/>
      <c r="E74" s="107"/>
      <c r="F74" s="183">
        <f>F69</f>
        <v>214226593.09999999</v>
      </c>
      <c r="G74" s="184"/>
      <c r="H74" s="145"/>
      <c r="I74" s="145"/>
      <c r="J74" s="145"/>
      <c r="K74" s="145"/>
    </row>
    <row r="75" spans="1:11" ht="12.75" customHeight="1">
      <c r="A75" s="163"/>
      <c r="B75" s="182" t="s">
        <v>43</v>
      </c>
      <c r="C75" s="185"/>
      <c r="D75" s="186">
        <v>0.18</v>
      </c>
      <c r="E75" s="187"/>
      <c r="F75" s="183">
        <f>F74*D75</f>
        <v>38560786.757999994</v>
      </c>
      <c r="G75" s="145"/>
      <c r="H75" s="145"/>
      <c r="I75" s="145"/>
      <c r="J75" s="145"/>
      <c r="K75" s="145"/>
    </row>
    <row r="76" spans="1:11" ht="12.75" customHeight="1">
      <c r="A76" s="163"/>
      <c r="B76" s="182" t="s">
        <v>44</v>
      </c>
      <c r="C76" s="185"/>
      <c r="D76" s="186">
        <v>0.08</v>
      </c>
      <c r="E76" s="187"/>
      <c r="F76" s="183">
        <f>F74*D76</f>
        <v>17138127.447999999</v>
      </c>
      <c r="G76" s="145"/>
      <c r="H76" s="145"/>
      <c r="I76" s="145"/>
      <c r="J76" s="145"/>
      <c r="K76" s="145"/>
    </row>
    <row r="77" spans="1:11" ht="12.75" customHeight="1">
      <c r="A77" s="163"/>
      <c r="B77" s="182" t="s">
        <v>45</v>
      </c>
      <c r="C77" s="185"/>
      <c r="D77" s="186">
        <v>0.04</v>
      </c>
      <c r="E77" s="187"/>
      <c r="F77" s="183">
        <f>F74*D77</f>
        <v>8569063.7239999995</v>
      </c>
      <c r="G77" s="145"/>
      <c r="H77" s="145"/>
      <c r="I77" s="145"/>
      <c r="J77" s="145"/>
      <c r="K77" s="145"/>
    </row>
    <row r="78" spans="1:11" ht="12.75" customHeight="1">
      <c r="A78" s="163"/>
      <c r="B78" s="182" t="s">
        <v>46</v>
      </c>
      <c r="C78" s="185"/>
      <c r="D78" s="186">
        <v>0.3</v>
      </c>
      <c r="E78" s="187"/>
      <c r="F78" s="183">
        <f>F77+F76+F75</f>
        <v>64267977.929999992</v>
      </c>
      <c r="G78" s="145"/>
      <c r="H78" s="145"/>
      <c r="I78" s="145"/>
      <c r="J78" s="145"/>
      <c r="K78" s="145"/>
    </row>
    <row r="79" spans="1:11" ht="12.75" customHeight="1">
      <c r="A79" s="163"/>
      <c r="B79" s="182"/>
      <c r="C79" s="185"/>
      <c r="D79" s="186"/>
      <c r="E79" s="187"/>
      <c r="F79" s="167"/>
      <c r="G79" s="145"/>
      <c r="H79" s="145"/>
      <c r="I79" s="145"/>
      <c r="J79" s="145"/>
      <c r="K79" s="145"/>
    </row>
    <row r="80" spans="1:11" ht="12.75" customHeight="1">
      <c r="A80" s="163"/>
      <c r="B80" s="182" t="s">
        <v>47</v>
      </c>
      <c r="C80" s="185"/>
      <c r="D80" s="186">
        <v>0.19</v>
      </c>
      <c r="E80" s="187"/>
      <c r="F80" s="183">
        <f>F77*D80</f>
        <v>1628122.1075599999</v>
      </c>
      <c r="G80" s="145"/>
      <c r="H80" s="145"/>
      <c r="I80" s="145"/>
      <c r="J80" s="145"/>
      <c r="K80" s="145"/>
    </row>
    <row r="81" spans="1:11" ht="12.75" customHeight="1">
      <c r="A81" s="163"/>
      <c r="B81" s="169"/>
      <c r="C81" s="165"/>
      <c r="D81" s="166"/>
      <c r="E81" s="107"/>
      <c r="F81" s="167"/>
      <c r="G81" s="145"/>
      <c r="H81" s="145"/>
      <c r="I81" s="145"/>
      <c r="J81" s="145"/>
      <c r="K81" s="145"/>
    </row>
    <row r="82" spans="1:11" ht="12.75" customHeight="1">
      <c r="A82" s="163"/>
      <c r="B82" s="182" t="s">
        <v>120</v>
      </c>
      <c r="C82" s="165"/>
      <c r="D82" s="166"/>
      <c r="E82" s="107"/>
      <c r="F82" s="178">
        <f>F80+F78+F74</f>
        <v>280122693.13756001</v>
      </c>
      <c r="G82" s="188"/>
      <c r="H82" s="188"/>
      <c r="I82" s="145"/>
      <c r="J82" s="145"/>
      <c r="K82" s="145"/>
    </row>
    <row r="83" spans="1:11" ht="12.75" customHeight="1">
      <c r="A83" s="189"/>
      <c r="B83" s="190"/>
      <c r="C83" s="191"/>
      <c r="D83" s="192"/>
      <c r="E83" s="193"/>
      <c r="F83" s="194"/>
      <c r="G83" s="145"/>
      <c r="H83" s="145"/>
      <c r="I83" s="145"/>
      <c r="J83" s="145"/>
      <c r="K83" s="145"/>
    </row>
    <row r="84" spans="1:11" ht="12.75" customHeight="1">
      <c r="A84" s="153"/>
      <c r="B84" s="147"/>
      <c r="C84" s="148"/>
      <c r="D84" s="149"/>
      <c r="E84" s="150"/>
      <c r="F84" s="150"/>
      <c r="G84" s="145"/>
      <c r="H84" s="145"/>
      <c r="I84" s="145"/>
      <c r="J84" s="145"/>
      <c r="K84" s="145"/>
    </row>
    <row r="85" spans="1:11" ht="12.75" customHeight="1">
      <c r="A85" s="153"/>
      <c r="B85" s="147"/>
      <c r="C85" s="148"/>
      <c r="D85" s="149"/>
      <c r="E85" s="150"/>
      <c r="F85" s="150"/>
      <c r="G85" s="145"/>
      <c r="H85" s="145"/>
      <c r="I85" s="145"/>
      <c r="J85" s="145"/>
      <c r="K85" s="145"/>
    </row>
    <row r="86" spans="1:11" ht="12.75" customHeight="1">
      <c r="A86" s="195"/>
      <c r="B86" s="196"/>
      <c r="C86" s="148"/>
      <c r="D86" s="149"/>
      <c r="E86" s="150"/>
      <c r="F86" s="150"/>
      <c r="G86" s="145"/>
      <c r="H86" s="145"/>
      <c r="I86" s="145"/>
      <c r="J86" s="145"/>
      <c r="K86" s="145"/>
    </row>
    <row r="87" spans="1:11" ht="12.75" customHeight="1">
      <c r="A87" s="443" t="s">
        <v>127</v>
      </c>
      <c r="B87" s="430"/>
      <c r="C87" s="148"/>
      <c r="D87" s="149"/>
      <c r="E87" s="150"/>
      <c r="F87" s="150"/>
      <c r="G87" s="145"/>
      <c r="H87" s="145"/>
      <c r="I87" s="145"/>
      <c r="J87" s="145"/>
      <c r="K87" s="145"/>
    </row>
    <row r="88" spans="1:11" ht="12.75" customHeight="1">
      <c r="A88" s="440" t="s">
        <v>128</v>
      </c>
      <c r="B88" s="430"/>
      <c r="C88" s="148"/>
      <c r="D88" s="149"/>
      <c r="E88" s="150"/>
      <c r="F88" s="150"/>
      <c r="G88" s="145"/>
      <c r="H88" s="145"/>
      <c r="I88" s="145"/>
      <c r="J88" s="145"/>
      <c r="K88" s="145"/>
    </row>
    <row r="89" spans="1:11" ht="12.75" customHeight="1">
      <c r="A89" s="153"/>
      <c r="B89" s="147"/>
      <c r="C89" s="148"/>
      <c r="D89" s="149"/>
      <c r="E89" s="150"/>
      <c r="F89" s="150"/>
      <c r="G89" s="145"/>
      <c r="H89" s="145"/>
      <c r="I89" s="145"/>
      <c r="J89" s="145"/>
      <c r="K89" s="145"/>
    </row>
    <row r="90" spans="1:11" ht="12.75" customHeight="1">
      <c r="A90" s="153"/>
      <c r="B90" s="147"/>
      <c r="C90" s="148"/>
      <c r="D90" s="149"/>
      <c r="E90" s="150"/>
      <c r="F90" s="150"/>
      <c r="G90" s="145"/>
      <c r="H90" s="145"/>
      <c r="I90" s="145"/>
      <c r="J90" s="145"/>
      <c r="K90" s="145"/>
    </row>
    <row r="91" spans="1:11" ht="12.75" customHeight="1">
      <c r="A91" s="153"/>
      <c r="B91" s="147"/>
      <c r="C91" s="148"/>
      <c r="D91" s="149"/>
      <c r="E91" s="150"/>
      <c r="F91" s="150"/>
      <c r="G91" s="145"/>
      <c r="H91" s="145"/>
      <c r="I91" s="145"/>
      <c r="J91" s="145"/>
      <c r="K91" s="145"/>
    </row>
    <row r="92" spans="1:11" ht="12.75" customHeight="1">
      <c r="A92" s="153"/>
      <c r="B92" s="147"/>
      <c r="C92" s="148"/>
      <c r="D92" s="149"/>
      <c r="E92" s="150"/>
      <c r="F92" s="150"/>
      <c r="G92" s="145"/>
      <c r="H92" s="145"/>
      <c r="I92" s="145"/>
      <c r="J92" s="145"/>
      <c r="K92" s="145"/>
    </row>
    <row r="93" spans="1:11" ht="12.75" customHeight="1">
      <c r="A93" s="153"/>
      <c r="B93" s="147"/>
      <c r="C93" s="148"/>
      <c r="D93" s="149"/>
      <c r="E93" s="150"/>
      <c r="F93" s="150"/>
      <c r="G93" s="145"/>
      <c r="H93" s="145"/>
      <c r="I93" s="145"/>
      <c r="J93" s="145"/>
      <c r="K93" s="145"/>
    </row>
    <row r="94" spans="1:11" ht="12.75" customHeight="1">
      <c r="A94" s="153"/>
      <c r="B94" s="147"/>
      <c r="C94" s="148"/>
      <c r="D94" s="149"/>
      <c r="E94" s="150"/>
      <c r="F94" s="150"/>
      <c r="G94" s="145"/>
      <c r="H94" s="145"/>
      <c r="I94" s="145"/>
      <c r="J94" s="145"/>
      <c r="K94" s="145"/>
    </row>
    <row r="95" spans="1:11" ht="12.75" customHeight="1">
      <c r="A95" s="153"/>
      <c r="B95" s="147"/>
      <c r="C95" s="148"/>
      <c r="D95" s="149"/>
      <c r="E95" s="150"/>
      <c r="F95" s="150"/>
      <c r="G95" s="145"/>
      <c r="H95" s="145"/>
      <c r="I95" s="145"/>
      <c r="J95" s="145"/>
      <c r="K95" s="145"/>
    </row>
    <row r="96" spans="1:11" ht="12.75" customHeight="1">
      <c r="A96" s="153"/>
      <c r="B96" s="147"/>
      <c r="C96" s="148"/>
      <c r="D96" s="149"/>
      <c r="E96" s="150"/>
      <c r="F96" s="150"/>
      <c r="G96" s="145"/>
      <c r="H96" s="145"/>
      <c r="I96" s="145"/>
      <c r="J96" s="145"/>
      <c r="K96" s="145"/>
    </row>
    <row r="97" spans="1:11" ht="12.75" customHeight="1">
      <c r="A97" s="153"/>
      <c r="B97" s="147"/>
      <c r="C97" s="148"/>
      <c r="D97" s="149"/>
      <c r="E97" s="150"/>
      <c r="F97" s="150"/>
      <c r="G97" s="145"/>
      <c r="H97" s="145"/>
      <c r="I97" s="145"/>
      <c r="J97" s="145"/>
      <c r="K97" s="145"/>
    </row>
    <row r="98" spans="1:11" ht="12.75" customHeight="1">
      <c r="A98" s="153"/>
      <c r="B98" s="147"/>
      <c r="C98" s="148"/>
      <c r="D98" s="149"/>
      <c r="E98" s="150"/>
      <c r="F98" s="150"/>
      <c r="G98" s="145"/>
      <c r="H98" s="145"/>
      <c r="I98" s="145"/>
      <c r="J98" s="145"/>
      <c r="K98" s="145"/>
    </row>
    <row r="99" spans="1:11" ht="12.75" customHeight="1">
      <c r="A99" s="153"/>
      <c r="B99" s="147"/>
      <c r="C99" s="148"/>
      <c r="D99" s="149"/>
      <c r="E99" s="150"/>
      <c r="F99" s="150"/>
      <c r="G99" s="145"/>
      <c r="H99" s="145"/>
      <c r="I99" s="145"/>
      <c r="J99" s="145"/>
      <c r="K99" s="145"/>
    </row>
    <row r="100" spans="1:11" ht="12.75" customHeight="1">
      <c r="A100" s="153"/>
      <c r="B100" s="147"/>
      <c r="C100" s="148"/>
      <c r="D100" s="149"/>
      <c r="E100" s="150"/>
      <c r="F100" s="150"/>
      <c r="G100" s="145"/>
      <c r="H100" s="145"/>
      <c r="I100" s="145"/>
      <c r="J100" s="145"/>
      <c r="K100" s="145"/>
    </row>
  </sheetData>
  <mergeCells count="6">
    <mergeCell ref="A88:B88"/>
    <mergeCell ref="A4:F4"/>
    <mergeCell ref="A5:F5"/>
    <mergeCell ref="A6:F6"/>
    <mergeCell ref="A7:F7"/>
    <mergeCell ref="A87:B87"/>
  </mergeCells>
  <printOptions horizontalCentered="1"/>
  <pageMargins left="0.70866141732283472" right="0.70866141732283472" top="0.74803149606299213" bottom="0.94488188976377963" header="0" footer="0"/>
  <pageSetup orientation="portrait"/>
  <headerFooter>
    <oddFooter>&amp;CCarrera 50 No. 100-23 casa 6. Tel: 300-307 94 98 E-mail: jsd.4@hotmail.com  Barranquilla-Atlantico</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00"/>
  <sheetViews>
    <sheetView workbookViewId="0"/>
  </sheetViews>
  <sheetFormatPr defaultColWidth="14.44140625" defaultRowHeight="15" customHeight="1"/>
  <cols>
    <col min="1" max="1" width="6.6640625" customWidth="1"/>
    <col min="2" max="2" width="42.88671875" customWidth="1"/>
    <col min="3" max="3" width="6.33203125" customWidth="1"/>
    <col min="4" max="4" width="7.88671875" customWidth="1"/>
    <col min="5" max="6" width="12.6640625" customWidth="1"/>
    <col min="7" max="7" width="13.109375" customWidth="1"/>
    <col min="8" max="8" width="19" customWidth="1"/>
    <col min="9" max="9" width="16.44140625" customWidth="1"/>
    <col min="10" max="11" width="11.44140625" customWidth="1"/>
  </cols>
  <sheetData>
    <row r="1" spans="1:11" ht="12.75" customHeight="1">
      <c r="A1" s="139"/>
      <c r="B1" s="140"/>
      <c r="C1" s="141"/>
      <c r="D1" s="142"/>
      <c r="E1" s="143"/>
      <c r="F1" s="143"/>
      <c r="G1" s="197"/>
      <c r="H1" s="198"/>
      <c r="I1" s="199"/>
      <c r="J1" s="145"/>
      <c r="K1" s="145"/>
    </row>
    <row r="2" spans="1:11" ht="12.75" customHeight="1">
      <c r="A2" s="146"/>
      <c r="B2" s="147"/>
      <c r="C2" s="148"/>
      <c r="D2" s="149"/>
      <c r="E2" s="150"/>
      <c r="F2" s="150"/>
      <c r="G2" s="200"/>
      <c r="H2" s="198"/>
      <c r="I2" s="199"/>
      <c r="J2" s="145"/>
      <c r="K2" s="145"/>
    </row>
    <row r="3" spans="1:11" ht="12.75" customHeight="1">
      <c r="A3" s="146"/>
      <c r="B3" s="147"/>
      <c r="C3" s="148"/>
      <c r="D3" s="149"/>
      <c r="E3" s="150"/>
      <c r="F3" s="150"/>
      <c r="G3" s="200"/>
      <c r="H3" s="198"/>
      <c r="I3" s="199"/>
      <c r="J3" s="145"/>
      <c r="K3" s="145"/>
    </row>
    <row r="4" spans="1:11" ht="12.75" customHeight="1">
      <c r="A4" s="441" t="s">
        <v>129</v>
      </c>
      <c r="B4" s="430"/>
      <c r="C4" s="430"/>
      <c r="D4" s="430"/>
      <c r="E4" s="430"/>
      <c r="F4" s="430"/>
      <c r="G4" s="431"/>
      <c r="H4" s="198"/>
      <c r="I4" s="199"/>
      <c r="J4" s="145"/>
      <c r="K4" s="145"/>
    </row>
    <row r="5" spans="1:11" ht="18" customHeight="1">
      <c r="A5" s="441" t="s">
        <v>130</v>
      </c>
      <c r="B5" s="430"/>
      <c r="C5" s="430"/>
      <c r="D5" s="430"/>
      <c r="E5" s="430"/>
      <c r="F5" s="430"/>
      <c r="G5" s="431"/>
      <c r="H5" s="198"/>
      <c r="I5" s="201"/>
      <c r="J5" s="145"/>
      <c r="K5" s="145"/>
    </row>
    <row r="6" spans="1:11" ht="12.75" customHeight="1">
      <c r="A6" s="441" t="s">
        <v>131</v>
      </c>
      <c r="B6" s="430"/>
      <c r="C6" s="430"/>
      <c r="D6" s="430"/>
      <c r="E6" s="430"/>
      <c r="F6" s="430"/>
      <c r="G6" s="431"/>
      <c r="H6" s="198"/>
      <c r="I6" s="199"/>
      <c r="J6" s="145"/>
      <c r="K6" s="145"/>
    </row>
    <row r="7" spans="1:11" ht="12.75" customHeight="1">
      <c r="A7" s="146"/>
      <c r="B7" s="153"/>
      <c r="C7" s="154"/>
      <c r="D7" s="155"/>
      <c r="E7" s="156"/>
      <c r="F7" s="156"/>
      <c r="G7" s="200"/>
      <c r="H7" s="198"/>
      <c r="I7" s="199"/>
      <c r="J7" s="145"/>
      <c r="K7" s="145"/>
    </row>
    <row r="8" spans="1:11" ht="37.5" customHeight="1">
      <c r="A8" s="202" t="s">
        <v>68</v>
      </c>
      <c r="B8" s="203" t="s">
        <v>5</v>
      </c>
      <c r="C8" s="203" t="s">
        <v>6</v>
      </c>
      <c r="D8" s="204" t="s">
        <v>7</v>
      </c>
      <c r="E8" s="205" t="s">
        <v>132</v>
      </c>
      <c r="F8" s="205" t="s">
        <v>133</v>
      </c>
      <c r="G8" s="206" t="s">
        <v>134</v>
      </c>
      <c r="H8" s="207"/>
      <c r="I8" s="208"/>
      <c r="J8" s="208"/>
      <c r="K8" s="208"/>
    </row>
    <row r="9" spans="1:11" ht="12.75" customHeight="1">
      <c r="A9" s="163">
        <v>1</v>
      </c>
      <c r="B9" s="164" t="s">
        <v>69</v>
      </c>
      <c r="C9" s="165"/>
      <c r="D9" s="166"/>
      <c r="E9" s="107"/>
      <c r="F9" s="107"/>
      <c r="G9" s="167"/>
      <c r="H9" s="198"/>
      <c r="I9" s="199"/>
      <c r="J9" s="145"/>
      <c r="K9" s="145"/>
    </row>
    <row r="10" spans="1:11" ht="12.75" customHeight="1">
      <c r="A10" s="168">
        <v>1.1000000000000001</v>
      </c>
      <c r="B10" s="169" t="s">
        <v>70</v>
      </c>
      <c r="C10" s="165" t="s">
        <v>55</v>
      </c>
      <c r="D10" s="166">
        <v>65</v>
      </c>
      <c r="E10" s="107">
        <v>26780</v>
      </c>
      <c r="F10" s="107">
        <v>25300</v>
      </c>
      <c r="G10" s="209">
        <f t="shared" ref="G10:G13" si="0">AVERAGE(+F10,E10)</f>
        <v>26040</v>
      </c>
      <c r="H10" s="198">
        <v>26040</v>
      </c>
      <c r="I10" s="210">
        <f t="shared" ref="I10:I61" si="1">+H10-G10</f>
        <v>0</v>
      </c>
      <c r="J10" s="145"/>
      <c r="K10" s="145"/>
    </row>
    <row r="11" spans="1:11" ht="12.75" customHeight="1">
      <c r="A11" s="170">
        <v>1.2</v>
      </c>
      <c r="B11" s="171" t="s">
        <v>71</v>
      </c>
      <c r="C11" s="172" t="s">
        <v>49</v>
      </c>
      <c r="D11" s="173">
        <v>625</v>
      </c>
      <c r="E11" s="112">
        <v>27758</v>
      </c>
      <c r="F11" s="112">
        <v>35200</v>
      </c>
      <c r="G11" s="209">
        <f t="shared" si="0"/>
        <v>31479</v>
      </c>
      <c r="H11" s="211">
        <v>31479</v>
      </c>
      <c r="I11" s="210">
        <f t="shared" si="1"/>
        <v>0</v>
      </c>
      <c r="J11" s="175"/>
      <c r="K11" s="175"/>
    </row>
    <row r="12" spans="1:11" ht="12.75" customHeight="1">
      <c r="A12" s="168">
        <v>1.3</v>
      </c>
      <c r="B12" s="171" t="s">
        <v>72</v>
      </c>
      <c r="C12" s="172" t="s">
        <v>73</v>
      </c>
      <c r="D12" s="173">
        <v>15</v>
      </c>
      <c r="E12" s="107">
        <v>26780</v>
      </c>
      <c r="F12" s="107">
        <v>26300</v>
      </c>
      <c r="G12" s="209">
        <f t="shared" si="0"/>
        <v>26540</v>
      </c>
      <c r="H12" s="211">
        <v>26540</v>
      </c>
      <c r="I12" s="210">
        <f t="shared" si="1"/>
        <v>0</v>
      </c>
      <c r="J12" s="175"/>
      <c r="K12" s="175"/>
    </row>
    <row r="13" spans="1:11" ht="12.75" customHeight="1">
      <c r="A13" s="170">
        <v>1.4</v>
      </c>
      <c r="B13" s="171" t="s">
        <v>74</v>
      </c>
      <c r="C13" s="172" t="s">
        <v>49</v>
      </c>
      <c r="D13" s="173">
        <v>40</v>
      </c>
      <c r="E13" s="112">
        <v>35951.499999999985</v>
      </c>
      <c r="F13" s="112">
        <v>35200</v>
      </c>
      <c r="G13" s="209">
        <f t="shared" si="0"/>
        <v>35575.749999999993</v>
      </c>
      <c r="H13" s="211">
        <v>35575.75</v>
      </c>
      <c r="I13" s="210">
        <f t="shared" si="1"/>
        <v>0</v>
      </c>
      <c r="J13" s="175"/>
      <c r="K13" s="175"/>
    </row>
    <row r="14" spans="1:11" ht="12.75" customHeight="1">
      <c r="A14" s="176">
        <v>2</v>
      </c>
      <c r="B14" s="177" t="s">
        <v>76</v>
      </c>
      <c r="C14" s="172"/>
      <c r="D14" s="173"/>
      <c r="E14" s="112"/>
      <c r="F14" s="112"/>
      <c r="G14" s="174"/>
      <c r="H14" s="211"/>
      <c r="I14" s="210">
        <f t="shared" si="1"/>
        <v>0</v>
      </c>
      <c r="J14" s="175"/>
      <c r="K14" s="175"/>
    </row>
    <row r="15" spans="1:11" ht="38.25" customHeight="1">
      <c r="A15" s="170">
        <v>2.1</v>
      </c>
      <c r="B15" s="171" t="s">
        <v>77</v>
      </c>
      <c r="C15" s="172" t="s">
        <v>26</v>
      </c>
      <c r="D15" s="173">
        <v>50</v>
      </c>
      <c r="E15" s="112">
        <v>65251.3</v>
      </c>
      <c r="F15" s="112">
        <v>64500</v>
      </c>
      <c r="G15" s="209">
        <f t="shared" ref="G15:G61" si="2">AVERAGE(+F15,E15)</f>
        <v>64875.65</v>
      </c>
      <c r="H15" s="211">
        <v>64875.645000000004</v>
      </c>
      <c r="I15" s="210">
        <f t="shared" si="1"/>
        <v>-4.9999999973806553E-3</v>
      </c>
      <c r="J15" s="175"/>
      <c r="K15" s="175"/>
    </row>
    <row r="16" spans="1:11" ht="12.75" customHeight="1">
      <c r="A16" s="170">
        <v>2.2000000000000002</v>
      </c>
      <c r="B16" s="171" t="s">
        <v>78</v>
      </c>
      <c r="C16" s="172" t="s">
        <v>73</v>
      </c>
      <c r="D16" s="173">
        <v>4</v>
      </c>
      <c r="E16" s="112">
        <v>346235.5</v>
      </c>
      <c r="F16" s="112">
        <v>365200</v>
      </c>
      <c r="G16" s="209">
        <f t="shared" si="2"/>
        <v>355717.75</v>
      </c>
      <c r="H16" s="211">
        <v>355717.75</v>
      </c>
      <c r="I16" s="210">
        <f t="shared" si="1"/>
        <v>0</v>
      </c>
      <c r="J16" s="175"/>
      <c r="K16" s="175"/>
    </row>
    <row r="17" spans="1:11" ht="12.75" customHeight="1">
      <c r="A17" s="170">
        <v>2.2999999999999998</v>
      </c>
      <c r="B17" s="171" t="s">
        <v>79</v>
      </c>
      <c r="C17" s="172" t="s">
        <v>49</v>
      </c>
      <c r="D17" s="173">
        <v>90</v>
      </c>
      <c r="E17" s="112">
        <v>25304.559999999998</v>
      </c>
      <c r="F17" s="112">
        <v>22150</v>
      </c>
      <c r="G17" s="209">
        <f t="shared" si="2"/>
        <v>23727.279999999999</v>
      </c>
      <c r="H17" s="211">
        <v>23727.279000000002</v>
      </c>
      <c r="I17" s="210">
        <f t="shared" si="1"/>
        <v>-9.9999999656574801E-4</v>
      </c>
      <c r="J17" s="175"/>
      <c r="K17" s="175"/>
    </row>
    <row r="18" spans="1:11" ht="12.75" customHeight="1">
      <c r="A18" s="176">
        <v>3</v>
      </c>
      <c r="B18" s="177" t="s">
        <v>80</v>
      </c>
      <c r="C18" s="172"/>
      <c r="D18" s="173"/>
      <c r="E18" s="112"/>
      <c r="F18" s="112"/>
      <c r="G18" s="209">
        <f t="shared" si="2"/>
        <v>0</v>
      </c>
      <c r="H18" s="211"/>
      <c r="I18" s="210">
        <f t="shared" si="1"/>
        <v>0</v>
      </c>
      <c r="J18" s="175"/>
      <c r="K18" s="175"/>
    </row>
    <row r="19" spans="1:11" ht="37.5" customHeight="1">
      <c r="A19" s="170">
        <v>3.1</v>
      </c>
      <c r="B19" s="171" t="s">
        <v>77</v>
      </c>
      <c r="C19" s="172" t="s">
        <v>49</v>
      </c>
      <c r="D19" s="173">
        <v>80</v>
      </c>
      <c r="E19" s="112">
        <v>65251.3</v>
      </c>
      <c r="F19" s="112">
        <v>64500</v>
      </c>
      <c r="G19" s="209">
        <f t="shared" si="2"/>
        <v>64875.65</v>
      </c>
      <c r="H19" s="211">
        <v>64875.645000000004</v>
      </c>
      <c r="I19" s="210">
        <f t="shared" si="1"/>
        <v>-4.9999999973806553E-3</v>
      </c>
      <c r="J19" s="175"/>
      <c r="K19" s="175"/>
    </row>
    <row r="20" spans="1:11" ht="12.75" customHeight="1">
      <c r="A20" s="170">
        <v>3.2</v>
      </c>
      <c r="B20" s="171" t="s">
        <v>81</v>
      </c>
      <c r="C20" s="172" t="s">
        <v>73</v>
      </c>
      <c r="D20" s="179">
        <v>5</v>
      </c>
      <c r="E20" s="112">
        <v>346235.5</v>
      </c>
      <c r="F20" s="112">
        <v>365200</v>
      </c>
      <c r="G20" s="209">
        <f t="shared" si="2"/>
        <v>355717.75</v>
      </c>
      <c r="H20" s="211">
        <v>355717.75</v>
      </c>
      <c r="I20" s="210">
        <f t="shared" si="1"/>
        <v>0</v>
      </c>
      <c r="J20" s="175"/>
      <c r="K20" s="175"/>
    </row>
    <row r="21" spans="1:11" ht="12.75" customHeight="1">
      <c r="A21" s="170">
        <v>3.3</v>
      </c>
      <c r="B21" s="171" t="s">
        <v>79</v>
      </c>
      <c r="C21" s="172" t="s">
        <v>49</v>
      </c>
      <c r="D21" s="173">
        <v>106</v>
      </c>
      <c r="E21" s="112">
        <v>25304.559999999998</v>
      </c>
      <c r="F21" s="112">
        <v>22150</v>
      </c>
      <c r="G21" s="209">
        <f t="shared" si="2"/>
        <v>23727.279999999999</v>
      </c>
      <c r="H21" s="211">
        <v>23727.279000000002</v>
      </c>
      <c r="I21" s="210">
        <f t="shared" si="1"/>
        <v>-9.9999999656574801E-4</v>
      </c>
      <c r="J21" s="175"/>
      <c r="K21" s="175"/>
    </row>
    <row r="22" spans="1:11" ht="12.75" customHeight="1">
      <c r="A22" s="170">
        <v>3.4</v>
      </c>
      <c r="B22" s="171" t="s">
        <v>82</v>
      </c>
      <c r="C22" s="172" t="s">
        <v>49</v>
      </c>
      <c r="D22" s="173">
        <v>40</v>
      </c>
      <c r="E22" s="112">
        <v>122200</v>
      </c>
      <c r="F22" s="112">
        <v>114700.15</v>
      </c>
      <c r="G22" s="209">
        <f t="shared" si="2"/>
        <v>118450.075</v>
      </c>
      <c r="H22" s="211">
        <v>118450.075</v>
      </c>
      <c r="I22" s="210">
        <f t="shared" si="1"/>
        <v>0</v>
      </c>
      <c r="J22" s="175"/>
      <c r="K22" s="175"/>
    </row>
    <row r="23" spans="1:11" ht="12.75" customHeight="1">
      <c r="A23" s="170">
        <v>3.5</v>
      </c>
      <c r="B23" s="171" t="s">
        <v>83</v>
      </c>
      <c r="C23" s="172" t="s">
        <v>49</v>
      </c>
      <c r="D23" s="173">
        <v>35</v>
      </c>
      <c r="E23" s="112">
        <v>65251.3</v>
      </c>
      <c r="F23" s="112">
        <v>64500</v>
      </c>
      <c r="G23" s="209">
        <f t="shared" si="2"/>
        <v>64875.65</v>
      </c>
      <c r="H23" s="211">
        <v>64875.645000000004</v>
      </c>
      <c r="I23" s="210">
        <f t="shared" si="1"/>
        <v>-4.9999999973806553E-3</v>
      </c>
      <c r="J23" s="175"/>
      <c r="K23" s="175"/>
    </row>
    <row r="24" spans="1:11" ht="12.75" customHeight="1">
      <c r="A24" s="170">
        <v>3.6</v>
      </c>
      <c r="B24" s="171" t="s">
        <v>84</v>
      </c>
      <c r="C24" s="172" t="s">
        <v>73</v>
      </c>
      <c r="D24" s="173">
        <v>3</v>
      </c>
      <c r="E24" s="112">
        <v>491700</v>
      </c>
      <c r="F24" s="112">
        <v>525300</v>
      </c>
      <c r="G24" s="209">
        <f t="shared" si="2"/>
        <v>508500</v>
      </c>
      <c r="H24" s="211">
        <v>508500</v>
      </c>
      <c r="I24" s="210">
        <f t="shared" si="1"/>
        <v>0</v>
      </c>
      <c r="J24" s="175"/>
      <c r="K24" s="175"/>
    </row>
    <row r="25" spans="1:11" ht="12.75" customHeight="1">
      <c r="A25" s="170">
        <v>3.7</v>
      </c>
      <c r="B25" s="171" t="s">
        <v>85</v>
      </c>
      <c r="C25" s="172" t="s">
        <v>73</v>
      </c>
      <c r="D25" s="173">
        <v>4</v>
      </c>
      <c r="E25" s="112">
        <v>863000</v>
      </c>
      <c r="F25" s="112">
        <v>950000</v>
      </c>
      <c r="G25" s="209">
        <f t="shared" si="2"/>
        <v>906500</v>
      </c>
      <c r="H25" s="211">
        <v>906500</v>
      </c>
      <c r="I25" s="210">
        <f t="shared" si="1"/>
        <v>0</v>
      </c>
      <c r="J25" s="175"/>
      <c r="K25" s="175"/>
    </row>
    <row r="26" spans="1:11" ht="12.75" customHeight="1">
      <c r="A26" s="170">
        <v>3.8</v>
      </c>
      <c r="B26" s="171" t="s">
        <v>86</v>
      </c>
      <c r="C26" s="172" t="s">
        <v>87</v>
      </c>
      <c r="D26" s="173">
        <v>2</v>
      </c>
      <c r="E26" s="112">
        <v>1608900</v>
      </c>
      <c r="F26" s="112">
        <v>1658000</v>
      </c>
      <c r="G26" s="209">
        <f t="shared" si="2"/>
        <v>1633450</v>
      </c>
      <c r="H26" s="211">
        <v>1633450</v>
      </c>
      <c r="I26" s="210">
        <f t="shared" si="1"/>
        <v>0</v>
      </c>
      <c r="J26" s="175"/>
      <c r="K26" s="175"/>
    </row>
    <row r="27" spans="1:11" ht="12.75" customHeight="1">
      <c r="A27" s="176">
        <v>4</v>
      </c>
      <c r="B27" s="177" t="s">
        <v>88</v>
      </c>
      <c r="C27" s="172"/>
      <c r="D27" s="173"/>
      <c r="E27" s="112"/>
      <c r="F27" s="112"/>
      <c r="G27" s="209">
        <f t="shared" si="2"/>
        <v>0</v>
      </c>
      <c r="H27" s="211"/>
      <c r="I27" s="210">
        <f t="shared" si="1"/>
        <v>0</v>
      </c>
      <c r="J27" s="175"/>
      <c r="K27" s="175"/>
    </row>
    <row r="28" spans="1:11" ht="51" customHeight="1">
      <c r="A28" s="170">
        <v>4.0999999999999996</v>
      </c>
      <c r="B28" s="171" t="s">
        <v>77</v>
      </c>
      <c r="C28" s="172" t="s">
        <v>49</v>
      </c>
      <c r="D28" s="173">
        <v>100</v>
      </c>
      <c r="E28" s="112">
        <v>65251.3</v>
      </c>
      <c r="F28" s="112">
        <v>64500</v>
      </c>
      <c r="G28" s="209">
        <f t="shared" si="2"/>
        <v>64875.65</v>
      </c>
      <c r="H28" s="211">
        <v>64875.645000000004</v>
      </c>
      <c r="I28" s="210">
        <f t="shared" si="1"/>
        <v>-4.9999999973806553E-3</v>
      </c>
      <c r="J28" s="175"/>
      <c r="K28" s="175"/>
    </row>
    <row r="29" spans="1:11" ht="12.75" customHeight="1">
      <c r="A29" s="170">
        <v>4.2</v>
      </c>
      <c r="B29" s="171" t="s">
        <v>89</v>
      </c>
      <c r="C29" s="172" t="s">
        <v>73</v>
      </c>
      <c r="D29" s="173">
        <v>1</v>
      </c>
      <c r="E29" s="112">
        <v>346235.5</v>
      </c>
      <c r="F29" s="112">
        <v>365200</v>
      </c>
      <c r="G29" s="209">
        <f t="shared" si="2"/>
        <v>355717.75</v>
      </c>
      <c r="H29" s="211">
        <v>355717.75</v>
      </c>
      <c r="I29" s="210">
        <f t="shared" si="1"/>
        <v>0</v>
      </c>
      <c r="J29" s="175"/>
      <c r="K29" s="175"/>
    </row>
    <row r="30" spans="1:11" ht="12.75" customHeight="1">
      <c r="A30" s="170">
        <v>4.3</v>
      </c>
      <c r="B30" s="171" t="s">
        <v>79</v>
      </c>
      <c r="C30" s="172" t="s">
        <v>49</v>
      </c>
      <c r="D30" s="173">
        <v>118</v>
      </c>
      <c r="E30" s="112">
        <v>25304.559999999998</v>
      </c>
      <c r="F30" s="112">
        <v>22150</v>
      </c>
      <c r="G30" s="209">
        <f t="shared" si="2"/>
        <v>23727.279999999999</v>
      </c>
      <c r="H30" s="211">
        <v>23727.279000000002</v>
      </c>
      <c r="I30" s="210">
        <f t="shared" si="1"/>
        <v>-9.9999999656574801E-4</v>
      </c>
      <c r="J30" s="175"/>
      <c r="K30" s="175"/>
    </row>
    <row r="31" spans="1:11" ht="12.75" customHeight="1">
      <c r="A31" s="176">
        <v>5</v>
      </c>
      <c r="B31" s="177" t="s">
        <v>90</v>
      </c>
      <c r="C31" s="172"/>
      <c r="D31" s="173"/>
      <c r="E31" s="112"/>
      <c r="F31" s="112"/>
      <c r="G31" s="209">
        <f t="shared" si="2"/>
        <v>0</v>
      </c>
      <c r="H31" s="211"/>
      <c r="I31" s="210">
        <f t="shared" si="1"/>
        <v>0</v>
      </c>
      <c r="J31" s="175"/>
      <c r="K31" s="175"/>
    </row>
    <row r="32" spans="1:11" ht="12.75" customHeight="1">
      <c r="A32" s="170">
        <v>5.0999999999999996</v>
      </c>
      <c r="B32" s="171" t="s">
        <v>77</v>
      </c>
      <c r="C32" s="172" t="s">
        <v>49</v>
      </c>
      <c r="D32" s="173">
        <v>30</v>
      </c>
      <c r="E32" s="112">
        <v>65251.3</v>
      </c>
      <c r="F32" s="112">
        <v>64500</v>
      </c>
      <c r="G32" s="209">
        <f t="shared" si="2"/>
        <v>64875.65</v>
      </c>
      <c r="H32" s="211">
        <v>64875.645000000004</v>
      </c>
      <c r="I32" s="210">
        <f t="shared" si="1"/>
        <v>-4.9999999973806553E-3</v>
      </c>
      <c r="J32" s="175"/>
      <c r="K32" s="175"/>
    </row>
    <row r="33" spans="1:11" ht="12.75" customHeight="1">
      <c r="A33" s="170">
        <v>5.2</v>
      </c>
      <c r="B33" s="171" t="s">
        <v>91</v>
      </c>
      <c r="C33" s="172" t="s">
        <v>73</v>
      </c>
      <c r="D33" s="173">
        <v>2</v>
      </c>
      <c r="E33" s="120">
        <v>235200</v>
      </c>
      <c r="F33" s="120">
        <v>214146.5</v>
      </c>
      <c r="G33" s="209">
        <f t="shared" si="2"/>
        <v>224673.25</v>
      </c>
      <c r="H33" s="211">
        <v>224673.25</v>
      </c>
      <c r="I33" s="210">
        <f t="shared" si="1"/>
        <v>0</v>
      </c>
      <c r="J33" s="175"/>
      <c r="K33" s="175"/>
    </row>
    <row r="34" spans="1:11" ht="12.75" customHeight="1">
      <c r="A34" s="170">
        <v>5.3</v>
      </c>
      <c r="B34" s="171" t="s">
        <v>92</v>
      </c>
      <c r="C34" s="172" t="s">
        <v>49</v>
      </c>
      <c r="D34" s="173">
        <v>22</v>
      </c>
      <c r="E34" s="120">
        <v>785000</v>
      </c>
      <c r="F34" s="120">
        <v>811440</v>
      </c>
      <c r="G34" s="209">
        <f t="shared" si="2"/>
        <v>798220</v>
      </c>
      <c r="H34" s="211">
        <v>798220</v>
      </c>
      <c r="I34" s="210">
        <f t="shared" si="1"/>
        <v>0</v>
      </c>
      <c r="J34" s="175"/>
      <c r="K34" s="175"/>
    </row>
    <row r="35" spans="1:11" ht="12.75" customHeight="1">
      <c r="A35" s="170">
        <v>5.4</v>
      </c>
      <c r="B35" s="171" t="s">
        <v>93</v>
      </c>
      <c r="C35" s="172" t="s">
        <v>73</v>
      </c>
      <c r="D35" s="173">
        <v>2</v>
      </c>
      <c r="E35" s="112">
        <v>995012</v>
      </c>
      <c r="F35" s="112">
        <v>1425000</v>
      </c>
      <c r="G35" s="209">
        <f t="shared" si="2"/>
        <v>1210006</v>
      </c>
      <c r="H35" s="211">
        <v>1210006</v>
      </c>
      <c r="I35" s="210">
        <f t="shared" si="1"/>
        <v>0</v>
      </c>
      <c r="J35" s="175"/>
      <c r="K35" s="175"/>
    </row>
    <row r="36" spans="1:11" ht="12.75" customHeight="1">
      <c r="A36" s="170">
        <v>5.5</v>
      </c>
      <c r="B36" s="171" t="s">
        <v>78</v>
      </c>
      <c r="C36" s="172" t="s">
        <v>73</v>
      </c>
      <c r="D36" s="173">
        <v>2</v>
      </c>
      <c r="E36" s="112">
        <v>346235.5</v>
      </c>
      <c r="F36" s="112">
        <v>365200</v>
      </c>
      <c r="G36" s="209">
        <f t="shared" si="2"/>
        <v>355717.75</v>
      </c>
      <c r="H36" s="211">
        <v>355717.75</v>
      </c>
      <c r="I36" s="210">
        <f t="shared" si="1"/>
        <v>0</v>
      </c>
      <c r="J36" s="175"/>
      <c r="K36" s="175"/>
    </row>
    <row r="37" spans="1:11" ht="12.75" customHeight="1">
      <c r="A37" s="176">
        <v>6</v>
      </c>
      <c r="B37" s="177" t="s">
        <v>94</v>
      </c>
      <c r="C37" s="172"/>
      <c r="D37" s="173"/>
      <c r="E37" s="112"/>
      <c r="F37" s="112"/>
      <c r="G37" s="209">
        <f t="shared" si="2"/>
        <v>0</v>
      </c>
      <c r="H37" s="211"/>
      <c r="I37" s="210">
        <f t="shared" si="1"/>
        <v>0</v>
      </c>
      <c r="J37" s="175"/>
      <c r="K37" s="175"/>
    </row>
    <row r="38" spans="1:11" ht="12.75" customHeight="1">
      <c r="A38" s="170">
        <v>6.1</v>
      </c>
      <c r="B38" s="171" t="s">
        <v>95</v>
      </c>
      <c r="C38" s="172" t="s">
        <v>26</v>
      </c>
      <c r="D38" s="173">
        <v>130</v>
      </c>
      <c r="E38" s="112">
        <v>148500</v>
      </c>
      <c r="F38" s="112">
        <v>143080</v>
      </c>
      <c r="G38" s="209">
        <f t="shared" si="2"/>
        <v>145790</v>
      </c>
      <c r="H38" s="211">
        <v>145790</v>
      </c>
      <c r="I38" s="210">
        <f t="shared" si="1"/>
        <v>0</v>
      </c>
      <c r="J38" s="175"/>
      <c r="K38" s="175"/>
    </row>
    <row r="39" spans="1:11" ht="12.75" customHeight="1">
      <c r="A39" s="170">
        <v>6.2</v>
      </c>
      <c r="B39" s="171" t="s">
        <v>96</v>
      </c>
      <c r="C39" s="172" t="s">
        <v>6</v>
      </c>
      <c r="D39" s="173">
        <v>39</v>
      </c>
      <c r="E39" s="112">
        <v>132500</v>
      </c>
      <c r="F39" s="112">
        <v>122802.25999999986</v>
      </c>
      <c r="G39" s="209">
        <f t="shared" si="2"/>
        <v>127651.12999999993</v>
      </c>
      <c r="H39" s="211">
        <v>127651.13425</v>
      </c>
      <c r="I39" s="210">
        <f t="shared" si="1"/>
        <v>4.250000070896931E-3</v>
      </c>
      <c r="J39" s="175"/>
      <c r="K39" s="175"/>
    </row>
    <row r="40" spans="1:11" ht="12.75" customHeight="1">
      <c r="A40" s="170">
        <v>6.3</v>
      </c>
      <c r="B40" s="171" t="s">
        <v>97</v>
      </c>
      <c r="C40" s="172" t="s">
        <v>55</v>
      </c>
      <c r="D40" s="173">
        <v>60</v>
      </c>
      <c r="E40" s="112">
        <v>25304.559999999998</v>
      </c>
      <c r="F40" s="112">
        <v>22150</v>
      </c>
      <c r="G40" s="209">
        <f t="shared" si="2"/>
        <v>23727.279999999999</v>
      </c>
      <c r="H40" s="211">
        <v>23727.279000000002</v>
      </c>
      <c r="I40" s="210">
        <f t="shared" si="1"/>
        <v>-9.9999999656574801E-4</v>
      </c>
      <c r="J40" s="175"/>
      <c r="K40" s="175"/>
    </row>
    <row r="41" spans="1:11" ht="13.5" customHeight="1">
      <c r="A41" s="170">
        <v>6.4</v>
      </c>
      <c r="B41" s="171" t="s">
        <v>98</v>
      </c>
      <c r="C41" s="172" t="s">
        <v>55</v>
      </c>
      <c r="D41" s="173">
        <v>60</v>
      </c>
      <c r="E41" s="112">
        <v>16800</v>
      </c>
      <c r="F41" s="112">
        <v>14940</v>
      </c>
      <c r="G41" s="209">
        <f t="shared" si="2"/>
        <v>15870</v>
      </c>
      <c r="H41" s="211">
        <v>15870</v>
      </c>
      <c r="I41" s="210">
        <f t="shared" si="1"/>
        <v>0</v>
      </c>
      <c r="J41" s="175"/>
      <c r="K41" s="175"/>
    </row>
    <row r="42" spans="1:11" ht="12.75" customHeight="1">
      <c r="A42" s="170">
        <v>6.5</v>
      </c>
      <c r="B42" s="171" t="s">
        <v>99</v>
      </c>
      <c r="C42" s="172" t="s">
        <v>6</v>
      </c>
      <c r="D42" s="173">
        <v>40</v>
      </c>
      <c r="E42" s="112">
        <v>79241.040000000008</v>
      </c>
      <c r="F42" s="112">
        <v>82300</v>
      </c>
      <c r="G42" s="209">
        <f t="shared" si="2"/>
        <v>80770.52</v>
      </c>
      <c r="H42" s="211">
        <v>80770.52</v>
      </c>
      <c r="I42" s="210">
        <f t="shared" si="1"/>
        <v>0</v>
      </c>
      <c r="J42" s="175"/>
      <c r="K42" s="175"/>
    </row>
    <row r="43" spans="1:11" ht="12.75" customHeight="1">
      <c r="A43" s="170">
        <v>6.6</v>
      </c>
      <c r="B43" s="171" t="s">
        <v>100</v>
      </c>
      <c r="C43" s="172" t="s">
        <v>55</v>
      </c>
      <c r="D43" s="173">
        <v>30</v>
      </c>
      <c r="E43" s="112">
        <v>297194.16000000003</v>
      </c>
      <c r="F43" s="112">
        <v>275300</v>
      </c>
      <c r="G43" s="209">
        <f t="shared" si="2"/>
        <v>286247.08</v>
      </c>
      <c r="H43" s="211">
        <v>286247.08350000001</v>
      </c>
      <c r="I43" s="210">
        <f t="shared" si="1"/>
        <v>3.4999999916180968E-3</v>
      </c>
      <c r="J43" s="175"/>
      <c r="K43" s="175"/>
    </row>
    <row r="44" spans="1:11" ht="12.75" customHeight="1">
      <c r="A44" s="170">
        <v>6.7</v>
      </c>
      <c r="B44" s="171" t="s">
        <v>101</v>
      </c>
      <c r="C44" s="172" t="s">
        <v>102</v>
      </c>
      <c r="D44" s="173">
        <v>37</v>
      </c>
      <c r="E44" s="112">
        <v>79800</v>
      </c>
      <c r="F44" s="112">
        <v>71200</v>
      </c>
      <c r="G44" s="209">
        <f t="shared" si="2"/>
        <v>75500</v>
      </c>
      <c r="H44" s="211">
        <v>75500</v>
      </c>
      <c r="I44" s="210">
        <f t="shared" si="1"/>
        <v>0</v>
      </c>
      <c r="J44" s="175"/>
      <c r="K44" s="175"/>
    </row>
    <row r="45" spans="1:11" ht="12.75" customHeight="1">
      <c r="A45" s="176">
        <v>7</v>
      </c>
      <c r="B45" s="177" t="s">
        <v>103</v>
      </c>
      <c r="C45" s="172"/>
      <c r="D45" s="173"/>
      <c r="E45" s="112"/>
      <c r="F45" s="112"/>
      <c r="G45" s="209">
        <f t="shared" si="2"/>
        <v>0</v>
      </c>
      <c r="H45" s="211"/>
      <c r="I45" s="210">
        <f t="shared" si="1"/>
        <v>0</v>
      </c>
      <c r="J45" s="175"/>
      <c r="K45" s="175"/>
    </row>
    <row r="46" spans="1:11" ht="12.75" customHeight="1">
      <c r="A46" s="170">
        <v>7.1</v>
      </c>
      <c r="B46" s="171" t="s">
        <v>104</v>
      </c>
      <c r="C46" s="172" t="s">
        <v>6</v>
      </c>
      <c r="D46" s="173">
        <v>1</v>
      </c>
      <c r="E46" s="112">
        <v>160413.5</v>
      </c>
      <c r="F46" s="112">
        <v>165300</v>
      </c>
      <c r="G46" s="209">
        <f t="shared" si="2"/>
        <v>162856.75</v>
      </c>
      <c r="H46" s="211">
        <v>162856.75</v>
      </c>
      <c r="I46" s="210">
        <f t="shared" si="1"/>
        <v>0</v>
      </c>
      <c r="J46" s="175"/>
      <c r="K46" s="175"/>
    </row>
    <row r="47" spans="1:11" ht="12.75" customHeight="1">
      <c r="A47" s="170">
        <v>7.2</v>
      </c>
      <c r="B47" s="171" t="s">
        <v>105</v>
      </c>
      <c r="C47" s="172" t="s">
        <v>6</v>
      </c>
      <c r="D47" s="173">
        <v>1</v>
      </c>
      <c r="E47" s="112">
        <v>479613.5</v>
      </c>
      <c r="F47" s="112">
        <v>525300</v>
      </c>
      <c r="G47" s="209">
        <f t="shared" si="2"/>
        <v>502456.75</v>
      </c>
      <c r="H47" s="211">
        <v>502456.75</v>
      </c>
      <c r="I47" s="210">
        <f t="shared" si="1"/>
        <v>0</v>
      </c>
      <c r="J47" s="175"/>
      <c r="K47" s="175"/>
    </row>
    <row r="48" spans="1:11" ht="12.75" customHeight="1">
      <c r="A48" s="170">
        <v>7.3</v>
      </c>
      <c r="B48" s="171" t="s">
        <v>106</v>
      </c>
      <c r="C48" s="172" t="s">
        <v>55</v>
      </c>
      <c r="D48" s="173">
        <v>37</v>
      </c>
      <c r="E48" s="112">
        <v>92500</v>
      </c>
      <c r="F48" s="112">
        <v>99319.739999999991</v>
      </c>
      <c r="G48" s="209">
        <f t="shared" si="2"/>
        <v>95909.87</v>
      </c>
      <c r="H48" s="211">
        <v>95909.866666666669</v>
      </c>
      <c r="I48" s="210">
        <f t="shared" si="1"/>
        <v>-3.3333333267364651E-3</v>
      </c>
      <c r="J48" s="175"/>
      <c r="K48" s="175"/>
    </row>
    <row r="49" spans="1:11" ht="12.75" customHeight="1">
      <c r="A49" s="170">
        <v>7.4</v>
      </c>
      <c r="B49" s="171" t="s">
        <v>107</v>
      </c>
      <c r="C49" s="172" t="s">
        <v>87</v>
      </c>
      <c r="D49" s="173">
        <v>42</v>
      </c>
      <c r="E49" s="112">
        <v>78984</v>
      </c>
      <c r="F49" s="112">
        <v>82300</v>
      </c>
      <c r="G49" s="209">
        <f t="shared" si="2"/>
        <v>80642</v>
      </c>
      <c r="H49" s="211">
        <v>80642</v>
      </c>
      <c r="I49" s="210">
        <f t="shared" si="1"/>
        <v>0</v>
      </c>
      <c r="J49" s="175"/>
      <c r="K49" s="175"/>
    </row>
    <row r="50" spans="1:11" ht="12.75" customHeight="1">
      <c r="A50" s="170">
        <v>7.5</v>
      </c>
      <c r="B50" s="171" t="s">
        <v>108</v>
      </c>
      <c r="C50" s="172" t="s">
        <v>73</v>
      </c>
      <c r="D50" s="173">
        <v>36</v>
      </c>
      <c r="E50" s="112">
        <v>45200</v>
      </c>
      <c r="F50" s="112">
        <v>42810</v>
      </c>
      <c r="G50" s="209">
        <f t="shared" si="2"/>
        <v>44005</v>
      </c>
      <c r="H50" s="211">
        <v>44005</v>
      </c>
      <c r="I50" s="210">
        <f t="shared" si="1"/>
        <v>0</v>
      </c>
      <c r="J50" s="175"/>
      <c r="K50" s="175"/>
    </row>
    <row r="51" spans="1:11" ht="12.75" customHeight="1">
      <c r="A51" s="170">
        <v>7.6</v>
      </c>
      <c r="B51" s="171" t="s">
        <v>109</v>
      </c>
      <c r="C51" s="172" t="s">
        <v>73</v>
      </c>
      <c r="D51" s="173">
        <v>36</v>
      </c>
      <c r="E51" s="112">
        <v>245300</v>
      </c>
      <c r="F51" s="112">
        <v>214913.5</v>
      </c>
      <c r="G51" s="209">
        <f t="shared" si="2"/>
        <v>230106.75</v>
      </c>
      <c r="H51" s="211">
        <v>230106.75</v>
      </c>
      <c r="I51" s="210">
        <f t="shared" si="1"/>
        <v>0</v>
      </c>
      <c r="J51" s="175"/>
      <c r="K51" s="175"/>
    </row>
    <row r="52" spans="1:11" ht="12.75" customHeight="1">
      <c r="A52" s="176">
        <v>8</v>
      </c>
      <c r="B52" s="177" t="s">
        <v>110</v>
      </c>
      <c r="C52" s="172"/>
      <c r="D52" s="173"/>
      <c r="E52" s="112"/>
      <c r="F52" s="112"/>
      <c r="G52" s="209">
        <f t="shared" si="2"/>
        <v>0</v>
      </c>
      <c r="H52" s="211"/>
      <c r="I52" s="210">
        <f t="shared" si="1"/>
        <v>0</v>
      </c>
      <c r="J52" s="175"/>
      <c r="K52" s="175"/>
    </row>
    <row r="53" spans="1:11" ht="12.75" customHeight="1">
      <c r="A53" s="170">
        <v>8.1</v>
      </c>
      <c r="B53" s="171" t="s">
        <v>111</v>
      </c>
      <c r="C53" s="172" t="s">
        <v>49</v>
      </c>
      <c r="D53" s="173">
        <v>300</v>
      </c>
      <c r="E53" s="112">
        <v>154800</v>
      </c>
      <c r="F53" s="112">
        <v>146604.5</v>
      </c>
      <c r="G53" s="209">
        <f t="shared" si="2"/>
        <v>150702.25</v>
      </c>
      <c r="H53" s="211">
        <v>150702.25</v>
      </c>
      <c r="I53" s="210">
        <f t="shared" si="1"/>
        <v>0</v>
      </c>
      <c r="J53" s="175"/>
      <c r="K53" s="175"/>
    </row>
    <row r="54" spans="1:11" ht="12.75" customHeight="1">
      <c r="A54" s="170">
        <v>8.1999999999999993</v>
      </c>
      <c r="B54" s="171" t="s">
        <v>112</v>
      </c>
      <c r="C54" s="172" t="s">
        <v>49</v>
      </c>
      <c r="D54" s="173">
        <v>365</v>
      </c>
      <c r="E54" s="112">
        <v>65251.3</v>
      </c>
      <c r="F54" s="112">
        <v>64500</v>
      </c>
      <c r="G54" s="209">
        <f t="shared" si="2"/>
        <v>64875.65</v>
      </c>
      <c r="H54" s="211">
        <v>64875.645000000004</v>
      </c>
      <c r="I54" s="210">
        <f t="shared" si="1"/>
        <v>-4.9999999973806553E-3</v>
      </c>
      <c r="J54" s="175"/>
      <c r="K54" s="175"/>
    </row>
    <row r="55" spans="1:11" ht="12.75" customHeight="1">
      <c r="A55" s="176">
        <v>9</v>
      </c>
      <c r="B55" s="177" t="s">
        <v>113</v>
      </c>
      <c r="C55" s="172"/>
      <c r="D55" s="173"/>
      <c r="E55" s="112"/>
      <c r="F55" s="112"/>
      <c r="G55" s="209">
        <f t="shared" si="2"/>
        <v>0</v>
      </c>
      <c r="H55" s="211"/>
      <c r="I55" s="210">
        <f t="shared" si="1"/>
        <v>0</v>
      </c>
      <c r="J55" s="175"/>
      <c r="K55" s="175"/>
    </row>
    <row r="56" spans="1:11" ht="12.75" customHeight="1">
      <c r="A56" s="170">
        <v>9.1</v>
      </c>
      <c r="B56" s="171" t="s">
        <v>79</v>
      </c>
      <c r="C56" s="172" t="s">
        <v>49</v>
      </c>
      <c r="D56" s="173">
        <v>612</v>
      </c>
      <c r="E56" s="112">
        <v>25304.559999999998</v>
      </c>
      <c r="F56" s="112">
        <v>22150</v>
      </c>
      <c r="G56" s="209">
        <f t="shared" si="2"/>
        <v>23727.279999999999</v>
      </c>
      <c r="H56" s="211">
        <v>23727.279000000002</v>
      </c>
      <c r="I56" s="210">
        <f t="shared" si="1"/>
        <v>-9.9999999656574801E-4</v>
      </c>
      <c r="J56" s="175"/>
      <c r="K56" s="175"/>
    </row>
    <row r="57" spans="1:11" ht="12.75" customHeight="1">
      <c r="A57" s="170">
        <v>9.1999999999999993</v>
      </c>
      <c r="B57" s="171" t="s">
        <v>114</v>
      </c>
      <c r="C57" s="172" t="s">
        <v>6</v>
      </c>
      <c r="D57" s="173">
        <v>1</v>
      </c>
      <c r="E57" s="112">
        <v>882306</v>
      </c>
      <c r="F57" s="112">
        <v>1352000</v>
      </c>
      <c r="G57" s="209">
        <f t="shared" si="2"/>
        <v>1117153</v>
      </c>
      <c r="H57" s="211">
        <v>1117153</v>
      </c>
      <c r="I57" s="210">
        <f t="shared" si="1"/>
        <v>0</v>
      </c>
      <c r="J57" s="175"/>
      <c r="K57" s="175"/>
    </row>
    <row r="58" spans="1:11" ht="12.75" customHeight="1">
      <c r="A58" s="170">
        <v>9.3000000000000007</v>
      </c>
      <c r="B58" s="171" t="s">
        <v>115</v>
      </c>
      <c r="C58" s="172" t="s">
        <v>6</v>
      </c>
      <c r="D58" s="180">
        <f>35</f>
        <v>35</v>
      </c>
      <c r="E58" s="112">
        <v>102790</v>
      </c>
      <c r="F58" s="112">
        <v>95200</v>
      </c>
      <c r="G58" s="209">
        <f t="shared" si="2"/>
        <v>98995</v>
      </c>
      <c r="H58" s="211">
        <v>98995</v>
      </c>
      <c r="I58" s="210">
        <f t="shared" si="1"/>
        <v>0</v>
      </c>
      <c r="J58" s="175"/>
      <c r="K58" s="175"/>
    </row>
    <row r="59" spans="1:11" ht="12.75" customHeight="1">
      <c r="A59" s="170">
        <v>9.4</v>
      </c>
      <c r="B59" s="171" t="s">
        <v>116</v>
      </c>
      <c r="C59" s="172" t="s">
        <v>24</v>
      </c>
      <c r="D59" s="180">
        <f>12</f>
        <v>12</v>
      </c>
      <c r="E59" s="112">
        <v>620450</v>
      </c>
      <c r="F59" s="112">
        <v>541987.12000000011</v>
      </c>
      <c r="G59" s="209">
        <f t="shared" si="2"/>
        <v>581218.56000000006</v>
      </c>
      <c r="H59" s="211">
        <v>581218.55799999996</v>
      </c>
      <c r="I59" s="210">
        <f t="shared" si="1"/>
        <v>-2.0000000949949026E-3</v>
      </c>
      <c r="J59" s="175"/>
      <c r="K59" s="175"/>
    </row>
    <row r="60" spans="1:11" ht="12.75" customHeight="1">
      <c r="A60" s="176">
        <v>10</v>
      </c>
      <c r="B60" s="177" t="s">
        <v>117</v>
      </c>
      <c r="C60" s="172"/>
      <c r="D60" s="173"/>
      <c r="E60" s="112"/>
      <c r="F60" s="112"/>
      <c r="G60" s="209">
        <f t="shared" si="2"/>
        <v>0</v>
      </c>
      <c r="H60" s="211"/>
      <c r="I60" s="210">
        <f t="shared" si="1"/>
        <v>0</v>
      </c>
      <c r="J60" s="175"/>
      <c r="K60" s="175"/>
    </row>
    <row r="61" spans="1:11" ht="12.75" customHeight="1">
      <c r="A61" s="170">
        <v>10.1</v>
      </c>
      <c r="B61" s="169" t="s">
        <v>118</v>
      </c>
      <c r="C61" s="165" t="s">
        <v>119</v>
      </c>
      <c r="D61" s="166">
        <f>1</f>
        <v>1</v>
      </c>
      <c r="E61" s="112">
        <v>346235.5</v>
      </c>
      <c r="F61" s="112">
        <v>310699.57999999996</v>
      </c>
      <c r="G61" s="209">
        <f t="shared" si="2"/>
        <v>328467.53999999998</v>
      </c>
      <c r="H61" s="198">
        <v>328467.54399999999</v>
      </c>
      <c r="I61" s="210">
        <f t="shared" si="1"/>
        <v>4.0000000153668225E-3</v>
      </c>
      <c r="J61" s="145"/>
      <c r="K61" s="145"/>
    </row>
    <row r="62" spans="1:11" ht="12.75" customHeight="1">
      <c r="A62" s="189"/>
      <c r="B62" s="190"/>
      <c r="C62" s="191"/>
      <c r="D62" s="192"/>
      <c r="E62" s="193"/>
      <c r="F62" s="193"/>
      <c r="G62" s="194"/>
      <c r="H62" s="198"/>
      <c r="I62" s="199"/>
      <c r="J62" s="145"/>
      <c r="K62" s="145"/>
    </row>
    <row r="63" spans="1:11" ht="12.75" customHeight="1">
      <c r="A63" s="153"/>
      <c r="B63" s="147"/>
      <c r="C63" s="148"/>
      <c r="D63" s="149"/>
      <c r="E63" s="150"/>
      <c r="F63" s="150"/>
      <c r="G63" s="212"/>
      <c r="H63" s="198"/>
      <c r="I63" s="199"/>
      <c r="J63" s="145"/>
      <c r="K63" s="145"/>
    </row>
    <row r="64" spans="1:11" ht="12.75" customHeight="1">
      <c r="A64" s="153"/>
      <c r="B64" s="147"/>
      <c r="C64" s="148"/>
      <c r="D64" s="149"/>
      <c r="E64" s="150"/>
      <c r="F64" s="150"/>
      <c r="G64" s="212"/>
      <c r="H64" s="198"/>
      <c r="I64" s="199"/>
      <c r="J64" s="145"/>
      <c r="K64" s="145"/>
    </row>
    <row r="65" spans="1:11" ht="12.75" customHeight="1">
      <c r="A65" s="153"/>
      <c r="B65" s="147"/>
      <c r="C65" s="148"/>
      <c r="D65" s="149"/>
      <c r="E65" s="150"/>
      <c r="F65" s="150"/>
      <c r="G65" s="212"/>
      <c r="H65" s="198"/>
      <c r="I65" s="199"/>
      <c r="J65" s="145"/>
      <c r="K65" s="145"/>
    </row>
    <row r="66" spans="1:11" ht="12.75" customHeight="1">
      <c r="A66" s="195"/>
      <c r="B66" s="196"/>
      <c r="C66" s="148"/>
      <c r="D66" s="149"/>
      <c r="E66" s="150"/>
      <c r="F66" s="150"/>
      <c r="G66" s="212"/>
      <c r="H66" s="198"/>
      <c r="I66" s="199"/>
      <c r="J66" s="145"/>
      <c r="K66" s="145"/>
    </row>
    <row r="67" spans="1:11" ht="12.75" customHeight="1">
      <c r="A67" s="444" t="s">
        <v>135</v>
      </c>
      <c r="B67" s="430"/>
      <c r="C67" s="148"/>
      <c r="D67" s="149"/>
      <c r="E67" s="150"/>
      <c r="F67" s="150"/>
      <c r="G67" s="212"/>
      <c r="H67" s="198"/>
      <c r="I67" s="199"/>
      <c r="J67" s="145"/>
      <c r="K67" s="145"/>
    </row>
    <row r="68" spans="1:11" ht="12.75" customHeight="1">
      <c r="A68" s="445" t="s">
        <v>136</v>
      </c>
      <c r="B68" s="430"/>
      <c r="C68" s="148"/>
      <c r="D68" s="149"/>
      <c r="E68" s="150"/>
      <c r="F68" s="150"/>
      <c r="G68" s="212"/>
      <c r="H68" s="198"/>
      <c r="I68" s="199"/>
      <c r="J68" s="145"/>
      <c r="K68" s="145"/>
    </row>
    <row r="69" spans="1:11" ht="12.75" customHeight="1">
      <c r="A69" s="153"/>
      <c r="B69" s="147"/>
      <c r="C69" s="148"/>
      <c r="D69" s="149"/>
      <c r="E69" s="150"/>
      <c r="F69" s="150"/>
      <c r="G69" s="212"/>
      <c r="H69" s="198"/>
      <c r="I69" s="199"/>
      <c r="J69" s="145"/>
      <c r="K69" s="145"/>
    </row>
    <row r="70" spans="1:11" ht="12.75" customHeight="1">
      <c r="A70" s="153"/>
      <c r="B70" s="147"/>
      <c r="C70" s="148"/>
      <c r="D70" s="149"/>
      <c r="E70" s="150"/>
      <c r="F70" s="150"/>
      <c r="G70" s="212"/>
      <c r="H70" s="198"/>
      <c r="I70" s="199"/>
      <c r="J70" s="145"/>
      <c r="K70" s="145"/>
    </row>
    <row r="71" spans="1:11" ht="12.75" customHeight="1">
      <c r="A71" s="153"/>
      <c r="B71" s="147"/>
      <c r="C71" s="148"/>
      <c r="D71" s="149"/>
      <c r="E71" s="150"/>
      <c r="F71" s="150"/>
      <c r="G71" s="212"/>
      <c r="H71" s="198"/>
      <c r="I71" s="199"/>
      <c r="J71" s="145"/>
      <c r="K71" s="145"/>
    </row>
    <row r="72" spans="1:11" ht="12.75" customHeight="1">
      <c r="A72" s="153"/>
      <c r="B72" s="147"/>
      <c r="C72" s="148"/>
      <c r="D72" s="149"/>
      <c r="E72" s="150"/>
      <c r="F72" s="150"/>
      <c r="G72" s="212"/>
      <c r="H72" s="198"/>
      <c r="I72" s="199"/>
      <c r="J72" s="145"/>
      <c r="K72" s="145"/>
    </row>
    <row r="73" spans="1:11" ht="12.75" customHeight="1">
      <c r="A73" s="153"/>
      <c r="B73" s="147"/>
      <c r="C73" s="148"/>
      <c r="D73" s="149"/>
      <c r="E73" s="150"/>
      <c r="F73" s="150"/>
      <c r="G73" s="212"/>
      <c r="H73" s="198"/>
      <c r="I73" s="199"/>
      <c r="J73" s="145"/>
      <c r="K73" s="145"/>
    </row>
    <row r="74" spans="1:11" ht="12.75" customHeight="1">
      <c r="A74" s="153"/>
      <c r="B74" s="147"/>
      <c r="C74" s="148"/>
      <c r="D74" s="149"/>
      <c r="E74" s="150"/>
      <c r="F74" s="150"/>
      <c r="G74" s="212"/>
      <c r="H74" s="198"/>
      <c r="I74" s="199"/>
      <c r="J74" s="145"/>
      <c r="K74" s="145"/>
    </row>
    <row r="75" spans="1:11" ht="12.75" customHeight="1">
      <c r="A75" s="153"/>
      <c r="B75" s="147"/>
      <c r="C75" s="148"/>
      <c r="D75" s="149"/>
      <c r="E75" s="150"/>
      <c r="F75" s="150"/>
      <c r="G75" s="212"/>
      <c r="H75" s="198"/>
      <c r="I75" s="199"/>
      <c r="J75" s="145"/>
      <c r="K75" s="145"/>
    </row>
    <row r="76" spans="1:11" ht="12.75" customHeight="1">
      <c r="A76" s="153"/>
      <c r="B76" s="147"/>
      <c r="C76" s="148"/>
      <c r="D76" s="149"/>
      <c r="E76" s="150"/>
      <c r="F76" s="150"/>
      <c r="G76" s="212"/>
      <c r="H76" s="198"/>
      <c r="I76" s="199"/>
      <c r="J76" s="145"/>
      <c r="K76" s="145"/>
    </row>
    <row r="77" spans="1:11" ht="12.75" customHeight="1">
      <c r="A77" s="153"/>
      <c r="B77" s="147"/>
      <c r="C77" s="148"/>
      <c r="D77" s="149"/>
      <c r="E77" s="150"/>
      <c r="F77" s="150"/>
      <c r="G77" s="212"/>
      <c r="H77" s="198"/>
      <c r="I77" s="199"/>
      <c r="J77" s="145"/>
      <c r="K77" s="145"/>
    </row>
    <row r="78" spans="1:11" ht="12.75" customHeight="1">
      <c r="A78" s="153"/>
      <c r="B78" s="147"/>
      <c r="C78" s="148"/>
      <c r="D78" s="149"/>
      <c r="E78" s="150"/>
      <c r="F78" s="150"/>
      <c r="G78" s="212"/>
      <c r="H78" s="198"/>
      <c r="I78" s="199"/>
      <c r="J78" s="145"/>
      <c r="K78" s="145"/>
    </row>
    <row r="79" spans="1:11" ht="12.75" customHeight="1">
      <c r="A79" s="153"/>
      <c r="B79" s="147"/>
      <c r="C79" s="148"/>
      <c r="D79" s="149"/>
      <c r="E79" s="150"/>
      <c r="F79" s="150"/>
      <c r="G79" s="212"/>
      <c r="H79" s="198"/>
      <c r="I79" s="199"/>
      <c r="J79" s="145"/>
      <c r="K79" s="145"/>
    </row>
    <row r="80" spans="1:11" ht="12.75" customHeight="1">
      <c r="A80" s="153"/>
      <c r="B80" s="147"/>
      <c r="C80" s="148"/>
      <c r="D80" s="149"/>
      <c r="E80" s="150"/>
      <c r="F80" s="150"/>
      <c r="G80" s="212"/>
      <c r="H80" s="198"/>
      <c r="I80" s="199"/>
      <c r="J80" s="145"/>
      <c r="K80" s="145"/>
    </row>
    <row r="81" spans="1:11" ht="12.75" customHeight="1">
      <c r="A81" s="153"/>
      <c r="B81" s="147"/>
      <c r="C81" s="148"/>
      <c r="D81" s="149"/>
      <c r="E81" s="150"/>
      <c r="F81" s="150"/>
      <c r="G81" s="212"/>
      <c r="H81" s="198"/>
      <c r="I81" s="199"/>
      <c r="J81" s="145"/>
      <c r="K81" s="145"/>
    </row>
    <row r="82" spans="1:11" ht="12.75" customHeight="1">
      <c r="A82" s="153"/>
      <c r="B82" s="147"/>
      <c r="C82" s="148"/>
      <c r="D82" s="149"/>
      <c r="E82" s="150"/>
      <c r="F82" s="150"/>
      <c r="G82" s="212"/>
      <c r="H82" s="198"/>
      <c r="I82" s="199"/>
      <c r="J82" s="145"/>
      <c r="K82" s="145"/>
    </row>
    <row r="83" spans="1:11" ht="12.75" customHeight="1">
      <c r="A83" s="153"/>
      <c r="B83" s="147"/>
      <c r="C83" s="148"/>
      <c r="D83" s="149"/>
      <c r="E83" s="150"/>
      <c r="F83" s="150"/>
      <c r="G83" s="212"/>
      <c r="H83" s="198"/>
      <c r="I83" s="199"/>
      <c r="J83" s="145"/>
      <c r="K83" s="145"/>
    </row>
    <row r="84" spans="1:11" ht="12.75" customHeight="1">
      <c r="A84" s="153"/>
      <c r="B84" s="147"/>
      <c r="C84" s="148"/>
      <c r="D84" s="149"/>
      <c r="E84" s="150"/>
      <c r="F84" s="150"/>
      <c r="G84" s="212"/>
      <c r="H84" s="198"/>
      <c r="I84" s="199"/>
      <c r="J84" s="145"/>
      <c r="K84" s="145"/>
    </row>
    <row r="85" spans="1:11" ht="12.75" customHeight="1">
      <c r="A85" s="153"/>
      <c r="B85" s="147"/>
      <c r="C85" s="148"/>
      <c r="D85" s="149"/>
      <c r="E85" s="150"/>
      <c r="F85" s="150"/>
      <c r="G85" s="212"/>
      <c r="H85" s="198"/>
      <c r="I85" s="199"/>
      <c r="J85" s="145"/>
      <c r="K85" s="145"/>
    </row>
    <row r="86" spans="1:11" ht="12.75" customHeight="1">
      <c r="A86" s="153"/>
      <c r="B86" s="147"/>
      <c r="C86" s="148"/>
      <c r="D86" s="149"/>
      <c r="E86" s="150"/>
      <c r="F86" s="150"/>
      <c r="G86" s="212"/>
      <c r="H86" s="198"/>
      <c r="I86" s="199"/>
      <c r="J86" s="145"/>
      <c r="K86" s="145"/>
    </row>
    <row r="87" spans="1:11" ht="12.75" customHeight="1">
      <c r="A87" s="153"/>
      <c r="B87" s="147"/>
      <c r="C87" s="148"/>
      <c r="D87" s="149"/>
      <c r="E87" s="150"/>
      <c r="F87" s="150"/>
      <c r="G87" s="212"/>
      <c r="H87" s="198"/>
      <c r="I87" s="199"/>
      <c r="J87" s="145"/>
      <c r="K87" s="145"/>
    </row>
    <row r="88" spans="1:11" ht="12.75" customHeight="1">
      <c r="A88" s="153"/>
      <c r="B88" s="147"/>
      <c r="C88" s="148"/>
      <c r="D88" s="149"/>
      <c r="E88" s="150"/>
      <c r="F88" s="150"/>
      <c r="G88" s="212"/>
      <c r="H88" s="198"/>
      <c r="I88" s="199"/>
      <c r="J88" s="145"/>
      <c r="K88" s="145"/>
    </row>
    <row r="89" spans="1:11" ht="12.75" customHeight="1">
      <c r="A89" s="153"/>
      <c r="B89" s="147"/>
      <c r="C89" s="148"/>
      <c r="D89" s="149"/>
      <c r="E89" s="150"/>
      <c r="F89" s="150"/>
      <c r="G89" s="212"/>
      <c r="H89" s="198"/>
      <c r="I89" s="199"/>
      <c r="J89" s="145"/>
      <c r="K89" s="145"/>
    </row>
    <row r="90" spans="1:11" ht="12.75" customHeight="1">
      <c r="A90" s="153"/>
      <c r="B90" s="147"/>
      <c r="C90" s="148"/>
      <c r="D90" s="149"/>
      <c r="E90" s="150"/>
      <c r="F90" s="150"/>
      <c r="G90" s="212"/>
      <c r="H90" s="198"/>
      <c r="I90" s="199"/>
      <c r="J90" s="145"/>
      <c r="K90" s="145"/>
    </row>
    <row r="91" spans="1:11" ht="12.75" customHeight="1">
      <c r="A91" s="153"/>
      <c r="B91" s="147"/>
      <c r="C91" s="148"/>
      <c r="D91" s="149"/>
      <c r="E91" s="150"/>
      <c r="F91" s="150"/>
      <c r="G91" s="212"/>
      <c r="H91" s="198"/>
      <c r="I91" s="199"/>
      <c r="J91" s="145"/>
      <c r="K91" s="145"/>
    </row>
    <row r="92" spans="1:11" ht="12.75" customHeight="1">
      <c r="A92" s="153"/>
      <c r="B92" s="147"/>
      <c r="C92" s="148"/>
      <c r="D92" s="149"/>
      <c r="E92" s="150"/>
      <c r="F92" s="150"/>
      <c r="G92" s="212"/>
      <c r="H92" s="198"/>
      <c r="I92" s="199"/>
      <c r="J92" s="145"/>
      <c r="K92" s="145"/>
    </row>
    <row r="93" spans="1:11" ht="12.75" customHeight="1">
      <c r="A93" s="153"/>
      <c r="B93" s="147"/>
      <c r="C93" s="148"/>
      <c r="D93" s="149"/>
      <c r="E93" s="150"/>
      <c r="F93" s="150"/>
      <c r="G93" s="212"/>
      <c r="H93" s="198"/>
      <c r="I93" s="199"/>
      <c r="J93" s="145"/>
      <c r="K93" s="145"/>
    </row>
    <row r="94" spans="1:11" ht="12.75" customHeight="1">
      <c r="A94" s="153"/>
      <c r="B94" s="147"/>
      <c r="C94" s="148"/>
      <c r="D94" s="149"/>
      <c r="E94" s="150"/>
      <c r="F94" s="150"/>
      <c r="G94" s="212"/>
      <c r="H94" s="198"/>
      <c r="I94" s="199"/>
      <c r="J94" s="145"/>
      <c r="K94" s="145"/>
    </row>
    <row r="95" spans="1:11" ht="12.75" customHeight="1">
      <c r="A95" s="153"/>
      <c r="B95" s="147"/>
      <c r="C95" s="148"/>
      <c r="D95" s="149"/>
      <c r="E95" s="150"/>
      <c r="F95" s="150"/>
      <c r="G95" s="212"/>
      <c r="H95" s="198"/>
      <c r="I95" s="199"/>
      <c r="J95" s="145"/>
      <c r="K95" s="145"/>
    </row>
    <row r="96" spans="1:11" ht="12.75" customHeight="1">
      <c r="A96" s="153"/>
      <c r="B96" s="147"/>
      <c r="C96" s="148"/>
      <c r="D96" s="149"/>
      <c r="E96" s="150"/>
      <c r="F96" s="150"/>
      <c r="G96" s="212"/>
      <c r="H96" s="198"/>
      <c r="I96" s="199"/>
      <c r="J96" s="145"/>
      <c r="K96" s="145"/>
    </row>
    <row r="97" spans="1:11" ht="12.75" customHeight="1">
      <c r="A97" s="153"/>
      <c r="B97" s="147"/>
      <c r="C97" s="148"/>
      <c r="D97" s="149"/>
      <c r="E97" s="150"/>
      <c r="F97" s="150"/>
      <c r="G97" s="212"/>
      <c r="H97" s="198"/>
      <c r="I97" s="199"/>
      <c r="J97" s="145"/>
      <c r="K97" s="145"/>
    </row>
    <row r="98" spans="1:11" ht="12.75" customHeight="1">
      <c r="A98" s="153"/>
      <c r="B98" s="147"/>
      <c r="C98" s="148"/>
      <c r="D98" s="149"/>
      <c r="E98" s="150"/>
      <c r="F98" s="150"/>
      <c r="G98" s="212"/>
      <c r="H98" s="198"/>
      <c r="I98" s="199"/>
      <c r="J98" s="145"/>
      <c r="K98" s="145"/>
    </row>
    <row r="99" spans="1:11" ht="12.75" customHeight="1">
      <c r="A99" s="153"/>
      <c r="B99" s="147"/>
      <c r="C99" s="148"/>
      <c r="D99" s="149"/>
      <c r="E99" s="150"/>
      <c r="F99" s="150"/>
      <c r="G99" s="212"/>
      <c r="H99" s="198"/>
      <c r="I99" s="199"/>
      <c r="J99" s="145"/>
      <c r="K99" s="145"/>
    </row>
    <row r="100" spans="1:11" ht="12.75" customHeight="1">
      <c r="A100" s="153"/>
      <c r="B100" s="147"/>
      <c r="C100" s="148"/>
      <c r="D100" s="149"/>
      <c r="E100" s="150"/>
      <c r="F100" s="150"/>
      <c r="G100" s="212"/>
      <c r="H100" s="198"/>
      <c r="I100" s="199"/>
      <c r="J100" s="145"/>
      <c r="K100" s="145"/>
    </row>
  </sheetData>
  <mergeCells count="5">
    <mergeCell ref="A4:G4"/>
    <mergeCell ref="A5:G5"/>
    <mergeCell ref="A6:G6"/>
    <mergeCell ref="A67:B67"/>
    <mergeCell ref="A68:B68"/>
  </mergeCells>
  <printOptions horizontalCentered="1"/>
  <pageMargins left="0.70866141732283472" right="0.70866141732283472" top="0.74803149606299213" bottom="0.74803149606299213" header="0" footer="0"/>
  <pageSetup scale="88"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599"/>
  <sheetViews>
    <sheetView workbookViewId="0"/>
  </sheetViews>
  <sheetFormatPr defaultColWidth="14.44140625" defaultRowHeight="15" customHeight="1"/>
  <cols>
    <col min="1" max="1" width="11.5546875" customWidth="1"/>
    <col min="2" max="2" width="20.33203125" customWidth="1"/>
    <col min="3" max="4" width="11.44140625" customWidth="1"/>
    <col min="5" max="5" width="13.5546875" customWidth="1"/>
    <col min="6" max="6" width="11.44140625" customWidth="1"/>
    <col min="7" max="7" width="13.6640625" customWidth="1"/>
    <col min="8" max="8" width="12.44140625" customWidth="1"/>
    <col min="9" max="12" width="11.5546875" customWidth="1"/>
  </cols>
  <sheetData>
    <row r="1" spans="1:12" ht="14.25" customHeight="1">
      <c r="C1" s="213"/>
      <c r="D1" s="213"/>
      <c r="F1" s="213"/>
    </row>
    <row r="2" spans="1:12" ht="14.25" customHeight="1">
      <c r="C2" s="213"/>
      <c r="D2" s="213"/>
      <c r="F2" s="213"/>
    </row>
    <row r="3" spans="1:12" ht="14.25" customHeight="1">
      <c r="C3" s="213"/>
      <c r="D3" s="213"/>
      <c r="F3" s="213"/>
    </row>
    <row r="4" spans="1:12" ht="14.25" customHeight="1">
      <c r="C4" s="213"/>
      <c r="D4" s="213"/>
      <c r="F4" s="213"/>
    </row>
    <row r="5" spans="1:12" ht="14.25" customHeight="1">
      <c r="A5" s="214" t="s">
        <v>137</v>
      </c>
      <c r="C5" s="213"/>
      <c r="D5" s="471" t="s">
        <v>138</v>
      </c>
      <c r="E5" s="430"/>
      <c r="F5" s="430"/>
      <c r="G5" s="430"/>
    </row>
    <row r="6" spans="1:12" ht="14.25" customHeight="1">
      <c r="A6" s="214"/>
      <c r="C6" s="213"/>
      <c r="D6" s="216"/>
      <c r="E6" s="215"/>
      <c r="F6" s="216"/>
      <c r="G6" s="215"/>
    </row>
    <row r="7" spans="1:12" ht="14.25" customHeight="1">
      <c r="A7" s="217" t="s">
        <v>139</v>
      </c>
      <c r="B7" s="472" t="s">
        <v>82</v>
      </c>
      <c r="C7" s="430"/>
      <c r="D7" s="430"/>
      <c r="E7" s="430"/>
      <c r="F7" s="430"/>
      <c r="G7" s="218" t="s">
        <v>140</v>
      </c>
      <c r="H7" s="217" t="s">
        <v>141</v>
      </c>
    </row>
    <row r="8" spans="1:12" ht="14.25" customHeight="1">
      <c r="A8" s="214" t="s">
        <v>142</v>
      </c>
      <c r="B8" s="213" t="s">
        <v>26</v>
      </c>
      <c r="C8" s="213"/>
      <c r="D8" s="213"/>
      <c r="E8" s="213"/>
      <c r="F8" s="216" t="s">
        <v>143</v>
      </c>
      <c r="G8" s="219">
        <f>H11+H18+H24+H28</f>
        <v>118450.075</v>
      </c>
      <c r="J8" t="s">
        <v>144</v>
      </c>
      <c r="L8" s="220">
        <f>35000</f>
        <v>35000</v>
      </c>
    </row>
    <row r="9" spans="1:12" ht="14.25" customHeight="1">
      <c r="A9" s="214" t="s">
        <v>145</v>
      </c>
      <c r="C9" s="213"/>
      <c r="D9" s="213"/>
      <c r="E9" s="213"/>
      <c r="F9" s="213"/>
      <c r="J9" t="s">
        <v>146</v>
      </c>
      <c r="L9" s="220">
        <f>55000</f>
        <v>55000</v>
      </c>
    </row>
    <row r="10" spans="1:12" ht="14.25" customHeight="1">
      <c r="A10" s="456" t="s">
        <v>147</v>
      </c>
      <c r="B10" s="457"/>
      <c r="C10" s="221" t="s">
        <v>148</v>
      </c>
      <c r="D10" s="221"/>
      <c r="E10" s="221" t="s">
        <v>149</v>
      </c>
      <c r="F10" s="221" t="s">
        <v>150</v>
      </c>
      <c r="G10" s="222" t="s">
        <v>151</v>
      </c>
      <c r="H10" s="223" t="s">
        <v>152</v>
      </c>
    </row>
    <row r="11" spans="1:12" ht="14.25" customHeight="1">
      <c r="A11" s="459" t="s">
        <v>153</v>
      </c>
      <c r="B11" s="451"/>
      <c r="C11" s="224"/>
      <c r="D11" s="224"/>
      <c r="E11" s="225">
        <f>7500</f>
        <v>7500</v>
      </c>
      <c r="F11" s="224">
        <f>1</f>
        <v>1</v>
      </c>
      <c r="G11" s="226">
        <f t="shared" ref="G11:G14" si="0">E11*F11</f>
        <v>7500</v>
      </c>
      <c r="H11" s="449">
        <f>SUM(G11:G14)</f>
        <v>15027.5</v>
      </c>
    </row>
    <row r="12" spans="1:12" ht="14.25" customHeight="1">
      <c r="A12" s="227" t="s">
        <v>154</v>
      </c>
      <c r="B12" s="228"/>
      <c r="C12" s="224"/>
      <c r="D12" s="224"/>
      <c r="E12" s="225">
        <f>20110/8</f>
        <v>2513.75</v>
      </c>
      <c r="F12" s="224">
        <f>2</f>
        <v>2</v>
      </c>
      <c r="G12" s="226">
        <f t="shared" si="0"/>
        <v>5027.5</v>
      </c>
      <c r="H12" s="447"/>
    </row>
    <row r="13" spans="1:12" ht="14.25" customHeight="1">
      <c r="A13" s="227" t="s">
        <v>155</v>
      </c>
      <c r="B13" s="228"/>
      <c r="C13" s="224"/>
      <c r="D13" s="224"/>
      <c r="E13" s="225">
        <f>60000/8</f>
        <v>7500</v>
      </c>
      <c r="F13" s="224">
        <f>8*0</f>
        <v>0</v>
      </c>
      <c r="G13" s="226">
        <f t="shared" si="0"/>
        <v>0</v>
      </c>
      <c r="H13" s="447"/>
    </row>
    <row r="14" spans="1:12" ht="14.25" customHeight="1">
      <c r="A14" s="460" t="s">
        <v>156</v>
      </c>
      <c r="B14" s="454"/>
      <c r="C14" s="229"/>
      <c r="D14" s="229"/>
      <c r="E14" s="230">
        <f>2500</f>
        <v>2500</v>
      </c>
      <c r="F14" s="231">
        <f>1</f>
        <v>1</v>
      </c>
      <c r="G14" s="232">
        <f t="shared" si="0"/>
        <v>2500</v>
      </c>
      <c r="H14" s="448"/>
    </row>
    <row r="15" spans="1:12" ht="14.25" customHeight="1">
      <c r="C15" s="213"/>
      <c r="D15" s="213"/>
      <c r="E15" s="213"/>
      <c r="F15" s="213"/>
    </row>
    <row r="16" spans="1:12" ht="14.25" customHeight="1">
      <c r="A16" s="214" t="s">
        <v>157</v>
      </c>
      <c r="C16" s="213"/>
      <c r="D16" s="213"/>
      <c r="E16" s="213"/>
      <c r="F16" s="213"/>
    </row>
    <row r="17" spans="1:9" ht="14.25" customHeight="1">
      <c r="A17" s="233" t="s">
        <v>147</v>
      </c>
      <c r="B17" s="222"/>
      <c r="C17" s="221" t="s">
        <v>158</v>
      </c>
      <c r="D17" s="221"/>
      <c r="E17" s="221" t="s">
        <v>159</v>
      </c>
      <c r="F17" s="221" t="s">
        <v>160</v>
      </c>
      <c r="G17" s="222" t="s">
        <v>161</v>
      </c>
      <c r="H17" s="223" t="s">
        <v>152</v>
      </c>
    </row>
    <row r="18" spans="1:9" ht="29.25" customHeight="1">
      <c r="A18" s="450" t="s">
        <v>162</v>
      </c>
      <c r="B18" s="451"/>
      <c r="C18" s="234" t="s">
        <v>52</v>
      </c>
      <c r="D18" s="234"/>
      <c r="E18" s="235">
        <f>3700</f>
        <v>3700</v>
      </c>
      <c r="F18" s="236">
        <f>0.341</f>
        <v>0.34100000000000003</v>
      </c>
      <c r="G18" s="237">
        <f t="shared" ref="G18:G20" si="1">E18*F18</f>
        <v>1261.7</v>
      </c>
      <c r="H18" s="467">
        <f>SUM(G18:G20)</f>
        <v>80922.574999999997</v>
      </c>
      <c r="I18" s="238"/>
    </row>
    <row r="19" spans="1:9" ht="14.25" customHeight="1">
      <c r="A19" s="450" t="s">
        <v>163</v>
      </c>
      <c r="B19" s="451"/>
      <c r="C19" s="234" t="s">
        <v>49</v>
      </c>
      <c r="D19" s="234"/>
      <c r="E19" s="235">
        <f>65000</f>
        <v>65000</v>
      </c>
      <c r="F19" s="236">
        <f>1</f>
        <v>1</v>
      </c>
      <c r="G19" s="237">
        <f t="shared" si="1"/>
        <v>65000</v>
      </c>
      <c r="H19" s="468"/>
      <c r="I19" s="238"/>
    </row>
    <row r="20" spans="1:9" ht="14.25" customHeight="1">
      <c r="A20" s="450" t="s">
        <v>164</v>
      </c>
      <c r="B20" s="451"/>
      <c r="C20" s="234" t="s">
        <v>52</v>
      </c>
      <c r="D20" s="234"/>
      <c r="E20" s="239">
        <f>586435</f>
        <v>586435</v>
      </c>
      <c r="F20" s="234">
        <f>0.025</f>
        <v>2.5000000000000001E-2</v>
      </c>
      <c r="G20" s="237">
        <f t="shared" si="1"/>
        <v>14660.875</v>
      </c>
      <c r="H20" s="469"/>
    </row>
    <row r="21" spans="1:9" ht="14.25" customHeight="1">
      <c r="C21" s="213"/>
      <c r="D21" s="213"/>
      <c r="E21" s="213"/>
      <c r="F21" s="213"/>
    </row>
    <row r="22" spans="1:9" ht="14.25" customHeight="1">
      <c r="A22" s="214" t="s">
        <v>165</v>
      </c>
      <c r="C22" s="213"/>
      <c r="D22" s="213"/>
      <c r="E22" s="213"/>
      <c r="F22" s="213"/>
    </row>
    <row r="23" spans="1:9" ht="14.25" customHeight="1">
      <c r="A23" s="456" t="s">
        <v>147</v>
      </c>
      <c r="B23" s="457"/>
      <c r="C23" s="221" t="s">
        <v>166</v>
      </c>
      <c r="D23" s="221" t="s">
        <v>167</v>
      </c>
      <c r="E23" s="221" t="s">
        <v>168</v>
      </c>
      <c r="F23" s="221" t="s">
        <v>169</v>
      </c>
      <c r="G23" s="221" t="s">
        <v>170</v>
      </c>
      <c r="H23" s="240" t="s">
        <v>152</v>
      </c>
    </row>
    <row r="24" spans="1:9" ht="14.25" customHeight="1">
      <c r="A24" s="458" t="s">
        <v>171</v>
      </c>
      <c r="B24" s="454"/>
      <c r="C24" s="229">
        <f>1</f>
        <v>1</v>
      </c>
      <c r="D24" s="231">
        <f>27.504</f>
        <v>27.504000000000001</v>
      </c>
      <c r="E24" s="241">
        <f>369.3</f>
        <v>369.3</v>
      </c>
      <c r="F24" s="229">
        <f>0</f>
        <v>0</v>
      </c>
      <c r="G24" s="232">
        <f>E24*D24*F24</f>
        <v>0</v>
      </c>
      <c r="H24" s="242">
        <f>+G24</f>
        <v>0</v>
      </c>
    </row>
    <row r="25" spans="1:9" ht="14.25" customHeight="1">
      <c r="C25" s="213"/>
      <c r="D25" s="213"/>
      <c r="E25" s="213"/>
      <c r="F25" s="213"/>
    </row>
    <row r="26" spans="1:9" ht="14.25" customHeight="1">
      <c r="A26" s="214" t="s">
        <v>172</v>
      </c>
      <c r="C26" s="213"/>
      <c r="D26" s="213"/>
      <c r="E26" s="213"/>
      <c r="F26" s="213"/>
    </row>
    <row r="27" spans="1:9" ht="14.25" customHeight="1">
      <c r="A27" s="233" t="s">
        <v>147</v>
      </c>
      <c r="B27" s="222"/>
      <c r="C27" s="221" t="s">
        <v>173</v>
      </c>
      <c r="D27" s="221" t="s">
        <v>174</v>
      </c>
      <c r="E27" s="221" t="s">
        <v>175</v>
      </c>
      <c r="F27" s="221" t="s">
        <v>150</v>
      </c>
      <c r="G27" s="243" t="s">
        <v>176</v>
      </c>
      <c r="H27" s="223" t="s">
        <v>152</v>
      </c>
    </row>
    <row r="28" spans="1:9" ht="14.25" customHeight="1">
      <c r="A28" s="459" t="s">
        <v>177</v>
      </c>
      <c r="B28" s="451"/>
      <c r="C28" s="225">
        <f t="shared" ref="C28:C29" si="2">L8</f>
        <v>35000</v>
      </c>
      <c r="D28" s="224">
        <f t="shared" ref="D28:D29" si="3">0</f>
        <v>0</v>
      </c>
      <c r="E28" s="225">
        <f t="shared" ref="E28:E29" si="4">C28</f>
        <v>35000</v>
      </c>
      <c r="F28" s="244">
        <f>25%</f>
        <v>0.25</v>
      </c>
      <c r="G28" s="226">
        <f t="shared" ref="G28:G29" si="5">E28*F28</f>
        <v>8750</v>
      </c>
      <c r="H28" s="449">
        <f>G28+G29</f>
        <v>22500</v>
      </c>
    </row>
    <row r="29" spans="1:9" ht="14.25" customHeight="1">
      <c r="A29" s="460" t="s">
        <v>178</v>
      </c>
      <c r="B29" s="454"/>
      <c r="C29" s="230">
        <f t="shared" si="2"/>
        <v>55000</v>
      </c>
      <c r="D29" s="229">
        <f t="shared" si="3"/>
        <v>0</v>
      </c>
      <c r="E29" s="230">
        <f t="shared" si="4"/>
        <v>55000</v>
      </c>
      <c r="F29" s="245">
        <v>0.25</v>
      </c>
      <c r="G29" s="232">
        <f t="shared" si="5"/>
        <v>13750</v>
      </c>
      <c r="H29" s="448"/>
    </row>
    <row r="30" spans="1:9" ht="14.25" customHeight="1">
      <c r="C30" s="213"/>
      <c r="D30" s="213"/>
      <c r="F30" s="213"/>
    </row>
    <row r="31" spans="1:9" ht="14.25" customHeight="1">
      <c r="C31" s="213"/>
      <c r="D31" s="213"/>
      <c r="F31" s="213"/>
    </row>
    <row r="32" spans="1:9" ht="14.25" customHeight="1">
      <c r="C32" s="213"/>
      <c r="D32" s="213"/>
      <c r="F32" s="213"/>
    </row>
    <row r="33" spans="1:8" ht="14.25" customHeight="1">
      <c r="C33" s="213"/>
      <c r="D33" s="213"/>
      <c r="F33" s="213"/>
    </row>
    <row r="34" spans="1:8" ht="14.25" customHeight="1">
      <c r="C34" s="213"/>
      <c r="D34" s="213"/>
      <c r="F34" s="213"/>
    </row>
    <row r="35" spans="1:8" ht="14.25" customHeight="1">
      <c r="C35" s="213"/>
      <c r="D35" s="213"/>
      <c r="F35" s="213"/>
    </row>
    <row r="36" spans="1:8" ht="14.25" customHeight="1">
      <c r="A36" s="214" t="s">
        <v>137</v>
      </c>
      <c r="C36" s="213"/>
      <c r="D36" s="214" t="s">
        <v>179</v>
      </c>
      <c r="E36" s="214"/>
      <c r="F36" s="214"/>
      <c r="G36" s="214"/>
    </row>
    <row r="37" spans="1:8" ht="14.25" customHeight="1">
      <c r="A37" s="214"/>
      <c r="C37" s="213"/>
      <c r="D37" s="216"/>
      <c r="E37" s="215"/>
      <c r="F37" s="216"/>
      <c r="G37" s="215"/>
    </row>
    <row r="38" spans="1:8" ht="14.25" customHeight="1">
      <c r="A38" s="217" t="s">
        <v>139</v>
      </c>
      <c r="B38" s="472" t="s">
        <v>180</v>
      </c>
      <c r="C38" s="430"/>
      <c r="D38" s="430"/>
      <c r="E38" s="430"/>
      <c r="F38" s="430"/>
      <c r="G38" s="218" t="s">
        <v>140</v>
      </c>
      <c r="H38" s="217" t="s">
        <v>181</v>
      </c>
    </row>
    <row r="39" spans="1:8" ht="14.25" customHeight="1">
      <c r="A39" s="214" t="s">
        <v>142</v>
      </c>
      <c r="B39" s="213" t="s">
        <v>26</v>
      </c>
      <c r="C39" s="213"/>
      <c r="D39" s="213"/>
      <c r="E39" s="213"/>
      <c r="F39" s="216" t="s">
        <v>143</v>
      </c>
      <c r="G39" s="219">
        <f>H42+H49+H58+H62</f>
        <v>772296.4852</v>
      </c>
    </row>
    <row r="40" spans="1:8" ht="14.25" customHeight="1">
      <c r="A40" s="214" t="s">
        <v>145</v>
      </c>
      <c r="C40" s="213"/>
      <c r="D40" s="213"/>
      <c r="E40" s="213"/>
      <c r="F40" s="213"/>
    </row>
    <row r="41" spans="1:8" ht="14.25" customHeight="1">
      <c r="A41" s="456" t="s">
        <v>147</v>
      </c>
      <c r="B41" s="457"/>
      <c r="C41" s="221" t="s">
        <v>148</v>
      </c>
      <c r="D41" s="221"/>
      <c r="E41" s="221" t="s">
        <v>149</v>
      </c>
      <c r="F41" s="221" t="s">
        <v>150</v>
      </c>
      <c r="G41" s="222" t="s">
        <v>151</v>
      </c>
      <c r="H41" s="223" t="s">
        <v>152</v>
      </c>
    </row>
    <row r="42" spans="1:8" ht="14.25" customHeight="1">
      <c r="A42" s="459" t="s">
        <v>153</v>
      </c>
      <c r="B42" s="451"/>
      <c r="C42" s="224"/>
      <c r="D42" s="224"/>
      <c r="E42" s="225">
        <f>7500</f>
        <v>7500</v>
      </c>
      <c r="F42" s="224">
        <f t="shared" ref="F42:F43" si="6">0</f>
        <v>0</v>
      </c>
      <c r="G42" s="226">
        <f t="shared" ref="G42:G45" si="7">E42*F42</f>
        <v>0</v>
      </c>
      <c r="H42" s="449">
        <f>SUM(G42:G45)</f>
        <v>9660</v>
      </c>
    </row>
    <row r="43" spans="1:8" ht="14.25" customHeight="1">
      <c r="A43" s="227" t="s">
        <v>154</v>
      </c>
      <c r="B43" s="228"/>
      <c r="C43" s="224"/>
      <c r="D43" s="224"/>
      <c r="E43" s="225">
        <f>20110/8</f>
        <v>2513.75</v>
      </c>
      <c r="F43" s="224">
        <f t="shared" si="6"/>
        <v>0</v>
      </c>
      <c r="G43" s="226">
        <f t="shared" si="7"/>
        <v>0</v>
      </c>
      <c r="H43" s="447"/>
    </row>
    <row r="44" spans="1:8" ht="14.25" customHeight="1">
      <c r="A44" s="227" t="s">
        <v>155</v>
      </c>
      <c r="B44" s="228"/>
      <c r="C44" s="224"/>
      <c r="D44" s="224"/>
      <c r="E44" s="225">
        <f>60000/8</f>
        <v>7500</v>
      </c>
      <c r="F44" s="224">
        <f>8*0</f>
        <v>0</v>
      </c>
      <c r="G44" s="226">
        <f t="shared" si="7"/>
        <v>0</v>
      </c>
      <c r="H44" s="447"/>
    </row>
    <row r="45" spans="1:8" ht="14.25" customHeight="1">
      <c r="A45" s="460" t="s">
        <v>156</v>
      </c>
      <c r="B45" s="454"/>
      <c r="C45" s="229"/>
      <c r="D45" s="229"/>
      <c r="E45" s="230">
        <f>2500</f>
        <v>2500</v>
      </c>
      <c r="F45" s="231">
        <f>3.864</f>
        <v>3.8639999999999999</v>
      </c>
      <c r="G45" s="232">
        <f t="shared" si="7"/>
        <v>9660</v>
      </c>
      <c r="H45" s="448"/>
    </row>
    <row r="46" spans="1:8" ht="14.25" customHeight="1">
      <c r="C46" s="213"/>
      <c r="D46" s="213"/>
      <c r="E46" s="213"/>
      <c r="F46" s="213"/>
    </row>
    <row r="47" spans="1:8" ht="14.25" customHeight="1">
      <c r="A47" s="246" t="s">
        <v>157</v>
      </c>
      <c r="B47" s="228"/>
      <c r="C47" s="224"/>
      <c r="D47" s="224"/>
      <c r="E47" s="224"/>
      <c r="F47" s="224"/>
      <c r="G47" s="228"/>
      <c r="H47" s="228"/>
    </row>
    <row r="48" spans="1:8" ht="14.25" customHeight="1">
      <c r="A48" s="228" t="s">
        <v>147</v>
      </c>
      <c r="B48" s="228"/>
      <c r="C48" s="224" t="s">
        <v>158</v>
      </c>
      <c r="D48" s="224"/>
      <c r="E48" s="224" t="s">
        <v>159</v>
      </c>
      <c r="F48" s="224" t="s">
        <v>160</v>
      </c>
      <c r="G48" s="228" t="s">
        <v>161</v>
      </c>
      <c r="H48" s="224" t="s">
        <v>152</v>
      </c>
    </row>
    <row r="49" spans="1:8" ht="14.25" customHeight="1">
      <c r="A49" s="474" t="s">
        <v>182</v>
      </c>
      <c r="B49" s="451"/>
      <c r="C49" s="247" t="s">
        <v>158</v>
      </c>
      <c r="D49" s="247"/>
      <c r="E49" s="248">
        <f>8000</f>
        <v>8000</v>
      </c>
      <c r="F49" s="249">
        <f>1</f>
        <v>1</v>
      </c>
      <c r="G49" s="250">
        <f t="shared" ref="G49:G54" si="8">E49*F49</f>
        <v>8000</v>
      </c>
      <c r="H49" s="467">
        <f>SUM(G49:G54)</f>
        <v>262636.4852</v>
      </c>
    </row>
    <row r="50" spans="1:8" ht="14.25" customHeight="1">
      <c r="A50" s="474" t="s">
        <v>183</v>
      </c>
      <c r="B50" s="451"/>
      <c r="C50" s="247" t="s">
        <v>28</v>
      </c>
      <c r="D50" s="247"/>
      <c r="E50" s="251">
        <f>E1584</f>
        <v>763131</v>
      </c>
      <c r="F50" s="252">
        <f>0.6*0.6*0.07</f>
        <v>2.52E-2</v>
      </c>
      <c r="G50" s="250">
        <f t="shared" si="8"/>
        <v>19230.9012</v>
      </c>
      <c r="H50" s="468"/>
    </row>
    <row r="51" spans="1:8" ht="14.25" customHeight="1">
      <c r="A51" s="474" t="s">
        <v>184</v>
      </c>
      <c r="B51" s="451"/>
      <c r="C51" s="247" t="s">
        <v>24</v>
      </c>
      <c r="D51" s="247"/>
      <c r="E51" s="251">
        <f>28356</f>
        <v>28356</v>
      </c>
      <c r="F51" s="249">
        <f>0.6*4</f>
        <v>2.4</v>
      </c>
      <c r="G51" s="250">
        <f t="shared" si="8"/>
        <v>68054.399999999994</v>
      </c>
      <c r="H51" s="468"/>
    </row>
    <row r="52" spans="1:8" ht="14.25" customHeight="1">
      <c r="A52" s="474" t="s">
        <v>185</v>
      </c>
      <c r="B52" s="451"/>
      <c r="C52" s="247" t="s">
        <v>24</v>
      </c>
      <c r="D52" s="247"/>
      <c r="E52" s="251">
        <f>21453</f>
        <v>21453</v>
      </c>
      <c r="F52" s="249">
        <f>F51*2</f>
        <v>4.8</v>
      </c>
      <c r="G52" s="250">
        <f t="shared" si="8"/>
        <v>102974.39999999999</v>
      </c>
      <c r="H52" s="468"/>
    </row>
    <row r="53" spans="1:8" ht="14.25" customHeight="1">
      <c r="A53" s="474" t="s">
        <v>186</v>
      </c>
      <c r="B53" s="451"/>
      <c r="C53" s="247" t="s">
        <v>28</v>
      </c>
      <c r="D53" s="247"/>
      <c r="E53" s="251">
        <f>768920</f>
        <v>768920</v>
      </c>
      <c r="F53" s="252">
        <f>0.6*0.6*0.07</f>
        <v>2.52E-2</v>
      </c>
      <c r="G53" s="250">
        <f t="shared" si="8"/>
        <v>19376.784</v>
      </c>
      <c r="H53" s="468"/>
    </row>
    <row r="54" spans="1:8" ht="14.25" customHeight="1">
      <c r="A54" s="474" t="s">
        <v>187</v>
      </c>
      <c r="B54" s="451"/>
      <c r="C54" s="247" t="s">
        <v>158</v>
      </c>
      <c r="D54" s="247"/>
      <c r="E54" s="251">
        <f>45000</f>
        <v>45000</v>
      </c>
      <c r="F54" s="247">
        <f>1</f>
        <v>1</v>
      </c>
      <c r="G54" s="250">
        <f t="shared" si="8"/>
        <v>45000</v>
      </c>
      <c r="H54" s="469"/>
    </row>
    <row r="55" spans="1:8" ht="14.25" customHeight="1">
      <c r="C55" s="213"/>
      <c r="D55" s="213"/>
      <c r="E55" s="213"/>
      <c r="F55" s="213"/>
    </row>
    <row r="56" spans="1:8" ht="14.25" customHeight="1">
      <c r="A56" s="214" t="s">
        <v>165</v>
      </c>
      <c r="C56" s="213"/>
      <c r="D56" s="213"/>
      <c r="E56" s="213"/>
      <c r="F56" s="213"/>
    </row>
    <row r="57" spans="1:8" ht="14.25" customHeight="1">
      <c r="A57" s="456" t="s">
        <v>147</v>
      </c>
      <c r="B57" s="457"/>
      <c r="C57" s="221" t="s">
        <v>166</v>
      </c>
      <c r="D57" s="221" t="s">
        <v>167</v>
      </c>
      <c r="E57" s="221" t="s">
        <v>168</v>
      </c>
      <c r="F57" s="221" t="s">
        <v>169</v>
      </c>
      <c r="G57" s="221" t="s">
        <v>170</v>
      </c>
      <c r="H57" s="240" t="s">
        <v>152</v>
      </c>
    </row>
    <row r="58" spans="1:8" ht="14.25" customHeight="1">
      <c r="A58" s="458" t="s">
        <v>171</v>
      </c>
      <c r="B58" s="454"/>
      <c r="C58" s="229">
        <f>1</f>
        <v>1</v>
      </c>
      <c r="D58" s="231">
        <f>27.504</f>
        <v>27.504000000000001</v>
      </c>
      <c r="E58" s="241">
        <f>369.3</f>
        <v>369.3</v>
      </c>
      <c r="F58" s="229">
        <f>0</f>
        <v>0</v>
      </c>
      <c r="G58" s="232">
        <f>E58*D58*F58</f>
        <v>0</v>
      </c>
      <c r="H58" s="242">
        <f>+G58</f>
        <v>0</v>
      </c>
    </row>
    <row r="59" spans="1:8" ht="14.25" customHeight="1">
      <c r="C59" s="213"/>
      <c r="D59" s="213"/>
      <c r="E59" s="213"/>
      <c r="F59" s="213"/>
    </row>
    <row r="60" spans="1:8" ht="14.25" customHeight="1">
      <c r="A60" s="214" t="s">
        <v>172</v>
      </c>
      <c r="C60" s="213"/>
      <c r="D60" s="213"/>
      <c r="E60" s="213"/>
      <c r="F60" s="213"/>
    </row>
    <row r="61" spans="1:8" ht="14.25" customHeight="1">
      <c r="A61" s="233" t="s">
        <v>147</v>
      </c>
      <c r="B61" s="222"/>
      <c r="C61" s="221" t="s">
        <v>173</v>
      </c>
      <c r="D61" s="221" t="s">
        <v>174</v>
      </c>
      <c r="E61" s="221" t="s">
        <v>175</v>
      </c>
      <c r="F61" s="221" t="s">
        <v>150</v>
      </c>
      <c r="G61" s="243" t="s">
        <v>176</v>
      </c>
      <c r="H61" s="223" t="s">
        <v>152</v>
      </c>
    </row>
    <row r="62" spans="1:8" ht="14.25" customHeight="1">
      <c r="A62" s="459" t="s">
        <v>177</v>
      </c>
      <c r="B62" s="451"/>
      <c r="C62" s="225">
        <f>L9</f>
        <v>55000</v>
      </c>
      <c r="D62" s="224">
        <f t="shared" ref="D62:D63" si="9">0</f>
        <v>0</v>
      </c>
      <c r="E62" s="225">
        <f>C62</f>
        <v>55000</v>
      </c>
      <c r="F62" s="244">
        <f t="shared" ref="F62:F63" si="10">400%</f>
        <v>4</v>
      </c>
      <c r="G62" s="226">
        <f t="shared" ref="G62:G63" si="11">E62*F62</f>
        <v>220000</v>
      </c>
      <c r="H62" s="449">
        <f>G62+G63</f>
        <v>500000</v>
      </c>
    </row>
    <row r="63" spans="1:8" ht="14.25" customHeight="1">
      <c r="A63" s="460" t="s">
        <v>188</v>
      </c>
      <c r="B63" s="454"/>
      <c r="C63" s="230">
        <f>L8</f>
        <v>35000</v>
      </c>
      <c r="D63" s="229">
        <f t="shared" si="9"/>
        <v>0</v>
      </c>
      <c r="E63" s="230">
        <f>C63*2</f>
        <v>70000</v>
      </c>
      <c r="F63" s="245">
        <f t="shared" si="10"/>
        <v>4</v>
      </c>
      <c r="G63" s="232">
        <f t="shared" si="11"/>
        <v>280000</v>
      </c>
      <c r="H63" s="448"/>
    </row>
    <row r="64" spans="1:8" ht="14.25" customHeight="1">
      <c r="C64" s="213"/>
      <c r="D64" s="213"/>
      <c r="F64" s="213"/>
    </row>
    <row r="65" spans="1:8" ht="14.25" customHeight="1">
      <c r="C65" s="213"/>
      <c r="D65" s="213"/>
      <c r="F65" s="213"/>
    </row>
    <row r="66" spans="1:8" ht="14.25" customHeight="1">
      <c r="C66" s="213"/>
      <c r="D66" s="213"/>
      <c r="F66" s="213"/>
    </row>
    <row r="67" spans="1:8" ht="14.25" customHeight="1">
      <c r="C67" s="213"/>
      <c r="D67" s="213"/>
      <c r="F67" s="213"/>
    </row>
    <row r="68" spans="1:8" ht="14.25" customHeight="1">
      <c r="C68" s="213"/>
      <c r="D68" s="213"/>
      <c r="F68" s="213"/>
    </row>
    <row r="69" spans="1:8" ht="14.25" customHeight="1">
      <c r="A69" s="214" t="s">
        <v>137</v>
      </c>
      <c r="C69" s="213"/>
      <c r="D69" s="214" t="s">
        <v>189</v>
      </c>
      <c r="E69" s="214"/>
      <c r="F69" s="214"/>
      <c r="G69" s="214"/>
    </row>
    <row r="70" spans="1:8" ht="14.25" customHeight="1">
      <c r="A70" s="214"/>
      <c r="C70" s="213"/>
      <c r="D70" s="216"/>
      <c r="E70" s="215"/>
      <c r="F70" s="216"/>
      <c r="G70" s="215"/>
    </row>
    <row r="71" spans="1:8" ht="52.5" customHeight="1">
      <c r="A71" s="217" t="s">
        <v>139</v>
      </c>
      <c r="B71" s="472" t="s">
        <v>100</v>
      </c>
      <c r="C71" s="430"/>
      <c r="D71" s="430"/>
      <c r="E71" s="430"/>
      <c r="F71" s="430"/>
      <c r="G71" s="218" t="s">
        <v>140</v>
      </c>
      <c r="H71" s="217" t="s">
        <v>190</v>
      </c>
    </row>
    <row r="72" spans="1:8" ht="14.25" customHeight="1">
      <c r="A72" s="214" t="s">
        <v>142</v>
      </c>
      <c r="B72" s="213" t="s">
        <v>191</v>
      </c>
      <c r="C72" s="213"/>
      <c r="D72" s="213"/>
      <c r="E72" s="213"/>
      <c r="F72" s="216" t="s">
        <v>143</v>
      </c>
      <c r="G72" s="219">
        <f>H75+H82+H91+H95</f>
        <v>286247.08350000001</v>
      </c>
    </row>
    <row r="73" spans="1:8" ht="14.25" customHeight="1">
      <c r="A73" s="214" t="s">
        <v>145</v>
      </c>
      <c r="C73" s="213"/>
      <c r="D73" s="213"/>
      <c r="E73" s="213"/>
      <c r="F73" s="213"/>
    </row>
    <row r="74" spans="1:8" ht="14.25" customHeight="1">
      <c r="A74" s="456" t="s">
        <v>147</v>
      </c>
      <c r="B74" s="457"/>
      <c r="C74" s="221" t="s">
        <v>148</v>
      </c>
      <c r="D74" s="221"/>
      <c r="E74" s="221" t="s">
        <v>149</v>
      </c>
      <c r="F74" s="221" t="s">
        <v>150</v>
      </c>
      <c r="G74" s="222" t="s">
        <v>151</v>
      </c>
      <c r="H74" s="223" t="s">
        <v>152</v>
      </c>
    </row>
    <row r="75" spans="1:8" ht="14.25" customHeight="1">
      <c r="A75" s="459" t="s">
        <v>153</v>
      </c>
      <c r="B75" s="451"/>
      <c r="C75" s="224"/>
      <c r="D75" s="224"/>
      <c r="E75" s="225">
        <f>7500</f>
        <v>7500</v>
      </c>
      <c r="F75" s="224">
        <f>1</f>
        <v>1</v>
      </c>
      <c r="G75" s="226">
        <f t="shared" ref="G75:G78" si="12">E75*F75</f>
        <v>7500</v>
      </c>
      <c r="H75" s="449">
        <f>SUM(G75:G78)</f>
        <v>17124.75</v>
      </c>
    </row>
    <row r="76" spans="1:8" ht="14.25" customHeight="1">
      <c r="A76" s="227" t="s">
        <v>154</v>
      </c>
      <c r="B76" s="228"/>
      <c r="C76" s="224"/>
      <c r="D76" s="224"/>
      <c r="E76" s="225">
        <f>20110/8</f>
        <v>2513.75</v>
      </c>
      <c r="F76" s="224">
        <f>0</f>
        <v>0</v>
      </c>
      <c r="G76" s="226">
        <f t="shared" si="12"/>
        <v>0</v>
      </c>
      <c r="H76" s="447"/>
    </row>
    <row r="77" spans="1:8" ht="14.25" customHeight="1">
      <c r="A77" s="227" t="s">
        <v>155</v>
      </c>
      <c r="B77" s="228"/>
      <c r="C77" s="224"/>
      <c r="D77" s="224"/>
      <c r="E77" s="225">
        <f>60000/8</f>
        <v>7500</v>
      </c>
      <c r="F77" s="224">
        <f>8*0</f>
        <v>0</v>
      </c>
      <c r="G77" s="226">
        <f t="shared" si="12"/>
        <v>0</v>
      </c>
      <c r="H77" s="447"/>
    </row>
    <row r="78" spans="1:8" ht="14.25" customHeight="1">
      <c r="A78" s="460" t="s">
        <v>156</v>
      </c>
      <c r="B78" s="454"/>
      <c r="C78" s="229"/>
      <c r="D78" s="229"/>
      <c r="E78" s="230">
        <f>2500</f>
        <v>2500</v>
      </c>
      <c r="F78" s="231">
        <f>3.8499</f>
        <v>3.8498999999999999</v>
      </c>
      <c r="G78" s="232">
        <f t="shared" si="12"/>
        <v>9624.75</v>
      </c>
      <c r="H78" s="448"/>
    </row>
    <row r="79" spans="1:8" ht="14.25" customHeight="1">
      <c r="C79" s="213"/>
      <c r="D79" s="213"/>
      <c r="E79" s="213"/>
      <c r="F79" s="213"/>
    </row>
    <row r="80" spans="1:8" ht="14.25" customHeight="1">
      <c r="A80" s="246" t="s">
        <v>157</v>
      </c>
      <c r="B80" s="228"/>
      <c r="C80" s="224"/>
      <c r="D80" s="224"/>
      <c r="E80" s="224"/>
      <c r="F80" s="224"/>
      <c r="G80" s="228"/>
      <c r="H80" s="228"/>
    </row>
    <row r="81" spans="1:8" ht="14.25" customHeight="1">
      <c r="A81" s="228" t="s">
        <v>147</v>
      </c>
      <c r="B81" s="228"/>
      <c r="C81" s="224" t="s">
        <v>158</v>
      </c>
      <c r="D81" s="224"/>
      <c r="E81" s="224" t="s">
        <v>159</v>
      </c>
      <c r="F81" s="224" t="s">
        <v>160</v>
      </c>
      <c r="G81" s="228" t="s">
        <v>161</v>
      </c>
      <c r="H81" s="224" t="s">
        <v>152</v>
      </c>
    </row>
    <row r="82" spans="1:8" ht="14.25" customHeight="1">
      <c r="A82" s="474" t="s">
        <v>192</v>
      </c>
      <c r="B82" s="451"/>
      <c r="C82" s="247" t="s">
        <v>26</v>
      </c>
      <c r="D82" s="247"/>
      <c r="E82" s="248">
        <f>7500</f>
        <v>7500</v>
      </c>
      <c r="F82" s="249">
        <f>12</f>
        <v>12</v>
      </c>
      <c r="G82" s="250">
        <f t="shared" ref="G82:G87" si="13">E82*F82</f>
        <v>90000</v>
      </c>
      <c r="H82" s="467">
        <f>SUM(G82:G87)</f>
        <v>153729.26550000001</v>
      </c>
    </row>
    <row r="83" spans="1:8" ht="33" customHeight="1">
      <c r="A83" s="474" t="s">
        <v>193</v>
      </c>
      <c r="B83" s="451"/>
      <c r="C83" s="247" t="s">
        <v>28</v>
      </c>
      <c r="D83" s="247"/>
      <c r="E83" s="251">
        <f>763131</f>
        <v>763131</v>
      </c>
      <c r="F83" s="253">
        <f>(0.01*0.01*1)*5</f>
        <v>5.0000000000000001E-4</v>
      </c>
      <c r="G83" s="250">
        <f t="shared" si="13"/>
        <v>381.56549999999999</v>
      </c>
      <c r="H83" s="468"/>
    </row>
    <row r="84" spans="1:8" ht="14.25" customHeight="1">
      <c r="A84" s="474" t="s">
        <v>194</v>
      </c>
      <c r="B84" s="451"/>
      <c r="C84" s="247" t="s">
        <v>158</v>
      </c>
      <c r="D84" s="247"/>
      <c r="E84" s="251">
        <f>25000</f>
        <v>25000</v>
      </c>
      <c r="F84" s="249">
        <f t="shared" ref="F84:F85" si="14">1</f>
        <v>1</v>
      </c>
      <c r="G84" s="250">
        <f t="shared" si="13"/>
        <v>25000</v>
      </c>
      <c r="H84" s="468"/>
    </row>
    <row r="85" spans="1:8" ht="14.25" customHeight="1">
      <c r="A85" s="474" t="s">
        <v>195</v>
      </c>
      <c r="B85" s="451"/>
      <c r="C85" s="247" t="s">
        <v>158</v>
      </c>
      <c r="D85" s="247"/>
      <c r="E85" s="251">
        <v>12000</v>
      </c>
      <c r="F85" s="249">
        <f t="shared" si="14"/>
        <v>1</v>
      </c>
      <c r="G85" s="250">
        <f t="shared" si="13"/>
        <v>12000</v>
      </c>
      <c r="H85" s="468"/>
    </row>
    <row r="86" spans="1:8" ht="14.25" customHeight="1">
      <c r="A86" s="474" t="s">
        <v>196</v>
      </c>
      <c r="B86" s="451"/>
      <c r="C86" s="247" t="s">
        <v>24</v>
      </c>
      <c r="D86" s="247"/>
      <c r="E86" s="251">
        <f>586435</f>
        <v>586435</v>
      </c>
      <c r="F86" s="252">
        <f>0.02</f>
        <v>0.02</v>
      </c>
      <c r="G86" s="250">
        <f t="shared" si="13"/>
        <v>11728.7</v>
      </c>
      <c r="H86" s="468"/>
    </row>
    <row r="87" spans="1:8" ht="14.25" customHeight="1">
      <c r="A87" s="474" t="s">
        <v>197</v>
      </c>
      <c r="B87" s="451"/>
      <c r="C87" s="247" t="s">
        <v>24</v>
      </c>
      <c r="D87" s="247"/>
      <c r="E87" s="251">
        <f>43857/3</f>
        <v>14619</v>
      </c>
      <c r="F87" s="247">
        <f>1</f>
        <v>1</v>
      </c>
      <c r="G87" s="250">
        <f t="shared" si="13"/>
        <v>14619</v>
      </c>
      <c r="H87" s="469"/>
    </row>
    <row r="88" spans="1:8" ht="14.25" customHeight="1">
      <c r="C88" s="213"/>
      <c r="D88" s="213"/>
      <c r="E88" s="213"/>
      <c r="F88" s="213"/>
    </row>
    <row r="89" spans="1:8" ht="14.25" customHeight="1">
      <c r="A89" s="214" t="s">
        <v>165</v>
      </c>
      <c r="C89" s="213"/>
      <c r="D89" s="213"/>
      <c r="E89" s="213"/>
      <c r="F89" s="213"/>
    </row>
    <row r="90" spans="1:8" ht="14.25" customHeight="1">
      <c r="A90" s="456" t="s">
        <v>147</v>
      </c>
      <c r="B90" s="457"/>
      <c r="C90" s="221" t="s">
        <v>166</v>
      </c>
      <c r="D90" s="221" t="s">
        <v>167</v>
      </c>
      <c r="E90" s="221" t="s">
        <v>168</v>
      </c>
      <c r="F90" s="221" t="s">
        <v>169</v>
      </c>
      <c r="G90" s="221" t="s">
        <v>170</v>
      </c>
      <c r="H90" s="240" t="s">
        <v>152</v>
      </c>
    </row>
    <row r="91" spans="1:8" ht="14.25" customHeight="1">
      <c r="A91" s="458" t="s">
        <v>171</v>
      </c>
      <c r="B91" s="454"/>
      <c r="C91" s="229">
        <f>1</f>
        <v>1</v>
      </c>
      <c r="D91" s="231">
        <f>27.504</f>
        <v>27.504000000000001</v>
      </c>
      <c r="E91" s="241">
        <f>369.3</f>
        <v>369.3</v>
      </c>
      <c r="F91" s="229">
        <f>2.5</f>
        <v>2.5</v>
      </c>
      <c r="G91" s="232">
        <f>E91*D91*F91</f>
        <v>25393.068000000003</v>
      </c>
      <c r="H91" s="242">
        <f>+G91</f>
        <v>25393.068000000003</v>
      </c>
    </row>
    <row r="92" spans="1:8" ht="14.25" customHeight="1">
      <c r="C92" s="213"/>
      <c r="D92" s="213"/>
      <c r="E92" s="213"/>
      <c r="F92" s="213"/>
    </row>
    <row r="93" spans="1:8" ht="14.25" customHeight="1">
      <c r="A93" s="214" t="s">
        <v>198</v>
      </c>
      <c r="C93" s="213"/>
      <c r="D93" s="213"/>
      <c r="E93" s="213"/>
      <c r="F93" s="213"/>
    </row>
    <row r="94" spans="1:8" ht="14.25" customHeight="1">
      <c r="A94" s="233" t="s">
        <v>147</v>
      </c>
      <c r="B94" s="222"/>
      <c r="C94" s="221" t="s">
        <v>173</v>
      </c>
      <c r="D94" s="221" t="s">
        <v>174</v>
      </c>
      <c r="E94" s="221" t="s">
        <v>175</v>
      </c>
      <c r="F94" s="221" t="s">
        <v>150</v>
      </c>
      <c r="G94" s="243" t="s">
        <v>176</v>
      </c>
      <c r="H94" s="223" t="s">
        <v>152</v>
      </c>
    </row>
    <row r="95" spans="1:8" ht="14.25" customHeight="1">
      <c r="A95" s="459" t="s">
        <v>177</v>
      </c>
      <c r="B95" s="451"/>
      <c r="C95" s="225">
        <f>L9</f>
        <v>55000</v>
      </c>
      <c r="D95" s="224">
        <f t="shared" ref="D95:D96" si="15">0</f>
        <v>0</v>
      </c>
      <c r="E95" s="225">
        <f t="shared" ref="E95:E96" si="16">C95</f>
        <v>55000</v>
      </c>
      <c r="F95" s="244">
        <f t="shared" ref="F95:F96" si="17">100%</f>
        <v>1</v>
      </c>
      <c r="G95" s="226">
        <f t="shared" ref="G95:G96" si="18">E95*F95</f>
        <v>55000</v>
      </c>
      <c r="H95" s="449">
        <f>G95+G96</f>
        <v>90000</v>
      </c>
    </row>
    <row r="96" spans="1:8" ht="14.25" customHeight="1">
      <c r="A96" s="460" t="s">
        <v>178</v>
      </c>
      <c r="B96" s="454"/>
      <c r="C96" s="230">
        <f>L8</f>
        <v>35000</v>
      </c>
      <c r="D96" s="229">
        <f t="shared" si="15"/>
        <v>0</v>
      </c>
      <c r="E96" s="230">
        <f t="shared" si="16"/>
        <v>35000</v>
      </c>
      <c r="F96" s="245">
        <f t="shared" si="17"/>
        <v>1</v>
      </c>
      <c r="G96" s="232">
        <f t="shared" si="18"/>
        <v>35000</v>
      </c>
      <c r="H96" s="448"/>
    </row>
    <row r="97" spans="1:9" ht="14.25" customHeight="1">
      <c r="C97" s="213"/>
      <c r="D97" s="213"/>
      <c r="F97" s="213"/>
    </row>
    <row r="98" spans="1:9" ht="14.25" customHeight="1">
      <c r="C98" s="213"/>
      <c r="D98" s="213"/>
      <c r="F98" s="213"/>
    </row>
    <row r="99" spans="1:9" ht="14.25" customHeight="1">
      <c r="C99" s="213"/>
      <c r="D99" s="213"/>
      <c r="F99" s="213"/>
    </row>
    <row r="100" spans="1:9" ht="14.25" customHeight="1">
      <c r="C100" s="213"/>
      <c r="D100" s="213"/>
      <c r="F100" s="213"/>
    </row>
    <row r="101" spans="1:9" ht="14.25" customHeight="1">
      <c r="C101" s="213"/>
      <c r="D101" s="213"/>
      <c r="F101" s="213"/>
    </row>
    <row r="102" spans="1:9" ht="14.25" customHeight="1">
      <c r="C102" s="213"/>
      <c r="D102" s="213"/>
      <c r="F102" s="213"/>
    </row>
    <row r="103" spans="1:9" ht="14.25" customHeight="1">
      <c r="A103" s="214" t="s">
        <v>137</v>
      </c>
      <c r="C103" s="213"/>
      <c r="D103" s="214" t="s">
        <v>199</v>
      </c>
      <c r="E103" s="214"/>
      <c r="F103" s="214"/>
      <c r="G103" s="214"/>
    </row>
    <row r="104" spans="1:9" ht="14.25" customHeight="1">
      <c r="A104" s="214"/>
      <c r="C104" s="213"/>
      <c r="D104" s="216"/>
      <c r="E104" s="215"/>
      <c r="F104" s="216"/>
      <c r="G104" s="215"/>
    </row>
    <row r="105" spans="1:9" ht="14.25" customHeight="1">
      <c r="A105" s="217" t="s">
        <v>139</v>
      </c>
      <c r="B105" s="472" t="s">
        <v>200</v>
      </c>
      <c r="C105" s="430"/>
      <c r="D105" s="430"/>
      <c r="E105" s="430"/>
      <c r="F105" s="430"/>
      <c r="G105" s="218" t="s">
        <v>140</v>
      </c>
      <c r="H105" s="217" t="s">
        <v>201</v>
      </c>
    </row>
    <row r="106" spans="1:9" ht="14.25" customHeight="1">
      <c r="A106" s="214" t="s">
        <v>142</v>
      </c>
      <c r="B106" s="213" t="s">
        <v>142</v>
      </c>
      <c r="C106" s="213"/>
      <c r="D106" s="213"/>
      <c r="E106" s="213"/>
      <c r="F106" s="216" t="s">
        <v>143</v>
      </c>
      <c r="G106" s="219">
        <f>H109+H116+H122+H126</f>
        <v>654293.81799999997</v>
      </c>
      <c r="I106" s="220">
        <f>600000-G106</f>
        <v>-54293.81799999997</v>
      </c>
    </row>
    <row r="107" spans="1:9" ht="14.25" customHeight="1">
      <c r="A107" s="214" t="s">
        <v>145</v>
      </c>
      <c r="C107" s="213"/>
      <c r="D107" s="213"/>
      <c r="E107" s="213"/>
      <c r="F107" s="213"/>
    </row>
    <row r="108" spans="1:9" ht="14.25" customHeight="1">
      <c r="A108" s="456" t="s">
        <v>147</v>
      </c>
      <c r="B108" s="457"/>
      <c r="C108" s="221" t="s">
        <v>148</v>
      </c>
      <c r="D108" s="221"/>
      <c r="E108" s="221" t="s">
        <v>149</v>
      </c>
      <c r="F108" s="221" t="s">
        <v>150</v>
      </c>
      <c r="G108" s="222" t="s">
        <v>151</v>
      </c>
      <c r="H108" s="223" t="s">
        <v>152</v>
      </c>
    </row>
    <row r="109" spans="1:9" ht="14.25" customHeight="1">
      <c r="A109" s="459" t="s">
        <v>153</v>
      </c>
      <c r="B109" s="451"/>
      <c r="C109" s="224"/>
      <c r="D109" s="224"/>
      <c r="E109" s="225">
        <f>7500</f>
        <v>7500</v>
      </c>
      <c r="F109" s="224">
        <f t="shared" ref="F109:F110" si="19">1</f>
        <v>1</v>
      </c>
      <c r="G109" s="226">
        <f t="shared" ref="G109:G112" si="20">E109*F109</f>
        <v>7500</v>
      </c>
      <c r="H109" s="449">
        <f>SUM(G109:G112)</f>
        <v>17513.75</v>
      </c>
    </row>
    <row r="110" spans="1:9" ht="14.25" customHeight="1">
      <c r="A110" s="227" t="s">
        <v>154</v>
      </c>
      <c r="B110" s="228"/>
      <c r="C110" s="224"/>
      <c r="D110" s="224"/>
      <c r="E110" s="225">
        <f>20110/8</f>
        <v>2513.75</v>
      </c>
      <c r="F110" s="224">
        <f t="shared" si="19"/>
        <v>1</v>
      </c>
      <c r="G110" s="226">
        <f t="shared" si="20"/>
        <v>2513.75</v>
      </c>
      <c r="H110" s="447"/>
    </row>
    <row r="111" spans="1:9" ht="14.25" customHeight="1">
      <c r="A111" s="227" t="s">
        <v>155</v>
      </c>
      <c r="B111" s="228"/>
      <c r="C111" s="224"/>
      <c r="D111" s="224"/>
      <c r="E111" s="225">
        <f>60000/8</f>
        <v>7500</v>
      </c>
      <c r="F111" s="224">
        <f>8*0</f>
        <v>0</v>
      </c>
      <c r="G111" s="226">
        <f t="shared" si="20"/>
        <v>0</v>
      </c>
      <c r="H111" s="447"/>
    </row>
    <row r="112" spans="1:9" ht="14.25" customHeight="1">
      <c r="A112" s="460" t="s">
        <v>156</v>
      </c>
      <c r="B112" s="454"/>
      <c r="C112" s="229"/>
      <c r="D112" s="229"/>
      <c r="E112" s="230">
        <f>2500</f>
        <v>2500</v>
      </c>
      <c r="F112" s="231">
        <f>3</f>
        <v>3</v>
      </c>
      <c r="G112" s="232">
        <f t="shared" si="20"/>
        <v>7500</v>
      </c>
      <c r="H112" s="448"/>
    </row>
    <row r="113" spans="1:8" ht="14.25" customHeight="1">
      <c r="C113" s="213"/>
      <c r="D113" s="213"/>
      <c r="E113" s="213"/>
      <c r="F113" s="213"/>
    </row>
    <row r="114" spans="1:8" ht="14.25" customHeight="1">
      <c r="A114" s="246" t="s">
        <v>157</v>
      </c>
      <c r="B114" s="228"/>
      <c r="C114" s="224"/>
      <c r="D114" s="224"/>
      <c r="E114" s="224"/>
      <c r="F114" s="224"/>
      <c r="G114" s="228"/>
      <c r="H114" s="228"/>
    </row>
    <row r="115" spans="1:8" ht="14.25" customHeight="1">
      <c r="A115" s="228" t="s">
        <v>147</v>
      </c>
      <c r="B115" s="228"/>
      <c r="C115" s="224" t="s">
        <v>158</v>
      </c>
      <c r="D115" s="224"/>
      <c r="E115" s="224" t="s">
        <v>159</v>
      </c>
      <c r="F115" s="224" t="s">
        <v>160</v>
      </c>
      <c r="G115" s="228" t="s">
        <v>161</v>
      </c>
      <c r="H115" s="224" t="s">
        <v>152</v>
      </c>
    </row>
    <row r="116" spans="1:8" ht="14.25" customHeight="1">
      <c r="A116" s="474"/>
      <c r="B116" s="451"/>
      <c r="C116" s="247"/>
      <c r="D116" s="247"/>
      <c r="E116" s="248"/>
      <c r="F116" s="249"/>
      <c r="G116" s="250">
        <f t="shared" ref="G116:G118" si="21">E116*F116</f>
        <v>0</v>
      </c>
      <c r="H116" s="467">
        <f>SUM(G116:G118)</f>
        <v>446387</v>
      </c>
    </row>
    <row r="117" spans="1:8" ht="14.25" customHeight="1">
      <c r="A117" s="474" t="s">
        <v>202</v>
      </c>
      <c r="B117" s="451"/>
      <c r="C117" s="247" t="s">
        <v>15</v>
      </c>
      <c r="D117" s="213"/>
      <c r="E117" s="250">
        <f>446387</f>
        <v>446387</v>
      </c>
      <c r="F117" s="252">
        <f>1</f>
        <v>1</v>
      </c>
      <c r="G117" s="250">
        <f t="shared" si="21"/>
        <v>446387</v>
      </c>
      <c r="H117" s="468"/>
    </row>
    <row r="118" spans="1:8" ht="14.25" customHeight="1">
      <c r="A118" s="474"/>
      <c r="B118" s="451"/>
      <c r="C118" s="247"/>
      <c r="D118" s="247"/>
      <c r="E118" s="251"/>
      <c r="F118" s="249"/>
      <c r="G118" s="250">
        <f t="shared" si="21"/>
        <v>0</v>
      </c>
      <c r="H118" s="469"/>
    </row>
    <row r="119" spans="1:8" ht="14.25" customHeight="1">
      <c r="C119" s="213"/>
      <c r="D119" s="213"/>
      <c r="E119" s="213"/>
      <c r="F119" s="213"/>
    </row>
    <row r="120" spans="1:8" ht="14.25" customHeight="1">
      <c r="A120" s="214" t="s">
        <v>165</v>
      </c>
      <c r="C120" s="213"/>
      <c r="D120" s="213"/>
      <c r="E120" s="213"/>
      <c r="F120" s="213"/>
    </row>
    <row r="121" spans="1:8" ht="14.25" customHeight="1">
      <c r="A121" s="456" t="s">
        <v>147</v>
      </c>
      <c r="B121" s="457"/>
      <c r="C121" s="221" t="s">
        <v>166</v>
      </c>
      <c r="D121" s="221" t="s">
        <v>167</v>
      </c>
      <c r="E121" s="221" t="s">
        <v>168</v>
      </c>
      <c r="F121" s="221" t="s">
        <v>169</v>
      </c>
      <c r="G121" s="221" t="s">
        <v>170</v>
      </c>
      <c r="H121" s="240" t="s">
        <v>152</v>
      </c>
    </row>
    <row r="122" spans="1:8" ht="14.25" customHeight="1">
      <c r="A122" s="458" t="s">
        <v>171</v>
      </c>
      <c r="B122" s="454"/>
      <c r="C122" s="229">
        <f>1</f>
        <v>1</v>
      </c>
      <c r="D122" s="231">
        <f>27.504</f>
        <v>27.504000000000001</v>
      </c>
      <c r="E122" s="241">
        <f>369.3</f>
        <v>369.3</v>
      </c>
      <c r="F122" s="229">
        <f>2.5</f>
        <v>2.5</v>
      </c>
      <c r="G122" s="232">
        <f>E122*D122*F122</f>
        <v>25393.068000000003</v>
      </c>
      <c r="H122" s="242">
        <f>+G122</f>
        <v>25393.068000000003</v>
      </c>
    </row>
    <row r="123" spans="1:8" ht="14.25" customHeight="1">
      <c r="C123" s="213"/>
      <c r="D123" s="213"/>
      <c r="E123" s="213"/>
      <c r="F123" s="213"/>
    </row>
    <row r="124" spans="1:8" ht="14.25" customHeight="1">
      <c r="A124" s="214" t="s">
        <v>172</v>
      </c>
      <c r="C124" s="213"/>
      <c r="D124" s="213"/>
      <c r="E124" s="213"/>
      <c r="F124" s="213"/>
    </row>
    <row r="125" spans="1:8" ht="14.25" customHeight="1">
      <c r="A125" s="233" t="s">
        <v>147</v>
      </c>
      <c r="B125" s="222"/>
      <c r="C125" s="221" t="s">
        <v>173</v>
      </c>
      <c r="D125" s="221" t="s">
        <v>174</v>
      </c>
      <c r="E125" s="221" t="s">
        <v>175</v>
      </c>
      <c r="F125" s="221" t="s">
        <v>150</v>
      </c>
      <c r="G125" s="243" t="s">
        <v>176</v>
      </c>
      <c r="H125" s="223" t="s">
        <v>152</v>
      </c>
    </row>
    <row r="126" spans="1:8" ht="14.25" customHeight="1">
      <c r="A126" s="459" t="s">
        <v>177</v>
      </c>
      <c r="B126" s="451"/>
      <c r="C126" s="225">
        <f>L9</f>
        <v>55000</v>
      </c>
      <c r="D126" s="224">
        <f t="shared" ref="D126:D127" si="22">0</f>
        <v>0</v>
      </c>
      <c r="E126" s="225">
        <f>C126</f>
        <v>55000</v>
      </c>
      <c r="F126" s="244">
        <f t="shared" ref="F126:F127" si="23">100%</f>
        <v>1</v>
      </c>
      <c r="G126" s="226">
        <f t="shared" ref="G126:G127" si="24">E126*F126</f>
        <v>55000</v>
      </c>
      <c r="H126" s="449">
        <f>G126+G127</f>
        <v>165000</v>
      </c>
    </row>
    <row r="127" spans="1:8" ht="14.25" customHeight="1">
      <c r="A127" s="460" t="s">
        <v>188</v>
      </c>
      <c r="B127" s="454"/>
      <c r="C127" s="230">
        <f>L9</f>
        <v>55000</v>
      </c>
      <c r="D127" s="229">
        <f t="shared" si="22"/>
        <v>0</v>
      </c>
      <c r="E127" s="230">
        <f>C127*2</f>
        <v>110000</v>
      </c>
      <c r="F127" s="245">
        <f t="shared" si="23"/>
        <v>1</v>
      </c>
      <c r="G127" s="232">
        <f t="shared" si="24"/>
        <v>110000</v>
      </c>
      <c r="H127" s="448"/>
    </row>
    <row r="128" spans="1:8" ht="14.25" customHeight="1">
      <c r="C128" s="213"/>
      <c r="D128" s="213"/>
      <c r="F128" s="213"/>
    </row>
    <row r="129" spans="1:9" ht="14.25" customHeight="1">
      <c r="C129" s="213"/>
      <c r="D129" s="213"/>
      <c r="F129" s="213"/>
    </row>
    <row r="130" spans="1:9" ht="14.25" customHeight="1">
      <c r="C130" s="213"/>
      <c r="D130" s="213"/>
      <c r="F130" s="213"/>
    </row>
    <row r="131" spans="1:9" ht="14.25" customHeight="1">
      <c r="C131" s="213"/>
      <c r="D131" s="213"/>
      <c r="F131" s="213"/>
    </row>
    <row r="132" spans="1:9" ht="14.25" customHeight="1">
      <c r="C132" s="213"/>
      <c r="D132" s="213"/>
      <c r="F132" s="213"/>
    </row>
    <row r="133" spans="1:9" ht="14.25" customHeight="1">
      <c r="C133" s="213"/>
      <c r="D133" s="213"/>
      <c r="F133" s="213"/>
    </row>
    <row r="134" spans="1:9" ht="14.25" customHeight="1">
      <c r="A134" s="214" t="s">
        <v>137</v>
      </c>
      <c r="C134" s="213"/>
      <c r="D134" s="471" t="s">
        <v>203</v>
      </c>
      <c r="E134" s="430"/>
      <c r="F134" s="430"/>
      <c r="G134" s="430"/>
    </row>
    <row r="135" spans="1:9" ht="14.25" customHeight="1">
      <c r="A135" s="214"/>
      <c r="C135" s="213"/>
      <c r="D135" s="216"/>
      <c r="E135" s="215"/>
      <c r="F135" s="216"/>
      <c r="G135" s="215"/>
    </row>
    <row r="136" spans="1:9" ht="14.25" customHeight="1">
      <c r="A136" s="217" t="s">
        <v>139</v>
      </c>
      <c r="B136" s="472" t="s">
        <v>204</v>
      </c>
      <c r="C136" s="430"/>
      <c r="D136" s="430"/>
      <c r="E136" s="430"/>
      <c r="F136" s="430"/>
      <c r="G136" s="218" t="s">
        <v>140</v>
      </c>
      <c r="H136" s="217" t="s">
        <v>205</v>
      </c>
    </row>
    <row r="137" spans="1:9" ht="14.25" customHeight="1">
      <c r="A137" s="214" t="s">
        <v>142</v>
      </c>
      <c r="B137" s="213" t="s">
        <v>24</v>
      </c>
      <c r="C137" s="213"/>
      <c r="D137" s="213"/>
      <c r="E137" s="213"/>
      <c r="F137" s="216" t="s">
        <v>143</v>
      </c>
      <c r="G137" s="219">
        <f>H140+H147+H153+H157</f>
        <v>165717.75</v>
      </c>
      <c r="I137">
        <f>160000</f>
        <v>160000</v>
      </c>
    </row>
    <row r="138" spans="1:9" ht="14.25" customHeight="1">
      <c r="A138" s="214" t="s">
        <v>145</v>
      </c>
      <c r="C138" s="213"/>
      <c r="D138" s="213"/>
      <c r="E138" s="213"/>
      <c r="F138" s="213"/>
    </row>
    <row r="139" spans="1:9" ht="14.25" customHeight="1">
      <c r="A139" s="456" t="s">
        <v>147</v>
      </c>
      <c r="B139" s="457"/>
      <c r="C139" s="221" t="s">
        <v>148</v>
      </c>
      <c r="D139" s="221"/>
      <c r="E139" s="221" t="s">
        <v>149</v>
      </c>
      <c r="F139" s="221" t="s">
        <v>150</v>
      </c>
      <c r="G139" s="222" t="s">
        <v>151</v>
      </c>
      <c r="H139" s="223" t="s">
        <v>152</v>
      </c>
    </row>
    <row r="140" spans="1:9" ht="14.25" customHeight="1">
      <c r="A140" s="459" t="s">
        <v>153</v>
      </c>
      <c r="B140" s="451"/>
      <c r="C140" s="224"/>
      <c r="D140" s="224"/>
      <c r="E140" s="225">
        <f>7500</f>
        <v>7500</v>
      </c>
      <c r="F140" s="224">
        <f>0</f>
        <v>0</v>
      </c>
      <c r="G140" s="226">
        <f t="shared" ref="G140:G143" si="25">E140*F140</f>
        <v>0</v>
      </c>
      <c r="H140" s="449">
        <f>SUM(G140:G143)</f>
        <v>10013.75</v>
      </c>
    </row>
    <row r="141" spans="1:9" ht="14.25" customHeight="1">
      <c r="A141" s="227" t="s">
        <v>154</v>
      </c>
      <c r="B141" s="228"/>
      <c r="C141" s="224"/>
      <c r="D141" s="224"/>
      <c r="E141" s="225">
        <f>20110/8</f>
        <v>2513.75</v>
      </c>
      <c r="F141" s="224">
        <f>1</f>
        <v>1</v>
      </c>
      <c r="G141" s="226">
        <f t="shared" si="25"/>
        <v>2513.75</v>
      </c>
      <c r="H141" s="447"/>
    </row>
    <row r="142" spans="1:9" ht="14.25" customHeight="1">
      <c r="A142" s="227" t="s">
        <v>155</v>
      </c>
      <c r="B142" s="228"/>
      <c r="C142" s="224"/>
      <c r="D142" s="224"/>
      <c r="E142" s="225">
        <f>60000/8</f>
        <v>7500</v>
      </c>
      <c r="F142" s="224">
        <f>8*0</f>
        <v>0</v>
      </c>
      <c r="G142" s="226">
        <f t="shared" si="25"/>
        <v>0</v>
      </c>
      <c r="H142" s="447"/>
    </row>
    <row r="143" spans="1:9" ht="14.25" customHeight="1">
      <c r="A143" s="460" t="s">
        <v>156</v>
      </c>
      <c r="B143" s="454"/>
      <c r="C143" s="229"/>
      <c r="D143" s="229"/>
      <c r="E143" s="230">
        <f>2500</f>
        <v>2500</v>
      </c>
      <c r="F143" s="231">
        <f>3</f>
        <v>3</v>
      </c>
      <c r="G143" s="232">
        <f t="shared" si="25"/>
        <v>7500</v>
      </c>
      <c r="H143" s="448"/>
    </row>
    <row r="144" spans="1:9" ht="14.25" customHeight="1">
      <c r="C144" s="213"/>
      <c r="D144" s="213"/>
      <c r="E144" s="213"/>
      <c r="F144" s="213"/>
    </row>
    <row r="145" spans="1:9" ht="14.25" customHeight="1">
      <c r="A145" s="246" t="s">
        <v>157</v>
      </c>
      <c r="B145" s="228"/>
      <c r="C145" s="224"/>
      <c r="D145" s="224"/>
      <c r="E145" s="224"/>
      <c r="F145" s="224"/>
      <c r="G145" s="228"/>
      <c r="H145" s="228"/>
    </row>
    <row r="146" spans="1:9" ht="14.25" customHeight="1">
      <c r="A146" s="228" t="s">
        <v>147</v>
      </c>
      <c r="B146" s="228"/>
      <c r="C146" s="224" t="s">
        <v>158</v>
      </c>
      <c r="D146" s="224"/>
      <c r="E146" s="224" t="s">
        <v>159</v>
      </c>
      <c r="F146" s="224" t="s">
        <v>160</v>
      </c>
      <c r="G146" s="228" t="s">
        <v>161</v>
      </c>
      <c r="H146" s="224" t="s">
        <v>152</v>
      </c>
    </row>
    <row r="147" spans="1:9" ht="14.25" customHeight="1">
      <c r="A147" s="474"/>
      <c r="B147" s="451"/>
      <c r="C147" s="247"/>
      <c r="D147" s="247"/>
      <c r="E147" s="248"/>
      <c r="F147" s="249"/>
      <c r="G147" s="250">
        <f t="shared" ref="G147:G149" si="26">E147*F147</f>
        <v>0</v>
      </c>
      <c r="H147" s="467">
        <f>SUM(G147:G149)</f>
        <v>105704</v>
      </c>
    </row>
    <row r="148" spans="1:9" ht="14.25" customHeight="1">
      <c r="A148" s="474" t="s">
        <v>206</v>
      </c>
      <c r="B148" s="451"/>
      <c r="C148" s="247" t="s">
        <v>15</v>
      </c>
      <c r="D148" s="213"/>
      <c r="E148" s="250">
        <f>54387+51317</f>
        <v>105704</v>
      </c>
      <c r="F148" s="252">
        <f>1</f>
        <v>1</v>
      </c>
      <c r="G148" s="250">
        <f t="shared" si="26"/>
        <v>105704</v>
      </c>
      <c r="H148" s="468"/>
      <c r="I148" s="220"/>
    </row>
    <row r="149" spans="1:9" ht="14.25" customHeight="1">
      <c r="A149" s="474"/>
      <c r="B149" s="451"/>
      <c r="C149" s="247"/>
      <c r="D149" s="247"/>
      <c r="E149" s="251"/>
      <c r="F149" s="249"/>
      <c r="G149" s="250">
        <f t="shared" si="26"/>
        <v>0</v>
      </c>
      <c r="H149" s="469"/>
    </row>
    <row r="150" spans="1:9" ht="14.25" customHeight="1">
      <c r="C150" s="213"/>
      <c r="D150" s="213"/>
      <c r="E150" s="213"/>
      <c r="F150" s="213"/>
    </row>
    <row r="151" spans="1:9" ht="14.25" customHeight="1">
      <c r="A151" s="214" t="s">
        <v>165</v>
      </c>
      <c r="C151" s="213"/>
      <c r="D151" s="213"/>
      <c r="E151" s="213"/>
      <c r="F151" s="213"/>
    </row>
    <row r="152" spans="1:9" ht="14.25" customHeight="1">
      <c r="A152" s="456" t="s">
        <v>147</v>
      </c>
      <c r="B152" s="457"/>
      <c r="C152" s="221" t="s">
        <v>166</v>
      </c>
      <c r="D152" s="221" t="s">
        <v>167</v>
      </c>
      <c r="E152" s="221" t="s">
        <v>168</v>
      </c>
      <c r="F152" s="221" t="s">
        <v>169</v>
      </c>
      <c r="G152" s="221" t="s">
        <v>170</v>
      </c>
      <c r="H152" s="240" t="s">
        <v>152</v>
      </c>
    </row>
    <row r="153" spans="1:9" ht="14.25" customHeight="1">
      <c r="A153" s="458" t="s">
        <v>171</v>
      </c>
      <c r="B153" s="454"/>
      <c r="C153" s="229">
        <f>1</f>
        <v>1</v>
      </c>
      <c r="D153" s="231">
        <f>27.504</f>
        <v>27.504000000000001</v>
      </c>
      <c r="E153" s="241">
        <f>369.3</f>
        <v>369.3</v>
      </c>
      <c r="F153" s="229">
        <f>2.5</f>
        <v>2.5</v>
      </c>
      <c r="G153" s="232">
        <f>E153*D153*F153*0</f>
        <v>0</v>
      </c>
      <c r="H153" s="242">
        <f>+G153</f>
        <v>0</v>
      </c>
    </row>
    <row r="154" spans="1:9" ht="14.25" customHeight="1">
      <c r="C154" s="213"/>
      <c r="D154" s="213"/>
      <c r="E154" s="213"/>
      <c r="F154" s="213"/>
    </row>
    <row r="155" spans="1:9" ht="14.25" customHeight="1">
      <c r="A155" s="214" t="s">
        <v>172</v>
      </c>
      <c r="C155" s="213"/>
      <c r="D155" s="213"/>
      <c r="E155" s="213"/>
      <c r="F155" s="213"/>
    </row>
    <row r="156" spans="1:9" ht="14.25" customHeight="1">
      <c r="A156" s="233" t="s">
        <v>147</v>
      </c>
      <c r="B156" s="222"/>
      <c r="C156" s="221" t="s">
        <v>173</v>
      </c>
      <c r="D156" s="221" t="s">
        <v>174</v>
      </c>
      <c r="E156" s="221" t="s">
        <v>175</v>
      </c>
      <c r="F156" s="221" t="s">
        <v>150</v>
      </c>
      <c r="G156" s="243" t="s">
        <v>176</v>
      </c>
      <c r="H156" s="223" t="s">
        <v>152</v>
      </c>
    </row>
    <row r="157" spans="1:9" ht="14.25" customHeight="1">
      <c r="A157" s="459" t="s">
        <v>177</v>
      </c>
      <c r="B157" s="451"/>
      <c r="C157" s="225">
        <f>L9</f>
        <v>55000</v>
      </c>
      <c r="D157" s="224">
        <f t="shared" ref="D157:D158" si="27">0</f>
        <v>0</v>
      </c>
      <c r="E157" s="225">
        <f>C157</f>
        <v>55000</v>
      </c>
      <c r="F157" s="244">
        <f t="shared" ref="F157:F158" si="28">40%</f>
        <v>0.4</v>
      </c>
      <c r="G157" s="226">
        <f t="shared" ref="G157:G158" si="29">E157*F157</f>
        <v>22000</v>
      </c>
      <c r="H157" s="449">
        <f>G157+G158</f>
        <v>50000</v>
      </c>
    </row>
    <row r="158" spans="1:9" ht="14.25" customHeight="1">
      <c r="A158" s="460" t="s">
        <v>188</v>
      </c>
      <c r="B158" s="454"/>
      <c r="C158" s="230">
        <f>L8</f>
        <v>35000</v>
      </c>
      <c r="D158" s="229">
        <f t="shared" si="27"/>
        <v>0</v>
      </c>
      <c r="E158" s="230">
        <f>C158*2</f>
        <v>70000</v>
      </c>
      <c r="F158" s="245">
        <f t="shared" si="28"/>
        <v>0.4</v>
      </c>
      <c r="G158" s="232">
        <f t="shared" si="29"/>
        <v>28000</v>
      </c>
      <c r="H158" s="448"/>
    </row>
    <row r="159" spans="1:9" ht="14.25" customHeight="1">
      <c r="C159" s="213"/>
      <c r="D159" s="213"/>
      <c r="F159" s="213"/>
    </row>
    <row r="160" spans="1:9" ht="14.25" customHeight="1">
      <c r="C160" s="213"/>
      <c r="D160" s="213"/>
      <c r="F160" s="213"/>
    </row>
    <row r="161" spans="1:9" ht="14.25" customHeight="1">
      <c r="C161" s="213"/>
      <c r="D161" s="213"/>
      <c r="F161" s="213"/>
    </row>
    <row r="162" spans="1:9" ht="14.25" customHeight="1">
      <c r="C162" s="213"/>
      <c r="D162" s="213"/>
      <c r="F162" s="213"/>
    </row>
    <row r="163" spans="1:9" ht="14.25" customHeight="1">
      <c r="C163" s="213"/>
      <c r="D163" s="213"/>
      <c r="F163" s="213"/>
    </row>
    <row r="164" spans="1:9" ht="14.25" customHeight="1">
      <c r="C164" s="213"/>
      <c r="D164" s="213"/>
      <c r="F164" s="213"/>
    </row>
    <row r="165" spans="1:9" ht="14.25" customHeight="1">
      <c r="A165" s="214" t="s">
        <v>137</v>
      </c>
      <c r="C165" s="213"/>
      <c r="D165" s="471" t="s">
        <v>207</v>
      </c>
      <c r="E165" s="430"/>
      <c r="F165" s="430"/>
      <c r="G165" s="430"/>
    </row>
    <row r="166" spans="1:9" ht="14.25" customHeight="1">
      <c r="A166" s="214"/>
      <c r="C166" s="213"/>
      <c r="D166" s="216"/>
      <c r="E166" s="215"/>
      <c r="F166" s="216"/>
      <c r="G166" s="215"/>
    </row>
    <row r="167" spans="1:9" ht="51.75" customHeight="1">
      <c r="A167" s="217" t="s">
        <v>139</v>
      </c>
      <c r="B167" s="472" t="s">
        <v>208</v>
      </c>
      <c r="C167" s="430"/>
      <c r="D167" s="430"/>
      <c r="E167" s="430"/>
      <c r="F167" s="430"/>
      <c r="G167" s="218" t="s">
        <v>140</v>
      </c>
      <c r="H167" s="217" t="s">
        <v>209</v>
      </c>
    </row>
    <row r="168" spans="1:9" ht="14.25" customHeight="1">
      <c r="A168" s="214" t="s">
        <v>142</v>
      </c>
      <c r="B168" s="213" t="s">
        <v>15</v>
      </c>
      <c r="C168" s="213"/>
      <c r="D168" s="213"/>
      <c r="E168" s="213"/>
      <c r="F168" s="216" t="s">
        <v>143</v>
      </c>
      <c r="G168" s="219">
        <f>H171+H178+H184+H188</f>
        <v>355717.75</v>
      </c>
    </row>
    <row r="169" spans="1:9" ht="14.25" customHeight="1">
      <c r="A169" s="214" t="s">
        <v>145</v>
      </c>
      <c r="C169" s="213"/>
      <c r="D169" s="213"/>
      <c r="E169" s="213"/>
      <c r="F169" s="213"/>
    </row>
    <row r="170" spans="1:9" ht="14.25" customHeight="1">
      <c r="A170" s="456" t="s">
        <v>147</v>
      </c>
      <c r="B170" s="457"/>
      <c r="C170" s="221" t="s">
        <v>148</v>
      </c>
      <c r="D170" s="221"/>
      <c r="E170" s="221" t="s">
        <v>149</v>
      </c>
      <c r="F170" s="221" t="s">
        <v>150</v>
      </c>
      <c r="G170" s="222" t="s">
        <v>151</v>
      </c>
      <c r="H170" s="223" t="s">
        <v>152</v>
      </c>
      <c r="I170" s="220"/>
    </row>
    <row r="171" spans="1:9" ht="14.25" customHeight="1">
      <c r="A171" s="459" t="s">
        <v>153</v>
      </c>
      <c r="B171" s="451"/>
      <c r="C171" s="224"/>
      <c r="D171" s="224"/>
      <c r="E171" s="225">
        <f>7500</f>
        <v>7500</v>
      </c>
      <c r="F171" s="224">
        <f>0</f>
        <v>0</v>
      </c>
      <c r="G171" s="226">
        <f t="shared" ref="G171:G174" si="30">E171*F171</f>
        <v>0</v>
      </c>
      <c r="H171" s="449">
        <f>SUM(G171:G174)</f>
        <v>10013.75</v>
      </c>
    </row>
    <row r="172" spans="1:9" ht="14.25" customHeight="1">
      <c r="A172" s="227" t="s">
        <v>154</v>
      </c>
      <c r="B172" s="228"/>
      <c r="C172" s="224"/>
      <c r="D172" s="224"/>
      <c r="E172" s="225">
        <f>20110/8</f>
        <v>2513.75</v>
      </c>
      <c r="F172" s="224">
        <f>1</f>
        <v>1</v>
      </c>
      <c r="G172" s="226">
        <f t="shared" si="30"/>
        <v>2513.75</v>
      </c>
      <c r="H172" s="447"/>
    </row>
    <row r="173" spans="1:9" ht="14.25" customHeight="1">
      <c r="A173" s="227" t="s">
        <v>155</v>
      </c>
      <c r="B173" s="228"/>
      <c r="C173" s="224"/>
      <c r="D173" s="224"/>
      <c r="E173" s="225">
        <f>60000/8</f>
        <v>7500</v>
      </c>
      <c r="F173" s="224">
        <f>8*0</f>
        <v>0</v>
      </c>
      <c r="G173" s="226">
        <f t="shared" si="30"/>
        <v>0</v>
      </c>
      <c r="H173" s="447"/>
    </row>
    <row r="174" spans="1:9" ht="14.25" customHeight="1">
      <c r="A174" s="460" t="s">
        <v>156</v>
      </c>
      <c r="B174" s="454"/>
      <c r="C174" s="229"/>
      <c r="D174" s="229"/>
      <c r="E174" s="230">
        <f>2500</f>
        <v>2500</v>
      </c>
      <c r="F174" s="231">
        <f>3</f>
        <v>3</v>
      </c>
      <c r="G174" s="232">
        <f t="shared" si="30"/>
        <v>7500</v>
      </c>
      <c r="H174" s="448"/>
    </row>
    <row r="175" spans="1:9" ht="14.25" customHeight="1">
      <c r="C175" s="213"/>
      <c r="D175" s="213"/>
      <c r="E175" s="213"/>
      <c r="F175" s="213"/>
    </row>
    <row r="176" spans="1:9" ht="14.25" customHeight="1">
      <c r="A176" s="246" t="s">
        <v>157</v>
      </c>
      <c r="B176" s="228"/>
      <c r="C176" s="224"/>
      <c r="D176" s="224"/>
      <c r="E176" s="224"/>
      <c r="F176" s="224"/>
      <c r="G176" s="228"/>
      <c r="H176" s="228"/>
    </row>
    <row r="177" spans="1:8" ht="14.25" customHeight="1">
      <c r="A177" s="228" t="s">
        <v>147</v>
      </c>
      <c r="B177" s="228"/>
      <c r="C177" s="224" t="s">
        <v>158</v>
      </c>
      <c r="D177" s="224"/>
      <c r="E177" s="224" t="s">
        <v>159</v>
      </c>
      <c r="F177" s="224" t="s">
        <v>160</v>
      </c>
      <c r="G177" s="228" t="s">
        <v>161</v>
      </c>
      <c r="H177" s="224" t="s">
        <v>152</v>
      </c>
    </row>
    <row r="178" spans="1:8" ht="14.25" customHeight="1">
      <c r="A178" s="474"/>
      <c r="B178" s="451"/>
      <c r="C178" s="247"/>
      <c r="D178" s="247"/>
      <c r="E178" s="248"/>
      <c r="F178" s="249"/>
      <c r="G178" s="250">
        <f t="shared" ref="G178:G180" si="31">E178*F178</f>
        <v>0</v>
      </c>
      <c r="H178" s="467">
        <f>SUM(G178:G180)</f>
        <v>295704</v>
      </c>
    </row>
    <row r="179" spans="1:8" ht="91.5" customHeight="1">
      <c r="A179" s="474" t="s">
        <v>210</v>
      </c>
      <c r="B179" s="451"/>
      <c r="C179" s="247" t="s">
        <v>15</v>
      </c>
      <c r="D179" s="213"/>
      <c r="E179" s="250">
        <f>295704</f>
        <v>295704</v>
      </c>
      <c r="F179" s="252">
        <f>1</f>
        <v>1</v>
      </c>
      <c r="G179" s="250">
        <f t="shared" si="31"/>
        <v>295704</v>
      </c>
      <c r="H179" s="468"/>
    </row>
    <row r="180" spans="1:8" ht="14.25" customHeight="1">
      <c r="A180" s="474"/>
      <c r="B180" s="451"/>
      <c r="C180" s="247"/>
      <c r="D180" s="247"/>
      <c r="E180" s="251"/>
      <c r="F180" s="249"/>
      <c r="G180" s="250">
        <f t="shared" si="31"/>
        <v>0</v>
      </c>
      <c r="H180" s="469"/>
    </row>
    <row r="181" spans="1:8" ht="14.25" customHeight="1">
      <c r="C181" s="213"/>
      <c r="D181" s="213"/>
      <c r="E181" s="213"/>
      <c r="F181" s="213"/>
    </row>
    <row r="182" spans="1:8" ht="14.25" customHeight="1">
      <c r="A182" s="214" t="s">
        <v>165</v>
      </c>
      <c r="C182" s="213"/>
      <c r="D182" s="213"/>
      <c r="E182" s="213"/>
      <c r="F182" s="213"/>
    </row>
    <row r="183" spans="1:8" ht="14.25" customHeight="1">
      <c r="A183" s="456" t="s">
        <v>147</v>
      </c>
      <c r="B183" s="457"/>
      <c r="C183" s="221" t="s">
        <v>166</v>
      </c>
      <c r="D183" s="221" t="s">
        <v>167</v>
      </c>
      <c r="E183" s="221" t="s">
        <v>168</v>
      </c>
      <c r="F183" s="221" t="s">
        <v>169</v>
      </c>
      <c r="G183" s="221" t="s">
        <v>170</v>
      </c>
      <c r="H183" s="240" t="s">
        <v>152</v>
      </c>
    </row>
    <row r="184" spans="1:8" ht="14.25" customHeight="1">
      <c r="A184" s="458" t="s">
        <v>171</v>
      </c>
      <c r="B184" s="454"/>
      <c r="C184" s="229">
        <f>1</f>
        <v>1</v>
      </c>
      <c r="D184" s="231">
        <f>27.504</f>
        <v>27.504000000000001</v>
      </c>
      <c r="E184" s="241">
        <f>369.3</f>
        <v>369.3</v>
      </c>
      <c r="F184" s="229">
        <f>2.5</f>
        <v>2.5</v>
      </c>
      <c r="G184" s="232">
        <f>E184*D184*F184*0</f>
        <v>0</v>
      </c>
      <c r="H184" s="242">
        <f>+G184</f>
        <v>0</v>
      </c>
    </row>
    <row r="185" spans="1:8" ht="14.25" customHeight="1">
      <c r="C185" s="213"/>
      <c r="D185" s="213"/>
      <c r="E185" s="213"/>
      <c r="F185" s="213"/>
    </row>
    <row r="186" spans="1:8" ht="14.25" customHeight="1">
      <c r="A186" s="214" t="s">
        <v>172</v>
      </c>
      <c r="C186" s="213"/>
      <c r="D186" s="213"/>
      <c r="E186" s="213"/>
      <c r="F186" s="213"/>
    </row>
    <row r="187" spans="1:8" ht="14.25" customHeight="1">
      <c r="A187" s="233" t="s">
        <v>147</v>
      </c>
      <c r="B187" s="222"/>
      <c r="C187" s="221" t="s">
        <v>173</v>
      </c>
      <c r="D187" s="221" t="s">
        <v>174</v>
      </c>
      <c r="E187" s="221" t="s">
        <v>175</v>
      </c>
      <c r="F187" s="221" t="s">
        <v>150</v>
      </c>
      <c r="G187" s="243" t="s">
        <v>176</v>
      </c>
      <c r="H187" s="223" t="s">
        <v>152</v>
      </c>
    </row>
    <row r="188" spans="1:8" ht="14.25" customHeight="1">
      <c r="A188" s="459" t="s">
        <v>177</v>
      </c>
      <c r="B188" s="451"/>
      <c r="C188" s="225">
        <v>55000</v>
      </c>
      <c r="D188" s="224">
        <v>0</v>
      </c>
      <c r="E188" s="225">
        <f>C188</f>
        <v>55000</v>
      </c>
      <c r="F188" s="244">
        <f t="shared" ref="F188:F189" si="32">40%</f>
        <v>0.4</v>
      </c>
      <c r="G188" s="226">
        <f t="shared" ref="G188:G189" si="33">E188*F188</f>
        <v>22000</v>
      </c>
      <c r="H188" s="449">
        <f>G188+G189</f>
        <v>50000</v>
      </c>
    </row>
    <row r="189" spans="1:8" ht="14.25" customHeight="1">
      <c r="A189" s="460" t="s">
        <v>188</v>
      </c>
      <c r="B189" s="454"/>
      <c r="C189" s="230">
        <v>35000</v>
      </c>
      <c r="D189" s="229">
        <v>0</v>
      </c>
      <c r="E189" s="230">
        <f>C189*2</f>
        <v>70000</v>
      </c>
      <c r="F189" s="245">
        <f t="shared" si="32"/>
        <v>0.4</v>
      </c>
      <c r="G189" s="232">
        <f t="shared" si="33"/>
        <v>28000</v>
      </c>
      <c r="H189" s="448"/>
    </row>
    <row r="190" spans="1:8" ht="14.25" customHeight="1">
      <c r="C190" s="213"/>
      <c r="D190" s="213"/>
      <c r="F190" s="213"/>
    </row>
    <row r="191" spans="1:8" ht="14.25" customHeight="1">
      <c r="C191" s="213"/>
      <c r="D191" s="213"/>
      <c r="F191" s="213"/>
    </row>
    <row r="192" spans="1:8" ht="14.25" customHeight="1">
      <c r="C192" s="213"/>
      <c r="D192" s="213"/>
      <c r="F192" s="213"/>
    </row>
    <row r="193" spans="1:8" ht="14.25" customHeight="1">
      <c r="C193" s="213"/>
      <c r="D193" s="213"/>
      <c r="F193" s="213"/>
    </row>
    <row r="194" spans="1:8" ht="14.25" customHeight="1">
      <c r="C194" s="213"/>
      <c r="D194" s="213"/>
      <c r="F194" s="213"/>
    </row>
    <row r="195" spans="1:8" ht="14.25" customHeight="1">
      <c r="C195" s="213"/>
      <c r="D195" s="213"/>
      <c r="F195" s="213"/>
    </row>
    <row r="196" spans="1:8" ht="14.25" customHeight="1">
      <c r="A196" s="214" t="s">
        <v>137</v>
      </c>
      <c r="C196" s="213"/>
      <c r="D196" s="471" t="s">
        <v>211</v>
      </c>
      <c r="E196" s="430"/>
      <c r="F196" s="430"/>
      <c r="G196" s="430"/>
    </row>
    <row r="197" spans="1:8" ht="14.25" customHeight="1">
      <c r="A197" s="214"/>
      <c r="C197" s="213"/>
      <c r="D197" s="216"/>
      <c r="E197" s="215"/>
      <c r="F197" s="216"/>
      <c r="G197" s="215"/>
    </row>
    <row r="198" spans="1:8" ht="33" customHeight="1">
      <c r="A198" s="217" t="s">
        <v>139</v>
      </c>
      <c r="B198" s="472" t="s">
        <v>93</v>
      </c>
      <c r="C198" s="430"/>
      <c r="D198" s="430"/>
      <c r="E198" s="430"/>
      <c r="F198" s="430"/>
      <c r="G198" s="218" t="s">
        <v>140</v>
      </c>
      <c r="H198" s="217" t="s">
        <v>212</v>
      </c>
    </row>
    <row r="199" spans="1:8" ht="14.25" customHeight="1">
      <c r="A199" s="214" t="s">
        <v>142</v>
      </c>
      <c r="B199" s="213" t="s">
        <v>15</v>
      </c>
      <c r="C199" s="213"/>
      <c r="D199" s="213"/>
      <c r="E199" s="213"/>
      <c r="F199" s="216" t="s">
        <v>143</v>
      </c>
      <c r="G199" s="219">
        <f>H202+H209+H215+H219</f>
        <v>1210006</v>
      </c>
    </row>
    <row r="200" spans="1:8" ht="14.25" customHeight="1">
      <c r="A200" s="214" t="s">
        <v>145</v>
      </c>
      <c r="C200" s="213"/>
      <c r="D200" s="213"/>
      <c r="E200" s="213"/>
      <c r="F200" s="213"/>
    </row>
    <row r="201" spans="1:8" ht="14.25" customHeight="1">
      <c r="A201" s="456" t="s">
        <v>147</v>
      </c>
      <c r="B201" s="457"/>
      <c r="C201" s="221" t="s">
        <v>148</v>
      </c>
      <c r="D201" s="221"/>
      <c r="E201" s="221" t="s">
        <v>149</v>
      </c>
      <c r="F201" s="221" t="s">
        <v>150</v>
      </c>
      <c r="G201" s="222" t="s">
        <v>151</v>
      </c>
      <c r="H201" s="223" t="s">
        <v>152</v>
      </c>
    </row>
    <row r="202" spans="1:8" ht="14.25" customHeight="1">
      <c r="A202" s="459" t="s">
        <v>153</v>
      </c>
      <c r="B202" s="451"/>
      <c r="C202" s="224"/>
      <c r="D202" s="224"/>
      <c r="E202" s="225">
        <f>7500</f>
        <v>7500</v>
      </c>
      <c r="F202" s="224">
        <f t="shared" ref="F202:F203" si="34">0</f>
        <v>0</v>
      </c>
      <c r="G202" s="226">
        <f t="shared" ref="G202:G205" si="35">E202*F202</f>
        <v>0</v>
      </c>
      <c r="H202" s="449">
        <f>SUM(G202:G205)</f>
        <v>7500</v>
      </c>
    </row>
    <row r="203" spans="1:8" ht="14.25" customHeight="1">
      <c r="A203" s="227" t="s">
        <v>154</v>
      </c>
      <c r="B203" s="228"/>
      <c r="C203" s="224"/>
      <c r="D203" s="224"/>
      <c r="E203" s="225">
        <f>20110/8</f>
        <v>2513.75</v>
      </c>
      <c r="F203" s="224">
        <f t="shared" si="34"/>
        <v>0</v>
      </c>
      <c r="G203" s="226">
        <f t="shared" si="35"/>
        <v>0</v>
      </c>
      <c r="H203" s="447"/>
    </row>
    <row r="204" spans="1:8" ht="14.25" customHeight="1">
      <c r="A204" s="227" t="s">
        <v>155</v>
      </c>
      <c r="B204" s="228"/>
      <c r="C204" s="224"/>
      <c r="D204" s="224"/>
      <c r="E204" s="225">
        <f>60000/8</f>
        <v>7500</v>
      </c>
      <c r="F204" s="224">
        <f>8*0</f>
        <v>0</v>
      </c>
      <c r="G204" s="226">
        <f t="shared" si="35"/>
        <v>0</v>
      </c>
      <c r="H204" s="447"/>
    </row>
    <row r="205" spans="1:8" ht="14.25" customHeight="1">
      <c r="A205" s="460" t="s">
        <v>156</v>
      </c>
      <c r="B205" s="454"/>
      <c r="C205" s="229"/>
      <c r="D205" s="229"/>
      <c r="E205" s="230">
        <f>2500</f>
        <v>2500</v>
      </c>
      <c r="F205" s="231">
        <f>3</f>
        <v>3</v>
      </c>
      <c r="G205" s="232">
        <f t="shared" si="35"/>
        <v>7500</v>
      </c>
      <c r="H205" s="448"/>
    </row>
    <row r="206" spans="1:8" ht="14.25" customHeight="1">
      <c r="C206" s="213"/>
      <c r="D206" s="213"/>
      <c r="E206" s="213"/>
      <c r="F206" s="213"/>
    </row>
    <row r="207" spans="1:8" ht="14.25" customHeight="1">
      <c r="A207" s="246" t="s">
        <v>157</v>
      </c>
      <c r="B207" s="228"/>
      <c r="C207" s="224"/>
      <c r="D207" s="224"/>
      <c r="E207" s="224"/>
      <c r="F207" s="224"/>
      <c r="G207" s="228"/>
      <c r="H207" s="228"/>
    </row>
    <row r="208" spans="1:8" ht="14.25" customHeight="1">
      <c r="A208" s="228" t="s">
        <v>147</v>
      </c>
      <c r="B208" s="228"/>
      <c r="C208" s="224" t="s">
        <v>158</v>
      </c>
      <c r="D208" s="224"/>
      <c r="E208" s="224" t="s">
        <v>159</v>
      </c>
      <c r="F208" s="224" t="s">
        <v>160</v>
      </c>
      <c r="G208" s="228" t="s">
        <v>161</v>
      </c>
      <c r="H208" s="224" t="s">
        <v>152</v>
      </c>
    </row>
    <row r="209" spans="1:9" ht="14.25" customHeight="1">
      <c r="A209" s="474"/>
      <c r="B209" s="451"/>
      <c r="C209" s="247"/>
      <c r="D209" s="247"/>
      <c r="E209" s="248"/>
      <c r="F209" s="249"/>
      <c r="G209" s="250">
        <f t="shared" ref="G209:G211" si="36">E209*F209</f>
        <v>0</v>
      </c>
      <c r="H209" s="467">
        <f>SUM(G209:G211)</f>
        <v>1115006</v>
      </c>
    </row>
    <row r="210" spans="1:9" ht="14.25" customHeight="1">
      <c r="A210" s="474" t="s">
        <v>213</v>
      </c>
      <c r="B210" s="451"/>
      <c r="C210" s="247" t="s">
        <v>15</v>
      </c>
      <c r="D210" s="213"/>
      <c r="E210" s="250">
        <f>741443+395704-(22141)</f>
        <v>1115006</v>
      </c>
      <c r="F210" s="252">
        <f>1</f>
        <v>1</v>
      </c>
      <c r="G210" s="250">
        <f t="shared" si="36"/>
        <v>1115006</v>
      </c>
      <c r="H210" s="468"/>
      <c r="I210" s="220"/>
    </row>
    <row r="211" spans="1:9" ht="14.25" customHeight="1">
      <c r="A211" s="474"/>
      <c r="B211" s="451"/>
      <c r="C211" s="247"/>
      <c r="D211" s="247"/>
      <c r="E211" s="251"/>
      <c r="F211" s="249"/>
      <c r="G211" s="250">
        <f t="shared" si="36"/>
        <v>0</v>
      </c>
      <c r="H211" s="469"/>
    </row>
    <row r="212" spans="1:9" ht="14.25" customHeight="1">
      <c r="C212" s="213"/>
      <c r="D212" s="213"/>
      <c r="E212" s="213"/>
      <c r="F212" s="213"/>
    </row>
    <row r="213" spans="1:9" ht="14.25" customHeight="1">
      <c r="A213" s="214" t="s">
        <v>165</v>
      </c>
      <c r="C213" s="213"/>
      <c r="D213" s="213"/>
      <c r="E213" s="213"/>
      <c r="F213" s="213"/>
    </row>
    <row r="214" spans="1:9" ht="14.25" customHeight="1">
      <c r="A214" s="456" t="s">
        <v>147</v>
      </c>
      <c r="B214" s="457"/>
      <c r="C214" s="221" t="s">
        <v>166</v>
      </c>
      <c r="D214" s="221" t="s">
        <v>167</v>
      </c>
      <c r="E214" s="221" t="s">
        <v>168</v>
      </c>
      <c r="F214" s="221" t="s">
        <v>169</v>
      </c>
      <c r="G214" s="221" t="s">
        <v>170</v>
      </c>
      <c r="H214" s="240" t="s">
        <v>152</v>
      </c>
    </row>
    <row r="215" spans="1:9" ht="14.25" customHeight="1">
      <c r="A215" s="458" t="s">
        <v>171</v>
      </c>
      <c r="B215" s="454"/>
      <c r="C215" s="229">
        <f>1</f>
        <v>1</v>
      </c>
      <c r="D215" s="231">
        <f>27.504</f>
        <v>27.504000000000001</v>
      </c>
      <c r="E215" s="241">
        <f>369.3</f>
        <v>369.3</v>
      </c>
      <c r="F215" s="229">
        <f>2.5</f>
        <v>2.5</v>
      </c>
      <c r="G215" s="232">
        <f>E215*D215*F215*0</f>
        <v>0</v>
      </c>
      <c r="H215" s="242">
        <f>+G215</f>
        <v>0</v>
      </c>
    </row>
    <row r="216" spans="1:9" ht="14.25" customHeight="1">
      <c r="C216" s="213"/>
      <c r="D216" s="213"/>
      <c r="E216" s="213"/>
      <c r="F216" s="213"/>
    </row>
    <row r="217" spans="1:9" ht="14.25" customHeight="1">
      <c r="A217" s="214" t="s">
        <v>172</v>
      </c>
      <c r="C217" s="213"/>
      <c r="D217" s="213"/>
      <c r="E217" s="213"/>
      <c r="F217" s="213"/>
    </row>
    <row r="218" spans="1:9" ht="14.25" customHeight="1">
      <c r="A218" s="233" t="s">
        <v>147</v>
      </c>
      <c r="B218" s="222"/>
      <c r="C218" s="221" t="s">
        <v>173</v>
      </c>
      <c r="D218" s="221" t="s">
        <v>174</v>
      </c>
      <c r="E218" s="221" t="s">
        <v>175</v>
      </c>
      <c r="F218" s="221" t="s">
        <v>150</v>
      </c>
      <c r="G218" s="243" t="s">
        <v>176</v>
      </c>
      <c r="H218" s="223" t="s">
        <v>152</v>
      </c>
    </row>
    <row r="219" spans="1:9" ht="14.25" customHeight="1">
      <c r="A219" s="459" t="s">
        <v>177</v>
      </c>
      <c r="B219" s="451"/>
      <c r="C219" s="225">
        <v>55000</v>
      </c>
      <c r="D219" s="224">
        <v>0</v>
      </c>
      <c r="E219" s="225">
        <f>C219</f>
        <v>55000</v>
      </c>
      <c r="F219" s="244">
        <f t="shared" ref="F219:F220" si="37">70%</f>
        <v>0.7</v>
      </c>
      <c r="G219" s="226">
        <f t="shared" ref="G219:G220" si="38">E219*F219</f>
        <v>38500</v>
      </c>
      <c r="H219" s="449">
        <f>G219+G220</f>
        <v>87500</v>
      </c>
    </row>
    <row r="220" spans="1:9" ht="14.25" customHeight="1">
      <c r="A220" s="460" t="s">
        <v>178</v>
      </c>
      <c r="B220" s="454"/>
      <c r="C220" s="230">
        <v>35000</v>
      </c>
      <c r="D220" s="229">
        <v>0</v>
      </c>
      <c r="E220" s="230">
        <f>C220*2</f>
        <v>70000</v>
      </c>
      <c r="F220" s="245">
        <f t="shared" si="37"/>
        <v>0.7</v>
      </c>
      <c r="G220" s="232">
        <f t="shared" si="38"/>
        <v>49000</v>
      </c>
      <c r="H220" s="448"/>
    </row>
    <row r="221" spans="1:9" ht="14.25" customHeight="1">
      <c r="C221" s="213"/>
      <c r="D221" s="213"/>
      <c r="F221" s="213"/>
    </row>
    <row r="222" spans="1:9" ht="14.25" customHeight="1">
      <c r="C222" s="213"/>
      <c r="D222" s="213"/>
      <c r="F222" s="213"/>
    </row>
    <row r="223" spans="1:9" ht="14.25" customHeight="1">
      <c r="C223" s="213"/>
      <c r="D223" s="213"/>
      <c r="F223" s="213"/>
    </row>
    <row r="224" spans="1:9" ht="14.25" customHeight="1">
      <c r="C224" s="213"/>
      <c r="D224" s="213"/>
      <c r="F224" s="213"/>
    </row>
    <row r="225" spans="1:9" ht="14.25" customHeight="1">
      <c r="C225" s="213"/>
      <c r="D225" s="213"/>
      <c r="F225" s="213"/>
    </row>
    <row r="226" spans="1:9" ht="14.25" customHeight="1">
      <c r="C226" s="213"/>
      <c r="D226" s="213"/>
      <c r="F226" s="213"/>
    </row>
    <row r="227" spans="1:9" ht="14.25" customHeight="1">
      <c r="C227" s="213"/>
      <c r="D227" s="213"/>
      <c r="F227" s="213"/>
    </row>
    <row r="228" spans="1:9" ht="14.25" customHeight="1">
      <c r="A228" s="214" t="s">
        <v>137</v>
      </c>
      <c r="C228" s="213"/>
      <c r="D228" s="471" t="s">
        <v>214</v>
      </c>
      <c r="E228" s="430"/>
      <c r="F228" s="430"/>
      <c r="G228" s="430"/>
    </row>
    <row r="229" spans="1:9" ht="14.25" customHeight="1">
      <c r="A229" s="214"/>
      <c r="C229" s="213"/>
      <c r="D229" s="216"/>
      <c r="E229" s="215"/>
      <c r="F229" s="216"/>
      <c r="G229" s="215"/>
    </row>
    <row r="230" spans="1:9" ht="14.25" customHeight="1">
      <c r="A230" s="217" t="s">
        <v>139</v>
      </c>
      <c r="B230" s="472" t="s">
        <v>215</v>
      </c>
      <c r="C230" s="430"/>
      <c r="D230" s="430"/>
      <c r="E230" s="430"/>
      <c r="F230" s="430"/>
      <c r="G230" s="218" t="s">
        <v>140</v>
      </c>
      <c r="H230" s="217" t="s">
        <v>216</v>
      </c>
    </row>
    <row r="231" spans="1:9" ht="14.25" customHeight="1">
      <c r="A231" s="214" t="s">
        <v>142</v>
      </c>
      <c r="B231" s="213" t="s">
        <v>15</v>
      </c>
      <c r="C231" s="213"/>
      <c r="D231" s="213"/>
      <c r="E231" s="213"/>
      <c r="F231" s="216" t="s">
        <v>143</v>
      </c>
      <c r="G231" s="219">
        <f>H234+H241+H247+H251</f>
        <v>207147</v>
      </c>
    </row>
    <row r="232" spans="1:9" ht="14.25" customHeight="1">
      <c r="A232" s="214" t="s">
        <v>145</v>
      </c>
      <c r="C232" s="213"/>
      <c r="D232" s="213"/>
      <c r="E232" s="213"/>
      <c r="F232" s="213"/>
    </row>
    <row r="233" spans="1:9" ht="14.25" customHeight="1">
      <c r="A233" s="456" t="s">
        <v>147</v>
      </c>
      <c r="B233" s="457"/>
      <c r="C233" s="221" t="s">
        <v>148</v>
      </c>
      <c r="D233" s="221"/>
      <c r="E233" s="221" t="s">
        <v>149</v>
      </c>
      <c r="F233" s="221" t="s">
        <v>150</v>
      </c>
      <c r="G233" s="222" t="s">
        <v>151</v>
      </c>
      <c r="H233" s="223" t="s">
        <v>152</v>
      </c>
      <c r="I233" s="220"/>
    </row>
    <row r="234" spans="1:9" ht="14.25" customHeight="1">
      <c r="A234" s="459" t="s">
        <v>153</v>
      </c>
      <c r="B234" s="451"/>
      <c r="C234" s="224"/>
      <c r="D234" s="224"/>
      <c r="E234" s="225">
        <f>7500</f>
        <v>7500</v>
      </c>
      <c r="F234" s="224">
        <f t="shared" ref="F234:F235" si="39">0</f>
        <v>0</v>
      </c>
      <c r="G234" s="226">
        <f t="shared" ref="G234:G237" si="40">E234*F234</f>
        <v>0</v>
      </c>
      <c r="H234" s="449">
        <f>SUM(G234:G237)</f>
        <v>7500</v>
      </c>
    </row>
    <row r="235" spans="1:9" ht="14.25" customHeight="1">
      <c r="A235" s="227" t="s">
        <v>154</v>
      </c>
      <c r="B235" s="228"/>
      <c r="C235" s="224"/>
      <c r="D235" s="224"/>
      <c r="E235" s="225">
        <f>20110/8</f>
        <v>2513.75</v>
      </c>
      <c r="F235" s="224">
        <f t="shared" si="39"/>
        <v>0</v>
      </c>
      <c r="G235" s="226">
        <f t="shared" si="40"/>
        <v>0</v>
      </c>
      <c r="H235" s="447"/>
    </row>
    <row r="236" spans="1:9" ht="14.25" customHeight="1">
      <c r="A236" s="227" t="s">
        <v>155</v>
      </c>
      <c r="B236" s="228"/>
      <c r="C236" s="224"/>
      <c r="D236" s="224"/>
      <c r="E236" s="225">
        <f>60000/8</f>
        <v>7500</v>
      </c>
      <c r="F236" s="224">
        <f>8*0</f>
        <v>0</v>
      </c>
      <c r="G236" s="226">
        <f t="shared" si="40"/>
        <v>0</v>
      </c>
      <c r="H236" s="447"/>
    </row>
    <row r="237" spans="1:9" ht="14.25" customHeight="1">
      <c r="A237" s="460" t="s">
        <v>156</v>
      </c>
      <c r="B237" s="454"/>
      <c r="C237" s="229"/>
      <c r="D237" s="229"/>
      <c r="E237" s="230">
        <f>2500</f>
        <v>2500</v>
      </c>
      <c r="F237" s="231">
        <f>3</f>
        <v>3</v>
      </c>
      <c r="G237" s="232">
        <f t="shared" si="40"/>
        <v>7500</v>
      </c>
      <c r="H237" s="448"/>
    </row>
    <row r="238" spans="1:9" ht="14.25" customHeight="1">
      <c r="C238" s="213"/>
      <c r="D238" s="213"/>
      <c r="E238" s="213"/>
      <c r="F238" s="213"/>
    </row>
    <row r="239" spans="1:9" ht="14.25" customHeight="1">
      <c r="A239" s="246" t="s">
        <v>157</v>
      </c>
      <c r="B239" s="228"/>
      <c r="C239" s="224"/>
      <c r="D239" s="224"/>
      <c r="E239" s="224"/>
      <c r="F239" s="224"/>
      <c r="G239" s="228"/>
      <c r="H239" s="228"/>
    </row>
    <row r="240" spans="1:9" ht="14.25" customHeight="1">
      <c r="A240" s="228" t="s">
        <v>147</v>
      </c>
      <c r="B240" s="228"/>
      <c r="C240" s="224" t="s">
        <v>158</v>
      </c>
      <c r="D240" s="224"/>
      <c r="E240" s="224" t="s">
        <v>159</v>
      </c>
      <c r="F240" s="224" t="s">
        <v>160</v>
      </c>
      <c r="G240" s="228" t="s">
        <v>161</v>
      </c>
      <c r="H240" s="224" t="s">
        <v>152</v>
      </c>
    </row>
    <row r="241" spans="1:8" ht="14.25" customHeight="1">
      <c r="A241" s="474"/>
      <c r="B241" s="451"/>
      <c r="C241" s="247"/>
      <c r="D241" s="247"/>
      <c r="E241" s="248"/>
      <c r="F241" s="249"/>
      <c r="G241" s="250">
        <f t="shared" ref="G241:G243" si="41">E241*F241</f>
        <v>0</v>
      </c>
      <c r="H241" s="467">
        <f>SUM(G241:G243)</f>
        <v>137147</v>
      </c>
    </row>
    <row r="242" spans="1:8" ht="14.25" customHeight="1">
      <c r="A242" s="474" t="s">
        <v>217</v>
      </c>
      <c r="B242" s="451"/>
      <c r="C242" s="247" t="s">
        <v>15</v>
      </c>
      <c r="D242" s="213"/>
      <c r="E242" s="250">
        <f>140000-2853</f>
        <v>137147</v>
      </c>
      <c r="F242" s="252">
        <f>1</f>
        <v>1</v>
      </c>
      <c r="G242" s="250">
        <f t="shared" si="41"/>
        <v>137147</v>
      </c>
      <c r="H242" s="468"/>
    </row>
    <row r="243" spans="1:8" ht="14.25" customHeight="1">
      <c r="A243" s="474"/>
      <c r="B243" s="451"/>
      <c r="C243" s="247"/>
      <c r="D243" s="247"/>
      <c r="E243" s="251"/>
      <c r="F243" s="249"/>
      <c r="G243" s="250">
        <f t="shared" si="41"/>
        <v>0</v>
      </c>
      <c r="H243" s="469"/>
    </row>
    <row r="244" spans="1:8" ht="14.25" customHeight="1">
      <c r="C244" s="213"/>
      <c r="D244" s="213"/>
      <c r="E244" s="213"/>
      <c r="F244" s="213"/>
    </row>
    <row r="245" spans="1:8" ht="14.25" customHeight="1">
      <c r="A245" s="214" t="s">
        <v>165</v>
      </c>
      <c r="C245" s="213"/>
      <c r="D245" s="213"/>
      <c r="E245" s="213"/>
      <c r="F245" s="213"/>
    </row>
    <row r="246" spans="1:8" ht="14.25" customHeight="1">
      <c r="A246" s="456" t="s">
        <v>147</v>
      </c>
      <c r="B246" s="457"/>
      <c r="C246" s="221" t="s">
        <v>166</v>
      </c>
      <c r="D246" s="221" t="s">
        <v>167</v>
      </c>
      <c r="E246" s="221" t="s">
        <v>168</v>
      </c>
      <c r="F246" s="221" t="s">
        <v>169</v>
      </c>
      <c r="G246" s="221" t="s">
        <v>170</v>
      </c>
      <c r="H246" s="240" t="s">
        <v>152</v>
      </c>
    </row>
    <row r="247" spans="1:8" ht="14.25" customHeight="1">
      <c r="A247" s="458" t="s">
        <v>171</v>
      </c>
      <c r="B247" s="454"/>
      <c r="C247" s="229">
        <f>1</f>
        <v>1</v>
      </c>
      <c r="D247" s="231">
        <f>27.504</f>
        <v>27.504000000000001</v>
      </c>
      <c r="E247" s="241">
        <f>369.3</f>
        <v>369.3</v>
      </c>
      <c r="F247" s="229">
        <f>2.5</f>
        <v>2.5</v>
      </c>
      <c r="G247" s="232">
        <f>E247*D247*F247*0</f>
        <v>0</v>
      </c>
      <c r="H247" s="242">
        <f>+G247</f>
        <v>0</v>
      </c>
    </row>
    <row r="248" spans="1:8" ht="14.25" customHeight="1">
      <c r="C248" s="213"/>
      <c r="D248" s="213"/>
      <c r="E248" s="213"/>
      <c r="F248" s="213"/>
    </row>
    <row r="249" spans="1:8" ht="14.25" customHeight="1">
      <c r="A249" s="214" t="s">
        <v>172</v>
      </c>
      <c r="C249" s="213"/>
      <c r="D249" s="213"/>
      <c r="E249" s="213"/>
      <c r="F249" s="213"/>
    </row>
    <row r="250" spans="1:8" ht="14.25" customHeight="1">
      <c r="A250" s="233" t="s">
        <v>147</v>
      </c>
      <c r="B250" s="222"/>
      <c r="C250" s="221" t="s">
        <v>173</v>
      </c>
      <c r="D250" s="221" t="s">
        <v>174</v>
      </c>
      <c r="E250" s="221" t="s">
        <v>175</v>
      </c>
      <c r="F250" s="221" t="s">
        <v>150</v>
      </c>
      <c r="G250" s="243" t="s">
        <v>176</v>
      </c>
      <c r="H250" s="223" t="s">
        <v>152</v>
      </c>
    </row>
    <row r="251" spans="1:8" ht="14.25" customHeight="1">
      <c r="A251" s="459" t="s">
        <v>177</v>
      </c>
      <c r="B251" s="451"/>
      <c r="C251" s="225">
        <v>55000</v>
      </c>
      <c r="D251" s="224">
        <v>0</v>
      </c>
      <c r="E251" s="225">
        <f>C251</f>
        <v>55000</v>
      </c>
      <c r="F251" s="244">
        <f t="shared" ref="F251:F252" si="42">50%</f>
        <v>0.5</v>
      </c>
      <c r="G251" s="226">
        <f t="shared" ref="G251:G252" si="43">E251*F251</f>
        <v>27500</v>
      </c>
      <c r="H251" s="449">
        <f>G251+G252</f>
        <v>62500</v>
      </c>
    </row>
    <row r="252" spans="1:8" ht="14.25" customHeight="1">
      <c r="A252" s="460" t="s">
        <v>188</v>
      </c>
      <c r="B252" s="454"/>
      <c r="C252" s="230">
        <v>35000</v>
      </c>
      <c r="D252" s="229">
        <v>0</v>
      </c>
      <c r="E252" s="230">
        <f>C252*2</f>
        <v>70000</v>
      </c>
      <c r="F252" s="245">
        <f t="shared" si="42"/>
        <v>0.5</v>
      </c>
      <c r="G252" s="232">
        <f t="shared" si="43"/>
        <v>35000</v>
      </c>
      <c r="H252" s="448"/>
    </row>
    <row r="253" spans="1:8" ht="14.25" customHeight="1">
      <c r="C253" s="213"/>
      <c r="D253" s="213"/>
      <c r="F253" s="213"/>
    </row>
    <row r="254" spans="1:8" ht="14.25" customHeight="1">
      <c r="C254" s="213"/>
      <c r="D254" s="213"/>
      <c r="F254" s="213"/>
    </row>
    <row r="255" spans="1:8" ht="14.25" customHeight="1">
      <c r="C255" s="213"/>
      <c r="D255" s="213"/>
      <c r="F255" s="213"/>
    </row>
    <row r="256" spans="1:8" ht="14.25" customHeight="1">
      <c r="C256" s="213"/>
      <c r="D256" s="213"/>
      <c r="F256" s="213"/>
    </row>
    <row r="257" spans="1:9" ht="14.25" customHeight="1">
      <c r="C257" s="213"/>
      <c r="D257" s="213"/>
      <c r="F257" s="213"/>
    </row>
    <row r="258" spans="1:9" ht="14.25" customHeight="1">
      <c r="C258" s="213"/>
      <c r="D258" s="213"/>
      <c r="F258" s="213"/>
    </row>
    <row r="259" spans="1:9" ht="14.25" customHeight="1">
      <c r="C259" s="213"/>
      <c r="D259" s="213"/>
      <c r="F259" s="213"/>
    </row>
    <row r="260" spans="1:9" ht="14.25" customHeight="1">
      <c r="A260" s="214" t="s">
        <v>137</v>
      </c>
      <c r="C260" s="213"/>
      <c r="D260" s="471" t="s">
        <v>218</v>
      </c>
      <c r="E260" s="430"/>
      <c r="F260" s="430"/>
      <c r="G260" s="430"/>
    </row>
    <row r="261" spans="1:9" ht="14.25" customHeight="1">
      <c r="A261" s="214"/>
      <c r="C261" s="213"/>
      <c r="D261" s="216"/>
      <c r="E261" s="215"/>
      <c r="F261" s="216"/>
      <c r="G261" s="215"/>
    </row>
    <row r="262" spans="1:9" ht="14.25" customHeight="1">
      <c r="A262" s="217" t="s">
        <v>139</v>
      </c>
      <c r="B262" s="472" t="s">
        <v>219</v>
      </c>
      <c r="C262" s="430"/>
      <c r="D262" s="430"/>
      <c r="E262" s="430"/>
      <c r="F262" s="430"/>
      <c r="G262" s="218" t="s">
        <v>140</v>
      </c>
      <c r="H262" s="217" t="s">
        <v>220</v>
      </c>
    </row>
    <row r="263" spans="1:9" ht="14.25" customHeight="1">
      <c r="A263" s="214" t="s">
        <v>142</v>
      </c>
      <c r="B263" s="213" t="s">
        <v>15</v>
      </c>
      <c r="C263" s="213"/>
      <c r="D263" s="213"/>
      <c r="E263" s="213"/>
      <c r="F263" s="216" t="s">
        <v>143</v>
      </c>
      <c r="G263" s="219">
        <f>H266+H273+H279+H283</f>
        <v>1255775.75</v>
      </c>
      <c r="I263">
        <f>1150000</f>
        <v>1150000</v>
      </c>
    </row>
    <row r="264" spans="1:9" ht="14.25" customHeight="1">
      <c r="A264" s="214" t="s">
        <v>145</v>
      </c>
      <c r="C264" s="213"/>
      <c r="D264" s="213"/>
      <c r="E264" s="213"/>
      <c r="F264" s="213"/>
    </row>
    <row r="265" spans="1:9" ht="14.25" customHeight="1">
      <c r="A265" s="456" t="s">
        <v>147</v>
      </c>
      <c r="B265" s="457"/>
      <c r="C265" s="221" t="s">
        <v>148</v>
      </c>
      <c r="D265" s="221"/>
      <c r="E265" s="221" t="s">
        <v>149</v>
      </c>
      <c r="F265" s="221" t="s">
        <v>150</v>
      </c>
      <c r="G265" s="222" t="s">
        <v>151</v>
      </c>
      <c r="H265" s="223" t="s">
        <v>152</v>
      </c>
    </row>
    <row r="266" spans="1:9" ht="14.25" customHeight="1">
      <c r="A266" s="459" t="s">
        <v>153</v>
      </c>
      <c r="B266" s="451"/>
      <c r="C266" s="224"/>
      <c r="D266" s="224"/>
      <c r="E266" s="225">
        <f>7500</f>
        <v>7500</v>
      </c>
      <c r="F266" s="224">
        <f>8</f>
        <v>8</v>
      </c>
      <c r="G266" s="226">
        <f t="shared" ref="G266:G269" si="44">E266*F266</f>
        <v>60000</v>
      </c>
      <c r="H266" s="449">
        <f>SUM(G266:G269)</f>
        <v>67955.75</v>
      </c>
    </row>
    <row r="267" spans="1:9" ht="14.25" customHeight="1">
      <c r="A267" s="227" t="s">
        <v>154</v>
      </c>
      <c r="B267" s="228"/>
      <c r="C267" s="224"/>
      <c r="D267" s="224"/>
      <c r="E267" s="225">
        <f>20110/8</f>
        <v>2513.75</v>
      </c>
      <c r="F267" s="224">
        <f>0</f>
        <v>0</v>
      </c>
      <c r="G267" s="226">
        <f t="shared" si="44"/>
        <v>0</v>
      </c>
      <c r="H267" s="447"/>
    </row>
    <row r="268" spans="1:9" ht="14.25" customHeight="1">
      <c r="A268" s="227" t="s">
        <v>155</v>
      </c>
      <c r="B268" s="228"/>
      <c r="C268" s="224"/>
      <c r="D268" s="224"/>
      <c r="E268" s="225">
        <f>60000/8</f>
        <v>7500</v>
      </c>
      <c r="F268" s="224">
        <f>8*0</f>
        <v>0</v>
      </c>
      <c r="G268" s="226">
        <f t="shared" si="44"/>
        <v>0</v>
      </c>
      <c r="H268" s="447"/>
    </row>
    <row r="269" spans="1:9" ht="14.25" customHeight="1">
      <c r="A269" s="460" t="s">
        <v>156</v>
      </c>
      <c r="B269" s="454"/>
      <c r="C269" s="229"/>
      <c r="D269" s="229"/>
      <c r="E269" s="230">
        <f>2500</f>
        <v>2500</v>
      </c>
      <c r="F269" s="231">
        <f>3.1823</f>
        <v>3.1823000000000001</v>
      </c>
      <c r="G269" s="232">
        <f t="shared" si="44"/>
        <v>7955.75</v>
      </c>
      <c r="H269" s="448"/>
    </row>
    <row r="270" spans="1:9" ht="14.25" customHeight="1">
      <c r="C270" s="213"/>
      <c r="D270" s="213"/>
      <c r="E270" s="213"/>
      <c r="F270" s="213"/>
    </row>
    <row r="271" spans="1:9" ht="14.25" customHeight="1">
      <c r="A271" s="246" t="s">
        <v>157</v>
      </c>
      <c r="B271" s="228"/>
      <c r="C271" s="224"/>
      <c r="D271" s="224"/>
      <c r="E271" s="224"/>
      <c r="F271" s="224"/>
      <c r="G271" s="228"/>
      <c r="H271" s="228"/>
    </row>
    <row r="272" spans="1:9" ht="14.25" customHeight="1">
      <c r="A272" s="228" t="s">
        <v>147</v>
      </c>
      <c r="B272" s="228"/>
      <c r="C272" s="224" t="s">
        <v>158</v>
      </c>
      <c r="D272" s="224"/>
      <c r="E272" s="224" t="s">
        <v>159</v>
      </c>
      <c r="F272" s="224" t="s">
        <v>160</v>
      </c>
      <c r="G272" s="228" t="s">
        <v>161</v>
      </c>
      <c r="H272" s="224" t="s">
        <v>152</v>
      </c>
    </row>
    <row r="273" spans="1:9" ht="14.25" customHeight="1">
      <c r="A273" s="474" t="s">
        <v>221</v>
      </c>
      <c r="B273" s="451"/>
      <c r="C273" s="247" t="s">
        <v>26</v>
      </c>
      <c r="D273" s="247"/>
      <c r="E273" s="248">
        <f>172584/2.16</f>
        <v>79900</v>
      </c>
      <c r="F273" s="249">
        <f>3</f>
        <v>3</v>
      </c>
      <c r="G273" s="250">
        <f t="shared" ref="G273:G275" si="45">E273*F273</f>
        <v>239700</v>
      </c>
      <c r="H273" s="467">
        <f>SUM(G273:G275)</f>
        <v>262820</v>
      </c>
    </row>
    <row r="274" spans="1:9" ht="14.25" customHeight="1">
      <c r="A274" s="474" t="s">
        <v>222</v>
      </c>
      <c r="B274" s="451"/>
      <c r="C274" s="247" t="s">
        <v>15</v>
      </c>
      <c r="D274" s="213"/>
      <c r="E274" s="250">
        <f>1260</f>
        <v>1260</v>
      </c>
      <c r="F274" s="252">
        <f>12</f>
        <v>12</v>
      </c>
      <c r="G274" s="250">
        <f t="shared" si="45"/>
        <v>15120</v>
      </c>
      <c r="H274" s="468"/>
      <c r="I274" s="220"/>
    </row>
    <row r="275" spans="1:9" ht="14.25" customHeight="1">
      <c r="A275" s="474" t="s">
        <v>223</v>
      </c>
      <c r="B275" s="451"/>
      <c r="C275" s="247" t="s">
        <v>24</v>
      </c>
      <c r="D275" s="247"/>
      <c r="E275" s="251">
        <f>12000/6</f>
        <v>2000</v>
      </c>
      <c r="F275" s="249">
        <f>4</f>
        <v>4</v>
      </c>
      <c r="G275" s="250">
        <f t="shared" si="45"/>
        <v>8000</v>
      </c>
      <c r="H275" s="469"/>
    </row>
    <row r="276" spans="1:9" ht="14.25" customHeight="1">
      <c r="C276" s="213"/>
      <c r="D276" s="213"/>
      <c r="E276" s="213"/>
      <c r="F276" s="213"/>
    </row>
    <row r="277" spans="1:9" ht="14.25" customHeight="1">
      <c r="A277" s="214" t="s">
        <v>165</v>
      </c>
      <c r="C277" s="213"/>
      <c r="D277" s="213"/>
      <c r="E277" s="213"/>
      <c r="F277" s="213"/>
    </row>
    <row r="278" spans="1:9" ht="14.25" customHeight="1">
      <c r="A278" s="456" t="s">
        <v>147</v>
      </c>
      <c r="B278" s="457"/>
      <c r="C278" s="221" t="s">
        <v>166</v>
      </c>
      <c r="D278" s="221" t="s">
        <v>167</v>
      </c>
      <c r="E278" s="221" t="s">
        <v>168</v>
      </c>
      <c r="F278" s="221" t="s">
        <v>169</v>
      </c>
      <c r="G278" s="221" t="s">
        <v>170</v>
      </c>
      <c r="H278" s="240" t="s">
        <v>152</v>
      </c>
    </row>
    <row r="279" spans="1:9" ht="14.25" customHeight="1">
      <c r="A279" s="458" t="s">
        <v>171</v>
      </c>
      <c r="B279" s="454"/>
      <c r="C279" s="229">
        <f>1</f>
        <v>1</v>
      </c>
      <c r="D279" s="231">
        <f>27.504</f>
        <v>27.504000000000001</v>
      </c>
      <c r="E279" s="241">
        <f>369.3</f>
        <v>369.3</v>
      </c>
      <c r="F279" s="229">
        <f>2.5</f>
        <v>2.5</v>
      </c>
      <c r="G279" s="232">
        <f>E279*D279*F279*0</f>
        <v>0</v>
      </c>
      <c r="H279" s="242">
        <f>+G279</f>
        <v>0</v>
      </c>
    </row>
    <row r="280" spans="1:9" ht="14.25" customHeight="1">
      <c r="C280" s="213"/>
      <c r="D280" s="213"/>
      <c r="E280" s="213"/>
      <c r="F280" s="213"/>
    </row>
    <row r="281" spans="1:9" ht="14.25" customHeight="1">
      <c r="A281" s="214" t="s">
        <v>172</v>
      </c>
      <c r="C281" s="213"/>
      <c r="D281" s="213"/>
      <c r="E281" s="213"/>
      <c r="F281" s="213"/>
    </row>
    <row r="282" spans="1:9" ht="14.25" customHeight="1">
      <c r="A282" s="233" t="s">
        <v>147</v>
      </c>
      <c r="B282" s="222"/>
      <c r="C282" s="221" t="s">
        <v>173</v>
      </c>
      <c r="D282" s="221" t="s">
        <v>174</v>
      </c>
      <c r="E282" s="221" t="s">
        <v>175</v>
      </c>
      <c r="F282" s="221" t="s">
        <v>150</v>
      </c>
      <c r="G282" s="243" t="s">
        <v>176</v>
      </c>
      <c r="H282" s="223" t="s">
        <v>152</v>
      </c>
    </row>
    <row r="283" spans="1:9" ht="14.25" customHeight="1">
      <c r="A283" s="459" t="s">
        <v>177</v>
      </c>
      <c r="B283" s="451"/>
      <c r="C283" s="225">
        <v>55000</v>
      </c>
      <c r="D283" s="224">
        <v>0</v>
      </c>
      <c r="E283" s="225">
        <f>C283</f>
        <v>55000</v>
      </c>
      <c r="F283" s="244">
        <f t="shared" ref="F283:F284" si="46">740%</f>
        <v>7.4</v>
      </c>
      <c r="G283" s="226">
        <f t="shared" ref="G283:G284" si="47">E283*F283</f>
        <v>407000</v>
      </c>
      <c r="H283" s="449">
        <f>G283+G284</f>
        <v>925000</v>
      </c>
    </row>
    <row r="284" spans="1:9" ht="14.25" customHeight="1">
      <c r="A284" s="460" t="s">
        <v>188</v>
      </c>
      <c r="B284" s="454"/>
      <c r="C284" s="230">
        <v>35000</v>
      </c>
      <c r="D284" s="229">
        <v>0</v>
      </c>
      <c r="E284" s="230">
        <f>C284*2</f>
        <v>70000</v>
      </c>
      <c r="F284" s="245">
        <f t="shared" si="46"/>
        <v>7.4</v>
      </c>
      <c r="G284" s="232">
        <f t="shared" si="47"/>
        <v>518000</v>
      </c>
      <c r="H284" s="448"/>
    </row>
    <row r="285" spans="1:9" ht="14.25" customHeight="1">
      <c r="C285" s="213"/>
      <c r="D285" s="213"/>
      <c r="F285" s="213"/>
    </row>
    <row r="286" spans="1:9" ht="14.25" customHeight="1">
      <c r="C286" s="213"/>
      <c r="D286" s="213"/>
      <c r="F286" s="213"/>
    </row>
    <row r="287" spans="1:9" ht="14.25" customHeight="1">
      <c r="C287" s="213"/>
      <c r="D287" s="213"/>
      <c r="F287" s="213"/>
    </row>
    <row r="288" spans="1:9" ht="14.25" customHeight="1">
      <c r="C288" s="213"/>
      <c r="D288" s="213"/>
      <c r="F288" s="213"/>
    </row>
    <row r="289" spans="1:8" ht="14.25" customHeight="1">
      <c r="C289" s="213"/>
      <c r="D289" s="213"/>
      <c r="F289" s="213"/>
    </row>
    <row r="290" spans="1:8" ht="14.25" customHeight="1">
      <c r="C290" s="213"/>
      <c r="D290" s="213"/>
      <c r="F290" s="213"/>
    </row>
    <row r="291" spans="1:8" ht="14.25" customHeight="1">
      <c r="A291" s="214" t="s">
        <v>137</v>
      </c>
      <c r="C291" s="213"/>
      <c r="D291" s="471" t="s">
        <v>224</v>
      </c>
      <c r="E291" s="430"/>
      <c r="F291" s="430"/>
      <c r="G291" s="430"/>
    </row>
    <row r="292" spans="1:8" ht="14.25" customHeight="1">
      <c r="A292" s="214"/>
      <c r="C292" s="213"/>
      <c r="D292" s="216"/>
      <c r="E292" s="215"/>
      <c r="F292" s="216"/>
      <c r="G292" s="215"/>
    </row>
    <row r="293" spans="1:8" ht="14.25" customHeight="1">
      <c r="A293" s="217" t="s">
        <v>139</v>
      </c>
      <c r="B293" s="472" t="s">
        <v>225</v>
      </c>
      <c r="C293" s="430"/>
      <c r="D293" s="430"/>
      <c r="E293" s="430"/>
      <c r="F293" s="430"/>
      <c r="G293" s="218" t="s">
        <v>140</v>
      </c>
      <c r="H293" s="217" t="s">
        <v>226</v>
      </c>
    </row>
    <row r="294" spans="1:8" ht="14.25" customHeight="1">
      <c r="A294" s="214" t="s">
        <v>142</v>
      </c>
      <c r="B294" s="213" t="s">
        <v>15</v>
      </c>
      <c r="C294" s="213"/>
      <c r="D294" s="213"/>
      <c r="E294" s="213"/>
      <c r="F294" s="216" t="s">
        <v>143</v>
      </c>
      <c r="G294" s="219">
        <f>H297+H304+H312+H316</f>
        <v>41555.607142857145</v>
      </c>
    </row>
    <row r="295" spans="1:8" ht="14.25" customHeight="1">
      <c r="A295" s="214" t="s">
        <v>145</v>
      </c>
      <c r="C295" s="213"/>
      <c r="D295" s="213"/>
      <c r="E295" s="213"/>
      <c r="F295" s="213"/>
    </row>
    <row r="296" spans="1:8" ht="14.25" customHeight="1">
      <c r="A296" s="456" t="s">
        <v>147</v>
      </c>
      <c r="B296" s="457"/>
      <c r="C296" s="221" t="s">
        <v>148</v>
      </c>
      <c r="D296" s="221"/>
      <c r="E296" s="221" t="s">
        <v>149</v>
      </c>
      <c r="F296" s="221" t="s">
        <v>150</v>
      </c>
      <c r="G296" s="222" t="s">
        <v>151</v>
      </c>
      <c r="H296" s="223" t="s">
        <v>152</v>
      </c>
    </row>
    <row r="297" spans="1:8" ht="14.25" customHeight="1">
      <c r="A297" s="459" t="s">
        <v>153</v>
      </c>
      <c r="B297" s="451"/>
      <c r="C297" s="224"/>
      <c r="D297" s="224"/>
      <c r="E297" s="225">
        <f>7500</f>
        <v>7500</v>
      </c>
      <c r="F297" s="224">
        <f t="shared" ref="F297:F298" si="48">0</f>
        <v>0</v>
      </c>
      <c r="G297" s="226">
        <f t="shared" ref="G297:G300" si="49">E297*F297</f>
        <v>0</v>
      </c>
      <c r="H297" s="449">
        <f>SUM(G297:G300)</f>
        <v>7955.75</v>
      </c>
    </row>
    <row r="298" spans="1:8" ht="14.25" customHeight="1">
      <c r="A298" s="227" t="s">
        <v>154</v>
      </c>
      <c r="B298" s="228"/>
      <c r="C298" s="224"/>
      <c r="D298" s="224"/>
      <c r="E298" s="225">
        <f>20110/8</f>
        <v>2513.75</v>
      </c>
      <c r="F298" s="224">
        <f t="shared" si="48"/>
        <v>0</v>
      </c>
      <c r="G298" s="226">
        <f t="shared" si="49"/>
        <v>0</v>
      </c>
      <c r="H298" s="447"/>
    </row>
    <row r="299" spans="1:8" ht="14.25" customHeight="1">
      <c r="A299" s="227" t="s">
        <v>155</v>
      </c>
      <c r="B299" s="228"/>
      <c r="C299" s="224"/>
      <c r="D299" s="224"/>
      <c r="E299" s="225">
        <f>60000/8</f>
        <v>7500</v>
      </c>
      <c r="F299" s="224">
        <f>8*0</f>
        <v>0</v>
      </c>
      <c r="G299" s="226">
        <f t="shared" si="49"/>
        <v>0</v>
      </c>
      <c r="H299" s="447"/>
    </row>
    <row r="300" spans="1:8" ht="14.25" customHeight="1">
      <c r="A300" s="460" t="s">
        <v>156</v>
      </c>
      <c r="B300" s="454"/>
      <c r="C300" s="229"/>
      <c r="D300" s="229"/>
      <c r="E300" s="230">
        <f>2500</f>
        <v>2500</v>
      </c>
      <c r="F300" s="231">
        <f>3.1823</f>
        <v>3.1823000000000001</v>
      </c>
      <c r="G300" s="232">
        <f t="shared" si="49"/>
        <v>7955.75</v>
      </c>
      <c r="H300" s="448"/>
    </row>
    <row r="301" spans="1:8" ht="14.25" customHeight="1">
      <c r="C301" s="213"/>
      <c r="D301" s="213"/>
      <c r="E301" s="213"/>
      <c r="F301" s="213"/>
    </row>
    <row r="302" spans="1:8" ht="14.25" customHeight="1">
      <c r="A302" s="254" t="s">
        <v>157</v>
      </c>
      <c r="B302" s="222"/>
      <c r="C302" s="221"/>
      <c r="D302" s="221"/>
      <c r="E302" s="221"/>
      <c r="F302" s="221"/>
      <c r="G302" s="222"/>
      <c r="H302" s="223"/>
    </row>
    <row r="303" spans="1:8" ht="14.25" customHeight="1">
      <c r="A303" s="227" t="s">
        <v>147</v>
      </c>
      <c r="B303" s="228"/>
      <c r="C303" s="224" t="s">
        <v>158</v>
      </c>
      <c r="D303" s="224"/>
      <c r="E303" s="224" t="s">
        <v>159</v>
      </c>
      <c r="F303" s="224" t="s">
        <v>160</v>
      </c>
      <c r="G303" s="228" t="s">
        <v>161</v>
      </c>
      <c r="H303" s="255" t="s">
        <v>152</v>
      </c>
    </row>
    <row r="304" spans="1:8" ht="14.25" customHeight="1">
      <c r="A304" s="450" t="s">
        <v>227</v>
      </c>
      <c r="B304" s="451"/>
      <c r="C304" s="247" t="s">
        <v>228</v>
      </c>
      <c r="D304" s="247"/>
      <c r="E304" s="248">
        <f>143900/3.5</f>
        <v>41114.285714285717</v>
      </c>
      <c r="F304" s="252">
        <f>0.025</f>
        <v>2.5000000000000001E-2</v>
      </c>
      <c r="G304" s="250">
        <f t="shared" ref="G304:G308" si="50">E304*F304</f>
        <v>1027.8571428571429</v>
      </c>
      <c r="H304" s="449">
        <f>SUM(G304:G308)</f>
        <v>14849.857142857143</v>
      </c>
    </row>
    <row r="305" spans="1:8" ht="14.25" customHeight="1">
      <c r="A305" s="450" t="s">
        <v>229</v>
      </c>
      <c r="B305" s="451"/>
      <c r="C305" s="247" t="s">
        <v>228</v>
      </c>
      <c r="D305" s="224"/>
      <c r="E305" s="248">
        <f>280000/3.5</f>
        <v>80000</v>
      </c>
      <c r="F305" s="252">
        <f>0.026</f>
        <v>2.5999999999999999E-2</v>
      </c>
      <c r="G305" s="250">
        <f t="shared" si="50"/>
        <v>2080</v>
      </c>
      <c r="H305" s="447"/>
    </row>
    <row r="306" spans="1:8" ht="14.25" customHeight="1">
      <c r="A306" s="450" t="s">
        <v>230</v>
      </c>
      <c r="B306" s="451"/>
      <c r="C306" s="247" t="s">
        <v>158</v>
      </c>
      <c r="D306" s="247"/>
      <c r="E306" s="251">
        <f>1200</f>
        <v>1200</v>
      </c>
      <c r="F306" s="249">
        <f>0.5</f>
        <v>0.5</v>
      </c>
      <c r="G306" s="250">
        <f t="shared" si="50"/>
        <v>600</v>
      </c>
      <c r="H306" s="447"/>
    </row>
    <row r="307" spans="1:8" ht="14.25" customHeight="1">
      <c r="A307" s="450" t="s">
        <v>231</v>
      </c>
      <c r="B307" s="451"/>
      <c r="C307" s="247" t="s">
        <v>158</v>
      </c>
      <c r="D307" s="247"/>
      <c r="E307" s="251">
        <f>8142</f>
        <v>8142</v>
      </c>
      <c r="F307" s="249">
        <f t="shared" ref="F307:F308" si="51">1</f>
        <v>1</v>
      </c>
      <c r="G307" s="250">
        <f t="shared" si="50"/>
        <v>8142</v>
      </c>
      <c r="H307" s="447"/>
    </row>
    <row r="308" spans="1:8" ht="14.25" customHeight="1">
      <c r="A308" s="453" t="s">
        <v>232</v>
      </c>
      <c r="B308" s="454"/>
      <c r="C308" s="256" t="s">
        <v>158</v>
      </c>
      <c r="D308" s="256"/>
      <c r="E308" s="257">
        <f>3000</f>
        <v>3000</v>
      </c>
      <c r="F308" s="258">
        <f t="shared" si="51"/>
        <v>1</v>
      </c>
      <c r="G308" s="259">
        <f t="shared" si="50"/>
        <v>3000</v>
      </c>
      <c r="H308" s="448"/>
    </row>
    <row r="309" spans="1:8" ht="14.25" customHeight="1">
      <c r="A309" s="455"/>
      <c r="B309" s="430"/>
      <c r="C309" s="213"/>
      <c r="D309" s="213"/>
      <c r="E309" s="213"/>
      <c r="F309" s="213"/>
    </row>
    <row r="310" spans="1:8" ht="14.25" customHeight="1">
      <c r="A310" s="214" t="s">
        <v>165</v>
      </c>
      <c r="C310" s="213"/>
      <c r="D310" s="213"/>
      <c r="E310" s="213"/>
      <c r="F310" s="213"/>
    </row>
    <row r="311" spans="1:8" ht="14.25" customHeight="1">
      <c r="A311" s="456" t="s">
        <v>147</v>
      </c>
      <c r="B311" s="457"/>
      <c r="C311" s="221" t="s">
        <v>166</v>
      </c>
      <c r="D311" s="221" t="s">
        <v>167</v>
      </c>
      <c r="E311" s="221" t="s">
        <v>168</v>
      </c>
      <c r="F311" s="221" t="s">
        <v>169</v>
      </c>
      <c r="G311" s="221" t="s">
        <v>170</v>
      </c>
      <c r="H311" s="240" t="s">
        <v>152</v>
      </c>
    </row>
    <row r="312" spans="1:8" ht="14.25" customHeight="1">
      <c r="A312" s="458" t="s">
        <v>171</v>
      </c>
      <c r="B312" s="454"/>
      <c r="C312" s="229">
        <f>1</f>
        <v>1</v>
      </c>
      <c r="D312" s="231">
        <f>27.504</f>
        <v>27.504000000000001</v>
      </c>
      <c r="E312" s="241">
        <f>369.3</f>
        <v>369.3</v>
      </c>
      <c r="F312" s="229">
        <f>2.5</f>
        <v>2.5</v>
      </c>
      <c r="G312" s="232">
        <f>E312*D312*F312*0</f>
        <v>0</v>
      </c>
      <c r="H312" s="242">
        <f>+G312</f>
        <v>0</v>
      </c>
    </row>
    <row r="313" spans="1:8" ht="14.25" customHeight="1">
      <c r="C313" s="213"/>
      <c r="D313" s="213"/>
      <c r="E313" s="213"/>
      <c r="F313" s="213"/>
    </row>
    <row r="314" spans="1:8" ht="14.25" customHeight="1">
      <c r="A314" s="214" t="s">
        <v>172</v>
      </c>
      <c r="C314" s="213"/>
      <c r="D314" s="213"/>
      <c r="E314" s="213"/>
      <c r="F314" s="213"/>
    </row>
    <row r="315" spans="1:8" ht="14.25" customHeight="1">
      <c r="A315" s="233" t="s">
        <v>147</v>
      </c>
      <c r="B315" s="222"/>
      <c r="C315" s="221" t="s">
        <v>173</v>
      </c>
      <c r="D315" s="221" t="s">
        <v>174</v>
      </c>
      <c r="E315" s="221" t="s">
        <v>175</v>
      </c>
      <c r="F315" s="221" t="s">
        <v>150</v>
      </c>
      <c r="G315" s="243" t="s">
        <v>176</v>
      </c>
      <c r="H315" s="223" t="s">
        <v>152</v>
      </c>
    </row>
    <row r="316" spans="1:8" ht="14.25" customHeight="1">
      <c r="A316" s="459" t="s">
        <v>177</v>
      </c>
      <c r="B316" s="451"/>
      <c r="C316" s="225">
        <v>55000</v>
      </c>
      <c r="D316" s="224">
        <v>0</v>
      </c>
      <c r="E316" s="225">
        <f>C316</f>
        <v>55000</v>
      </c>
      <c r="F316" s="244">
        <f t="shared" ref="F316:F317" si="52">15%</f>
        <v>0.15</v>
      </c>
      <c r="G316" s="226">
        <f t="shared" ref="G316:G317" si="53">E316*F316</f>
        <v>8250</v>
      </c>
      <c r="H316" s="449">
        <f>G316+G317</f>
        <v>18750</v>
      </c>
    </row>
    <row r="317" spans="1:8" ht="14.25" customHeight="1">
      <c r="A317" s="460" t="s">
        <v>178</v>
      </c>
      <c r="B317" s="454"/>
      <c r="C317" s="230">
        <v>35000</v>
      </c>
      <c r="D317" s="229">
        <v>0</v>
      </c>
      <c r="E317" s="230">
        <f>C317*2</f>
        <v>70000</v>
      </c>
      <c r="F317" s="245">
        <f t="shared" si="52"/>
        <v>0.15</v>
      </c>
      <c r="G317" s="232">
        <f t="shared" si="53"/>
        <v>10500</v>
      </c>
      <c r="H317" s="448"/>
    </row>
    <row r="318" spans="1:8" ht="14.25" customHeight="1">
      <c r="C318" s="213"/>
      <c r="D318" s="213"/>
      <c r="F318" s="213"/>
    </row>
    <row r="319" spans="1:8" ht="14.25" customHeight="1">
      <c r="C319" s="213"/>
      <c r="D319" s="213"/>
      <c r="F319" s="213"/>
    </row>
    <row r="320" spans="1:8" ht="14.25" customHeight="1">
      <c r="C320" s="213"/>
      <c r="D320" s="213"/>
      <c r="F320" s="213"/>
    </row>
    <row r="321" spans="1:8" ht="14.25" customHeight="1">
      <c r="C321" s="213"/>
      <c r="D321" s="213"/>
      <c r="F321" s="213"/>
    </row>
    <row r="322" spans="1:8" ht="14.25" customHeight="1">
      <c r="C322" s="213"/>
      <c r="D322" s="213"/>
      <c r="F322" s="213"/>
    </row>
    <row r="323" spans="1:8" ht="14.25" customHeight="1">
      <c r="A323" s="214" t="s">
        <v>137</v>
      </c>
      <c r="C323" s="213"/>
      <c r="D323" s="471" t="s">
        <v>233</v>
      </c>
      <c r="E323" s="430"/>
      <c r="F323" s="430"/>
      <c r="G323" s="430"/>
    </row>
    <row r="324" spans="1:8" ht="14.25" customHeight="1">
      <c r="A324" s="214"/>
      <c r="C324" s="213"/>
      <c r="D324" s="216"/>
      <c r="E324" s="215"/>
      <c r="F324" s="216"/>
      <c r="G324" s="215"/>
    </row>
    <row r="325" spans="1:8" ht="14.25" customHeight="1">
      <c r="A325" s="217" t="s">
        <v>139</v>
      </c>
      <c r="B325" s="472" t="s">
        <v>96</v>
      </c>
      <c r="C325" s="430"/>
      <c r="D325" s="430"/>
      <c r="E325" s="430"/>
      <c r="F325" s="430"/>
      <c r="G325" s="218" t="s">
        <v>140</v>
      </c>
      <c r="H325" s="217" t="s">
        <v>234</v>
      </c>
    </row>
    <row r="326" spans="1:8" ht="14.25" customHeight="1">
      <c r="A326" s="214" t="s">
        <v>142</v>
      </c>
      <c r="B326" s="213" t="s">
        <v>15</v>
      </c>
      <c r="C326" s="213"/>
      <c r="D326" s="213"/>
      <c r="E326" s="213"/>
      <c r="F326" s="216" t="s">
        <v>143</v>
      </c>
      <c r="G326" s="219">
        <f>H329+H336+H343+H347</f>
        <v>127651.13425</v>
      </c>
    </row>
    <row r="327" spans="1:8" ht="14.25" customHeight="1">
      <c r="A327" s="214" t="s">
        <v>145</v>
      </c>
      <c r="C327" s="213"/>
      <c r="D327" s="213"/>
      <c r="E327" s="213"/>
      <c r="F327" s="213"/>
    </row>
    <row r="328" spans="1:8" ht="14.25" customHeight="1">
      <c r="A328" s="456" t="s">
        <v>147</v>
      </c>
      <c r="B328" s="457"/>
      <c r="C328" s="221" t="s">
        <v>148</v>
      </c>
      <c r="D328" s="221"/>
      <c r="E328" s="221" t="s">
        <v>149</v>
      </c>
      <c r="F328" s="221" t="s">
        <v>150</v>
      </c>
      <c r="G328" s="222" t="s">
        <v>151</v>
      </c>
      <c r="H328" s="223" t="s">
        <v>152</v>
      </c>
    </row>
    <row r="329" spans="1:8" ht="14.25" customHeight="1">
      <c r="A329" s="459" t="s">
        <v>153</v>
      </c>
      <c r="B329" s="451"/>
      <c r="C329" s="224" t="s">
        <v>235</v>
      </c>
      <c r="D329" s="224"/>
      <c r="E329" s="225">
        <f>7500</f>
        <v>7500</v>
      </c>
      <c r="F329" s="224">
        <f>1</f>
        <v>1</v>
      </c>
      <c r="G329" s="226">
        <f t="shared" ref="G329:G332" si="54">E329*F329</f>
        <v>7500</v>
      </c>
      <c r="H329" s="449">
        <f>SUM(G329:G332)</f>
        <v>12500</v>
      </c>
    </row>
    <row r="330" spans="1:8" ht="14.25" customHeight="1">
      <c r="A330" s="227" t="s">
        <v>154</v>
      </c>
      <c r="B330" s="228"/>
      <c r="C330" s="224"/>
      <c r="D330" s="224"/>
      <c r="E330" s="225">
        <f>20110/8</f>
        <v>2513.75</v>
      </c>
      <c r="F330" s="224">
        <f>0</f>
        <v>0</v>
      </c>
      <c r="G330" s="226">
        <f t="shared" si="54"/>
        <v>0</v>
      </c>
      <c r="H330" s="447"/>
    </row>
    <row r="331" spans="1:8" ht="14.25" customHeight="1">
      <c r="A331" s="227" t="s">
        <v>155</v>
      </c>
      <c r="B331" s="228"/>
      <c r="C331" s="224"/>
      <c r="D331" s="224"/>
      <c r="E331" s="225">
        <f>60000/8</f>
        <v>7500</v>
      </c>
      <c r="F331" s="224">
        <f>8*0</f>
        <v>0</v>
      </c>
      <c r="G331" s="226">
        <f t="shared" si="54"/>
        <v>0</v>
      </c>
      <c r="H331" s="447"/>
    </row>
    <row r="332" spans="1:8" ht="14.25" customHeight="1">
      <c r="A332" s="460" t="s">
        <v>156</v>
      </c>
      <c r="B332" s="454"/>
      <c r="C332" s="229" t="s">
        <v>191</v>
      </c>
      <c r="D332" s="229"/>
      <c r="E332" s="230">
        <f>2500</f>
        <v>2500</v>
      </c>
      <c r="F332" s="231">
        <f>2</f>
        <v>2</v>
      </c>
      <c r="G332" s="232">
        <f t="shared" si="54"/>
        <v>5000</v>
      </c>
      <c r="H332" s="448"/>
    </row>
    <row r="333" spans="1:8" ht="14.25" customHeight="1">
      <c r="C333" s="213"/>
      <c r="D333" s="213"/>
      <c r="E333" s="213"/>
      <c r="F333" s="213"/>
    </row>
    <row r="334" spans="1:8" ht="14.25" customHeight="1">
      <c r="A334" s="254" t="s">
        <v>157</v>
      </c>
      <c r="B334" s="222"/>
      <c r="C334" s="221"/>
      <c r="D334" s="221"/>
      <c r="E334" s="221"/>
      <c r="F334" s="221"/>
      <c r="G334" s="222"/>
      <c r="H334" s="223"/>
    </row>
    <row r="335" spans="1:8" ht="14.25" customHeight="1">
      <c r="A335" s="227" t="s">
        <v>147</v>
      </c>
      <c r="B335" s="228"/>
      <c r="C335" s="224" t="s">
        <v>158</v>
      </c>
      <c r="D335" s="224"/>
      <c r="E335" s="224" t="s">
        <v>159</v>
      </c>
      <c r="F335" s="224" t="s">
        <v>160</v>
      </c>
      <c r="G335" s="228" t="s">
        <v>161</v>
      </c>
      <c r="H335" s="255" t="s">
        <v>152</v>
      </c>
    </row>
    <row r="336" spans="1:8" ht="14.25" customHeight="1">
      <c r="A336" s="450" t="s">
        <v>236</v>
      </c>
      <c r="B336" s="451"/>
      <c r="C336" s="247" t="s">
        <v>158</v>
      </c>
      <c r="D336" s="247"/>
      <c r="E336" s="248">
        <f>60000</f>
        <v>60000</v>
      </c>
      <c r="F336" s="249">
        <f>1</f>
        <v>1</v>
      </c>
      <c r="G336" s="250">
        <f t="shared" ref="G336:G338" si="55">E336*F336</f>
        <v>60000</v>
      </c>
      <c r="H336" s="449">
        <f>SUM(G336:G337)</f>
        <v>65151.134250000003</v>
      </c>
    </row>
    <row r="337" spans="1:8" ht="14.25" customHeight="1">
      <c r="A337" s="450" t="s">
        <v>237</v>
      </c>
      <c r="B337" s="451"/>
      <c r="C337" s="247" t="s">
        <v>102</v>
      </c>
      <c r="D337" s="224"/>
      <c r="E337" s="248">
        <f>763131</f>
        <v>763131</v>
      </c>
      <c r="F337" s="252">
        <f>0.15*0.15*0.3</f>
        <v>6.7499999999999999E-3</v>
      </c>
      <c r="G337" s="250">
        <f t="shared" si="55"/>
        <v>5151.1342500000001</v>
      </c>
      <c r="H337" s="447"/>
    </row>
    <row r="338" spans="1:8" ht="14.25" customHeight="1">
      <c r="A338" s="482" t="s">
        <v>238</v>
      </c>
      <c r="B338" s="454"/>
      <c r="C338" s="229" t="s">
        <v>239</v>
      </c>
      <c r="D338" s="229"/>
      <c r="E338" s="232">
        <f>48000</f>
        <v>48000</v>
      </c>
      <c r="F338" s="229">
        <f>0.015</f>
        <v>1.4999999999999999E-2</v>
      </c>
      <c r="G338" s="260">
        <f t="shared" si="55"/>
        <v>720</v>
      </c>
      <c r="H338" s="448"/>
    </row>
    <row r="339" spans="1:8" ht="14.25" customHeight="1">
      <c r="A339" s="486"/>
      <c r="B339" s="430"/>
      <c r="C339" s="213"/>
      <c r="D339" s="213"/>
      <c r="E339" s="220"/>
      <c r="F339" s="213"/>
      <c r="G339" s="261"/>
      <c r="H339" s="262"/>
    </row>
    <row r="340" spans="1:8" ht="14.25" customHeight="1">
      <c r="A340" s="455"/>
      <c r="B340" s="430"/>
      <c r="C340" s="213"/>
      <c r="D340" s="213"/>
      <c r="E340" s="213"/>
      <c r="F340" s="213"/>
    </row>
    <row r="341" spans="1:8" ht="14.25" customHeight="1">
      <c r="A341" s="214" t="s">
        <v>165</v>
      </c>
      <c r="C341" s="213"/>
      <c r="D341" s="213"/>
      <c r="E341" s="213"/>
      <c r="F341" s="213"/>
    </row>
    <row r="342" spans="1:8" ht="14.25" customHeight="1">
      <c r="A342" s="456" t="s">
        <v>147</v>
      </c>
      <c r="B342" s="457"/>
      <c r="C342" s="221" t="s">
        <v>166</v>
      </c>
      <c r="D342" s="221" t="s">
        <v>167</v>
      </c>
      <c r="E342" s="221" t="s">
        <v>168</v>
      </c>
      <c r="F342" s="221" t="s">
        <v>169</v>
      </c>
      <c r="G342" s="221" t="s">
        <v>170</v>
      </c>
      <c r="H342" s="240" t="s">
        <v>152</v>
      </c>
    </row>
    <row r="343" spans="1:8" ht="14.25" customHeight="1">
      <c r="A343" s="458" t="s">
        <v>171</v>
      </c>
      <c r="B343" s="454"/>
      <c r="C343" s="229">
        <f>1</f>
        <v>1</v>
      </c>
      <c r="D343" s="231">
        <f>27.504</f>
        <v>27.504000000000001</v>
      </c>
      <c r="E343" s="241">
        <f>369.3</f>
        <v>369.3</v>
      </c>
      <c r="F343" s="229">
        <f>2.5</f>
        <v>2.5</v>
      </c>
      <c r="G343" s="232">
        <f>E343*D343*F343*0</f>
        <v>0</v>
      </c>
      <c r="H343" s="242">
        <f>+G343</f>
        <v>0</v>
      </c>
    </row>
    <row r="344" spans="1:8" ht="14.25" customHeight="1">
      <c r="C344" s="213"/>
      <c r="D344" s="213"/>
      <c r="E344" s="213"/>
      <c r="F344" s="213"/>
    </row>
    <row r="345" spans="1:8" ht="14.25" customHeight="1">
      <c r="A345" s="214" t="s">
        <v>172</v>
      </c>
      <c r="C345" s="213"/>
      <c r="D345" s="213"/>
      <c r="E345" s="213"/>
      <c r="F345" s="213"/>
    </row>
    <row r="346" spans="1:8" ht="14.25" customHeight="1">
      <c r="A346" s="233" t="s">
        <v>147</v>
      </c>
      <c r="B346" s="222"/>
      <c r="C346" s="221" t="s">
        <v>173</v>
      </c>
      <c r="D346" s="221" t="s">
        <v>174</v>
      </c>
      <c r="E346" s="221" t="s">
        <v>175</v>
      </c>
      <c r="F346" s="221" t="s">
        <v>150</v>
      </c>
      <c r="G346" s="243" t="s">
        <v>176</v>
      </c>
      <c r="H346" s="223" t="s">
        <v>152</v>
      </c>
    </row>
    <row r="347" spans="1:8" ht="14.25" customHeight="1">
      <c r="A347" s="459" t="s">
        <v>177</v>
      </c>
      <c r="B347" s="451"/>
      <c r="C347" s="225">
        <v>55000</v>
      </c>
      <c r="D347" s="224">
        <v>0</v>
      </c>
      <c r="E347" s="225">
        <f>C347</f>
        <v>55000</v>
      </c>
      <c r="F347" s="244">
        <f t="shared" ref="F347:F348" si="56">40%</f>
        <v>0.4</v>
      </c>
      <c r="G347" s="226">
        <f t="shared" ref="G347:G348" si="57">E347*F347</f>
        <v>22000</v>
      </c>
      <c r="H347" s="449">
        <f>G347+G348</f>
        <v>50000</v>
      </c>
    </row>
    <row r="348" spans="1:8" ht="14.25" customHeight="1">
      <c r="A348" s="460" t="s">
        <v>188</v>
      </c>
      <c r="B348" s="454"/>
      <c r="C348" s="230">
        <v>35000</v>
      </c>
      <c r="D348" s="229">
        <v>0</v>
      </c>
      <c r="E348" s="230">
        <f>C348*2</f>
        <v>70000</v>
      </c>
      <c r="F348" s="245">
        <f t="shared" si="56"/>
        <v>0.4</v>
      </c>
      <c r="G348" s="232">
        <f t="shared" si="57"/>
        <v>28000</v>
      </c>
      <c r="H348" s="448"/>
    </row>
    <row r="349" spans="1:8" ht="14.25" customHeight="1">
      <c r="C349" s="213"/>
      <c r="D349" s="213"/>
      <c r="F349" s="213"/>
    </row>
    <row r="350" spans="1:8" ht="14.25" customHeight="1">
      <c r="C350" s="213"/>
      <c r="D350" s="213"/>
      <c r="F350" s="213"/>
    </row>
    <row r="351" spans="1:8" ht="14.25" customHeight="1">
      <c r="C351" s="213"/>
      <c r="D351" s="213"/>
      <c r="F351" s="213"/>
    </row>
    <row r="352" spans="1:8" ht="14.25" customHeight="1">
      <c r="C352" s="213"/>
      <c r="D352" s="213"/>
      <c r="F352" s="213"/>
    </row>
    <row r="353" spans="1:9" ht="14.25" customHeight="1">
      <c r="C353" s="213"/>
      <c r="D353" s="213"/>
      <c r="F353" s="213"/>
    </row>
    <row r="354" spans="1:9" ht="14.25" customHeight="1">
      <c r="A354" s="214" t="s">
        <v>137</v>
      </c>
      <c r="C354" s="213"/>
      <c r="D354" s="471" t="s">
        <v>240</v>
      </c>
      <c r="E354" s="430"/>
      <c r="F354" s="430"/>
      <c r="G354" s="430"/>
    </row>
    <row r="355" spans="1:9" ht="14.25" customHeight="1">
      <c r="A355" s="214"/>
      <c r="C355" s="213"/>
      <c r="D355" s="216"/>
      <c r="E355" s="215"/>
      <c r="F355" s="216"/>
      <c r="G355" s="215"/>
    </row>
    <row r="356" spans="1:9" ht="14.25" customHeight="1">
      <c r="A356" s="217" t="s">
        <v>139</v>
      </c>
      <c r="B356" s="472" t="s">
        <v>241</v>
      </c>
      <c r="C356" s="430"/>
      <c r="D356" s="430"/>
      <c r="E356" s="430"/>
      <c r="F356" s="430"/>
      <c r="G356" s="218" t="s">
        <v>140</v>
      </c>
      <c r="H356" s="217" t="s">
        <v>242</v>
      </c>
    </row>
    <row r="357" spans="1:9" ht="14.25" customHeight="1">
      <c r="A357" s="214" t="s">
        <v>142</v>
      </c>
      <c r="B357" s="213" t="s">
        <v>26</v>
      </c>
      <c r="C357" s="213"/>
      <c r="D357" s="213"/>
      <c r="E357" s="213"/>
      <c r="F357" s="216" t="s">
        <v>143</v>
      </c>
      <c r="G357" s="219">
        <f>H360+H367+H371+H376</f>
        <v>691435</v>
      </c>
    </row>
    <row r="358" spans="1:9" ht="14.25" customHeight="1">
      <c r="A358" s="214" t="s">
        <v>145</v>
      </c>
      <c r="C358" s="213"/>
      <c r="D358" s="213"/>
      <c r="E358" s="213"/>
      <c r="F358" s="213"/>
    </row>
    <row r="359" spans="1:9" ht="14.25" customHeight="1">
      <c r="A359" s="456" t="s">
        <v>147</v>
      </c>
      <c r="B359" s="457"/>
      <c r="C359" s="221" t="s">
        <v>148</v>
      </c>
      <c r="D359" s="221"/>
      <c r="E359" s="221" t="s">
        <v>149</v>
      </c>
      <c r="F359" s="221" t="s">
        <v>150</v>
      </c>
      <c r="G359" s="222" t="s">
        <v>151</v>
      </c>
      <c r="H359" s="223" t="s">
        <v>152</v>
      </c>
    </row>
    <row r="360" spans="1:9" ht="14.25" customHeight="1">
      <c r="A360" s="459" t="s">
        <v>153</v>
      </c>
      <c r="B360" s="451"/>
      <c r="C360" s="224"/>
      <c r="D360" s="224"/>
      <c r="E360" s="225">
        <f>7500</f>
        <v>7500</v>
      </c>
      <c r="F360" s="224">
        <f t="shared" ref="F360:F361" si="58">0</f>
        <v>0</v>
      </c>
      <c r="G360" s="226">
        <f t="shared" ref="G360:G363" si="59">E360*F360</f>
        <v>0</v>
      </c>
      <c r="H360" s="449">
        <f>SUM(G360:G363)</f>
        <v>5000</v>
      </c>
    </row>
    <row r="361" spans="1:9" ht="14.25" customHeight="1">
      <c r="A361" s="227" t="s">
        <v>154</v>
      </c>
      <c r="B361" s="228"/>
      <c r="C361" s="224"/>
      <c r="D361" s="224"/>
      <c r="E361" s="225">
        <f>20110/8</f>
        <v>2513.75</v>
      </c>
      <c r="F361" s="224">
        <f t="shared" si="58"/>
        <v>0</v>
      </c>
      <c r="G361" s="226">
        <f t="shared" si="59"/>
        <v>0</v>
      </c>
      <c r="H361" s="447"/>
    </row>
    <row r="362" spans="1:9" ht="14.25" customHeight="1">
      <c r="A362" s="227" t="s">
        <v>155</v>
      </c>
      <c r="B362" s="228"/>
      <c r="C362" s="224"/>
      <c r="D362" s="224"/>
      <c r="E362" s="225">
        <f>60000/8</f>
        <v>7500</v>
      </c>
      <c r="F362" s="224">
        <f>8*0</f>
        <v>0</v>
      </c>
      <c r="G362" s="226">
        <f t="shared" si="59"/>
        <v>0</v>
      </c>
      <c r="H362" s="447"/>
    </row>
    <row r="363" spans="1:9" ht="14.25" customHeight="1">
      <c r="A363" s="460" t="s">
        <v>156</v>
      </c>
      <c r="B363" s="454"/>
      <c r="C363" s="229"/>
      <c r="D363" s="229"/>
      <c r="E363" s="230">
        <f>2500</f>
        <v>2500</v>
      </c>
      <c r="F363" s="231">
        <f>2</f>
        <v>2</v>
      </c>
      <c r="G363" s="232">
        <f t="shared" si="59"/>
        <v>5000</v>
      </c>
      <c r="H363" s="448"/>
    </row>
    <row r="364" spans="1:9" ht="14.25" customHeight="1">
      <c r="C364" s="213"/>
      <c r="D364" s="213"/>
      <c r="E364" s="213"/>
      <c r="F364" s="213"/>
    </row>
    <row r="365" spans="1:9" ht="14.25" customHeight="1">
      <c r="A365" s="254" t="s">
        <v>157</v>
      </c>
      <c r="B365" s="222"/>
      <c r="C365" s="221"/>
      <c r="D365" s="221"/>
      <c r="E365" s="221"/>
      <c r="F365" s="221"/>
      <c r="G365" s="222"/>
      <c r="H365" s="223"/>
    </row>
    <row r="366" spans="1:9" ht="14.25" customHeight="1">
      <c r="A366" s="227" t="s">
        <v>147</v>
      </c>
      <c r="B366" s="228"/>
      <c r="C366" s="224" t="s">
        <v>158</v>
      </c>
      <c r="D366" s="224"/>
      <c r="E366" s="224" t="s">
        <v>159</v>
      </c>
      <c r="F366" s="224" t="s">
        <v>160</v>
      </c>
      <c r="G366" s="228" t="s">
        <v>161</v>
      </c>
      <c r="H366" s="255" t="s">
        <v>152</v>
      </c>
    </row>
    <row r="367" spans="1:9" ht="14.25" customHeight="1">
      <c r="A367" s="453" t="s">
        <v>243</v>
      </c>
      <c r="B367" s="454"/>
      <c r="C367" s="256" t="s">
        <v>26</v>
      </c>
      <c r="D367" s="256"/>
      <c r="E367" s="263">
        <f>586435</f>
        <v>586435</v>
      </c>
      <c r="F367" s="258">
        <f>1</f>
        <v>1</v>
      </c>
      <c r="G367" s="259">
        <f>E367*F367</f>
        <v>586435</v>
      </c>
      <c r="H367" s="264">
        <f>SUM(G367)</f>
        <v>586435</v>
      </c>
      <c r="I367" s="220"/>
    </row>
    <row r="368" spans="1:9" ht="14.25" customHeight="1">
      <c r="A368" s="455"/>
      <c r="B368" s="430"/>
      <c r="C368" s="213"/>
      <c r="D368" s="213"/>
      <c r="E368" s="213"/>
      <c r="F368" s="213"/>
    </row>
    <row r="369" spans="1:8" ht="14.25" customHeight="1">
      <c r="A369" s="214" t="s">
        <v>165</v>
      </c>
      <c r="C369" s="213"/>
      <c r="D369" s="213"/>
      <c r="E369" s="213"/>
      <c r="F369" s="213"/>
    </row>
    <row r="370" spans="1:8" ht="14.25" customHeight="1">
      <c r="A370" s="456" t="s">
        <v>147</v>
      </c>
      <c r="B370" s="457"/>
      <c r="C370" s="221" t="s">
        <v>166</v>
      </c>
      <c r="D370" s="221" t="s">
        <v>167</v>
      </c>
      <c r="E370" s="221" t="s">
        <v>168</v>
      </c>
      <c r="F370" s="221" t="s">
        <v>169</v>
      </c>
      <c r="G370" s="221" t="s">
        <v>170</v>
      </c>
      <c r="H370" s="240" t="s">
        <v>152</v>
      </c>
    </row>
    <row r="371" spans="1:8" ht="14.25" customHeight="1">
      <c r="A371" s="458" t="s">
        <v>171</v>
      </c>
      <c r="B371" s="454"/>
      <c r="C371" s="229">
        <f>1</f>
        <v>1</v>
      </c>
      <c r="D371" s="231">
        <f>27.504</f>
        <v>27.504000000000001</v>
      </c>
      <c r="E371" s="241">
        <f>369.3</f>
        <v>369.3</v>
      </c>
      <c r="F371" s="229">
        <f>2.5</f>
        <v>2.5</v>
      </c>
      <c r="G371" s="232">
        <f>E371*D371*F371*0</f>
        <v>0</v>
      </c>
      <c r="H371" s="242">
        <f>+G371</f>
        <v>0</v>
      </c>
    </row>
    <row r="372" spans="1:8" ht="14.25" customHeight="1">
      <c r="C372" s="213"/>
      <c r="D372" s="213"/>
      <c r="E372" s="213"/>
      <c r="F372" s="213"/>
    </row>
    <row r="373" spans="1:8" ht="14.25" customHeight="1">
      <c r="A373" s="214" t="s">
        <v>172</v>
      </c>
      <c r="C373" s="213"/>
      <c r="D373" s="213"/>
      <c r="E373" s="213"/>
      <c r="F373" s="213"/>
    </row>
    <row r="374" spans="1:8" ht="14.25" customHeight="1">
      <c r="A374" s="214" t="s">
        <v>244</v>
      </c>
      <c r="C374" s="213"/>
      <c r="D374" s="213"/>
      <c r="E374" s="213"/>
      <c r="F374" s="213"/>
    </row>
    <row r="375" spans="1:8" ht="14.25" customHeight="1">
      <c r="A375" s="233" t="s">
        <v>147</v>
      </c>
      <c r="B375" s="222"/>
      <c r="C375" s="221" t="s">
        <v>173</v>
      </c>
      <c r="D375" s="221" t="s">
        <v>174</v>
      </c>
      <c r="E375" s="221" t="s">
        <v>175</v>
      </c>
      <c r="F375" s="221" t="s">
        <v>150</v>
      </c>
      <c r="G375" s="243" t="s">
        <v>176</v>
      </c>
      <c r="H375" s="223" t="s">
        <v>152</v>
      </c>
    </row>
    <row r="376" spans="1:8" ht="14.25" customHeight="1">
      <c r="A376" s="459" t="s">
        <v>177</v>
      </c>
      <c r="B376" s="451"/>
      <c r="C376" s="225">
        <v>55000</v>
      </c>
      <c r="D376" s="224">
        <v>0</v>
      </c>
      <c r="E376" s="225">
        <f>C376</f>
        <v>55000</v>
      </c>
      <c r="F376" s="244">
        <f t="shared" ref="F376:F377" si="60">80%</f>
        <v>0.8</v>
      </c>
      <c r="G376" s="226">
        <f t="shared" ref="G376:G377" si="61">E376*F376</f>
        <v>44000</v>
      </c>
      <c r="H376" s="449">
        <f>G376+G377</f>
        <v>100000</v>
      </c>
    </row>
    <row r="377" spans="1:8" ht="14.25" customHeight="1">
      <c r="A377" s="460" t="s">
        <v>188</v>
      </c>
      <c r="B377" s="454"/>
      <c r="C377" s="230">
        <v>35000</v>
      </c>
      <c r="D377" s="229">
        <v>0</v>
      </c>
      <c r="E377" s="230">
        <f>C377*2</f>
        <v>70000</v>
      </c>
      <c r="F377" s="245">
        <f t="shared" si="60"/>
        <v>0.8</v>
      </c>
      <c r="G377" s="232">
        <f t="shared" si="61"/>
        <v>56000</v>
      </c>
      <c r="H377" s="448"/>
    </row>
    <row r="378" spans="1:8" ht="14.25" customHeight="1">
      <c r="C378" s="213"/>
      <c r="D378" s="213"/>
      <c r="F378" s="213"/>
    </row>
    <row r="379" spans="1:8" ht="14.25" customHeight="1">
      <c r="C379" s="213"/>
      <c r="D379" s="213"/>
      <c r="F379" s="213"/>
    </row>
    <row r="380" spans="1:8" ht="14.25" customHeight="1">
      <c r="C380" s="213"/>
      <c r="D380" s="213"/>
      <c r="F380" s="213"/>
    </row>
    <row r="381" spans="1:8" ht="14.25" customHeight="1">
      <c r="C381" s="213"/>
      <c r="D381" s="213"/>
      <c r="F381" s="213"/>
    </row>
    <row r="382" spans="1:8" ht="14.25" customHeight="1">
      <c r="C382" s="213"/>
      <c r="D382" s="213"/>
      <c r="F382" s="213"/>
    </row>
    <row r="383" spans="1:8" ht="14.25" customHeight="1">
      <c r="C383" s="213"/>
      <c r="D383" s="213"/>
      <c r="F383" s="213"/>
    </row>
    <row r="384" spans="1:8" ht="14.25" customHeight="1">
      <c r="A384" s="214" t="s">
        <v>137</v>
      </c>
      <c r="C384" s="213"/>
      <c r="D384" s="471" t="s">
        <v>245</v>
      </c>
      <c r="E384" s="430"/>
      <c r="F384" s="430"/>
      <c r="G384" s="430"/>
    </row>
    <row r="385" spans="1:9" ht="14.25" customHeight="1">
      <c r="A385" s="214"/>
      <c r="C385" s="213"/>
      <c r="D385" s="216"/>
      <c r="E385" s="215"/>
      <c r="F385" s="216"/>
      <c r="G385" s="215"/>
    </row>
    <row r="386" spans="1:9" ht="14.25" customHeight="1">
      <c r="A386" s="217" t="s">
        <v>139</v>
      </c>
      <c r="B386" s="472" t="s">
        <v>246</v>
      </c>
      <c r="C386" s="430"/>
      <c r="D386" s="430"/>
      <c r="E386" s="430"/>
      <c r="F386" s="430"/>
      <c r="G386" s="218" t="s">
        <v>140</v>
      </c>
      <c r="H386" s="217" t="s">
        <v>247</v>
      </c>
    </row>
    <row r="387" spans="1:9" ht="14.25" customHeight="1">
      <c r="A387" s="214" t="s">
        <v>142</v>
      </c>
      <c r="B387" s="213" t="s">
        <v>26</v>
      </c>
      <c r="C387" s="213"/>
      <c r="D387" s="213"/>
      <c r="E387" s="213"/>
      <c r="F387" s="216" t="s">
        <v>143</v>
      </c>
      <c r="G387" s="219">
        <f>H390+H397+H403+H407</f>
        <v>32149.614999999998</v>
      </c>
      <c r="I387">
        <f>36000</f>
        <v>36000</v>
      </c>
    </row>
    <row r="388" spans="1:9" ht="14.25" customHeight="1">
      <c r="A388" s="214" t="s">
        <v>145</v>
      </c>
      <c r="C388" s="213"/>
      <c r="D388" s="213"/>
      <c r="E388" s="213"/>
      <c r="F388" s="213"/>
    </row>
    <row r="389" spans="1:9" ht="14.25" customHeight="1">
      <c r="A389" s="456" t="s">
        <v>147</v>
      </c>
      <c r="B389" s="457"/>
      <c r="C389" s="221" t="s">
        <v>148</v>
      </c>
      <c r="D389" s="221"/>
      <c r="E389" s="221" t="s">
        <v>149</v>
      </c>
      <c r="F389" s="221" t="s">
        <v>150</v>
      </c>
      <c r="G389" s="222" t="s">
        <v>151</v>
      </c>
      <c r="H389" s="223" t="s">
        <v>152</v>
      </c>
    </row>
    <row r="390" spans="1:9" ht="14.25" customHeight="1">
      <c r="A390" s="459" t="s">
        <v>153</v>
      </c>
      <c r="B390" s="451"/>
      <c r="C390" s="224"/>
      <c r="D390" s="224"/>
      <c r="E390" s="225">
        <f>7500</f>
        <v>7500</v>
      </c>
      <c r="F390" s="224">
        <f t="shared" ref="F390:F391" si="62">0</f>
        <v>0</v>
      </c>
      <c r="G390" s="226">
        <f t="shared" ref="G390:G393" si="63">E390*F390</f>
        <v>0</v>
      </c>
      <c r="H390" s="449">
        <f>SUM(G390:G393)</f>
        <v>1956.7499999999998</v>
      </c>
    </row>
    <row r="391" spans="1:9" ht="14.25" customHeight="1">
      <c r="A391" s="227" t="s">
        <v>154</v>
      </c>
      <c r="B391" s="228"/>
      <c r="C391" s="224"/>
      <c r="D391" s="224"/>
      <c r="E391" s="225">
        <f>20110/8</f>
        <v>2513.75</v>
      </c>
      <c r="F391" s="224">
        <f t="shared" si="62"/>
        <v>0</v>
      </c>
      <c r="G391" s="226">
        <f t="shared" si="63"/>
        <v>0</v>
      </c>
      <c r="H391" s="447"/>
    </row>
    <row r="392" spans="1:9" ht="14.25" customHeight="1">
      <c r="A392" s="227" t="s">
        <v>155</v>
      </c>
      <c r="B392" s="228"/>
      <c r="C392" s="224"/>
      <c r="D392" s="224"/>
      <c r="E392" s="225">
        <f>60000/8</f>
        <v>7500</v>
      </c>
      <c r="F392" s="224">
        <f>8*0</f>
        <v>0</v>
      </c>
      <c r="G392" s="226">
        <f t="shared" si="63"/>
        <v>0</v>
      </c>
      <c r="H392" s="447"/>
    </row>
    <row r="393" spans="1:9" ht="14.25" customHeight="1">
      <c r="A393" s="460" t="s">
        <v>156</v>
      </c>
      <c r="B393" s="454"/>
      <c r="C393" s="229"/>
      <c r="D393" s="229"/>
      <c r="E393" s="230">
        <f>2500</f>
        <v>2500</v>
      </c>
      <c r="F393" s="231">
        <f>0.7827</f>
        <v>0.78269999999999995</v>
      </c>
      <c r="G393" s="232">
        <f t="shared" si="63"/>
        <v>1956.7499999999998</v>
      </c>
      <c r="H393" s="448"/>
    </row>
    <row r="394" spans="1:9" ht="14.25" customHeight="1">
      <c r="C394" s="213"/>
      <c r="D394" s="213"/>
      <c r="E394" s="213"/>
      <c r="F394" s="213"/>
    </row>
    <row r="395" spans="1:9" ht="14.25" customHeight="1">
      <c r="A395" s="254" t="s">
        <v>157</v>
      </c>
      <c r="B395" s="222"/>
      <c r="C395" s="221"/>
      <c r="D395" s="221"/>
      <c r="E395" s="221"/>
      <c r="F395" s="221"/>
      <c r="G395" s="222"/>
      <c r="H395" s="223"/>
    </row>
    <row r="396" spans="1:9" ht="14.25" customHeight="1">
      <c r="A396" s="227" t="s">
        <v>147</v>
      </c>
      <c r="B396" s="228"/>
      <c r="C396" s="224" t="s">
        <v>158</v>
      </c>
      <c r="D396" s="224"/>
      <c r="E396" s="224" t="s">
        <v>159</v>
      </c>
      <c r="F396" s="224" t="s">
        <v>160</v>
      </c>
      <c r="G396" s="228" t="s">
        <v>161</v>
      </c>
      <c r="H396" s="255" t="s">
        <v>152</v>
      </c>
    </row>
    <row r="397" spans="1:9" ht="14.25" customHeight="1">
      <c r="A397" s="466" t="s">
        <v>248</v>
      </c>
      <c r="B397" s="451"/>
      <c r="C397" s="247" t="s">
        <v>24</v>
      </c>
      <c r="D397" s="247"/>
      <c r="E397" s="248">
        <f>586435</f>
        <v>586435</v>
      </c>
      <c r="F397" s="253">
        <f>0.013</f>
        <v>1.2999999999999999E-2</v>
      </c>
      <c r="G397" s="250">
        <f t="shared" ref="G397:G399" si="64">E397*F397</f>
        <v>7623.6549999999997</v>
      </c>
      <c r="H397" s="449">
        <f>SUM(G397:G399)</f>
        <v>9492.8649999999998</v>
      </c>
    </row>
    <row r="398" spans="1:9" ht="14.25" customHeight="1">
      <c r="A398" s="450" t="s">
        <v>227</v>
      </c>
      <c r="B398" s="451"/>
      <c r="C398" s="247" t="s">
        <v>228</v>
      </c>
      <c r="D398" s="247"/>
      <c r="E398" s="248">
        <v>41114</v>
      </c>
      <c r="F398" s="253">
        <f t="shared" ref="F398:F399" si="65">0.015</f>
        <v>1.4999999999999999E-2</v>
      </c>
      <c r="G398" s="250">
        <f t="shared" si="64"/>
        <v>616.70999999999992</v>
      </c>
      <c r="H398" s="447"/>
    </row>
    <row r="399" spans="1:9" ht="14.25" customHeight="1">
      <c r="A399" s="453" t="s">
        <v>249</v>
      </c>
      <c r="B399" s="454"/>
      <c r="C399" s="256" t="s">
        <v>228</v>
      </c>
      <c r="D399" s="256"/>
      <c r="E399" s="263">
        <f>83500</f>
        <v>83500</v>
      </c>
      <c r="F399" s="265">
        <f t="shared" si="65"/>
        <v>1.4999999999999999E-2</v>
      </c>
      <c r="G399" s="259">
        <f t="shared" si="64"/>
        <v>1252.5</v>
      </c>
      <c r="H399" s="448"/>
    </row>
    <row r="400" spans="1:9" ht="14.25" customHeight="1">
      <c r="A400" s="455"/>
      <c r="B400" s="430"/>
      <c r="C400" s="213"/>
      <c r="D400" s="213"/>
      <c r="E400" s="213"/>
      <c r="F400" s="213"/>
    </row>
    <row r="401" spans="1:8" ht="14.25" customHeight="1">
      <c r="A401" s="214" t="s">
        <v>165</v>
      </c>
      <c r="C401" s="213"/>
      <c r="D401" s="213"/>
      <c r="E401" s="213"/>
      <c r="F401" s="213"/>
    </row>
    <row r="402" spans="1:8" ht="14.25" customHeight="1">
      <c r="A402" s="456" t="s">
        <v>147</v>
      </c>
      <c r="B402" s="457"/>
      <c r="C402" s="221" t="s">
        <v>166</v>
      </c>
      <c r="D402" s="221" t="s">
        <v>167</v>
      </c>
      <c r="E402" s="221" t="s">
        <v>168</v>
      </c>
      <c r="F402" s="221" t="s">
        <v>169</v>
      </c>
      <c r="G402" s="221" t="s">
        <v>170</v>
      </c>
      <c r="H402" s="240" t="s">
        <v>152</v>
      </c>
    </row>
    <row r="403" spans="1:8" ht="14.25" customHeight="1">
      <c r="A403" s="458" t="s">
        <v>171</v>
      </c>
      <c r="B403" s="454"/>
      <c r="C403" s="229">
        <f>1</f>
        <v>1</v>
      </c>
      <c r="D403" s="231">
        <f>27.504</f>
        <v>27.504000000000001</v>
      </c>
      <c r="E403" s="241">
        <f>369.3</f>
        <v>369.3</v>
      </c>
      <c r="F403" s="229">
        <f>2.5</f>
        <v>2.5</v>
      </c>
      <c r="G403" s="232">
        <f>E403*D403*F403*0</f>
        <v>0</v>
      </c>
      <c r="H403" s="242">
        <f>+G403</f>
        <v>0</v>
      </c>
    </row>
    <row r="404" spans="1:8" ht="14.25" customHeight="1">
      <c r="C404" s="213"/>
      <c r="D404" s="213"/>
      <c r="E404" s="213"/>
      <c r="F404" s="213"/>
    </row>
    <row r="405" spans="1:8" ht="14.25" customHeight="1">
      <c r="A405" s="214" t="s">
        <v>172</v>
      </c>
      <c r="C405" s="213"/>
      <c r="D405" s="213"/>
      <c r="E405" s="213"/>
      <c r="F405" s="213"/>
    </row>
    <row r="406" spans="1:8" ht="14.25" customHeight="1">
      <c r="A406" s="233" t="s">
        <v>147</v>
      </c>
      <c r="B406" s="222"/>
      <c r="C406" s="221" t="s">
        <v>173</v>
      </c>
      <c r="D406" s="221" t="s">
        <v>174</v>
      </c>
      <c r="E406" s="221" t="s">
        <v>175</v>
      </c>
      <c r="F406" s="221" t="s">
        <v>150</v>
      </c>
      <c r="G406" s="243" t="s">
        <v>176</v>
      </c>
      <c r="H406" s="223" t="s">
        <v>152</v>
      </c>
    </row>
    <row r="407" spans="1:8" ht="14.25" customHeight="1">
      <c r="A407" s="459" t="s">
        <v>177</v>
      </c>
      <c r="B407" s="451"/>
      <c r="C407" s="225">
        <v>55000</v>
      </c>
      <c r="D407" s="224">
        <v>0</v>
      </c>
      <c r="E407" s="225">
        <f t="shared" ref="E407:E408" si="66">C407</f>
        <v>55000</v>
      </c>
      <c r="F407" s="244">
        <f t="shared" ref="F407:F408" si="67">23%</f>
        <v>0.23</v>
      </c>
      <c r="G407" s="226">
        <f t="shared" ref="G407:G408" si="68">E407*F407</f>
        <v>12650</v>
      </c>
      <c r="H407" s="449">
        <f>G407+G408</f>
        <v>20700</v>
      </c>
    </row>
    <row r="408" spans="1:8" ht="14.25" customHeight="1">
      <c r="A408" s="460" t="s">
        <v>178</v>
      </c>
      <c r="B408" s="454"/>
      <c r="C408" s="230">
        <v>35000</v>
      </c>
      <c r="D408" s="229">
        <v>0</v>
      </c>
      <c r="E408" s="230">
        <f t="shared" si="66"/>
        <v>35000</v>
      </c>
      <c r="F408" s="245">
        <f t="shared" si="67"/>
        <v>0.23</v>
      </c>
      <c r="G408" s="232">
        <f t="shared" si="68"/>
        <v>8050</v>
      </c>
      <c r="H408" s="448"/>
    </row>
    <row r="409" spans="1:8" ht="14.25" customHeight="1">
      <c r="C409" s="213"/>
      <c r="D409" s="213"/>
      <c r="F409" s="213"/>
    </row>
    <row r="410" spans="1:8" ht="14.25" customHeight="1">
      <c r="C410" s="213"/>
      <c r="D410" s="213"/>
      <c r="F410" s="213"/>
    </row>
    <row r="411" spans="1:8" ht="14.25" customHeight="1">
      <c r="C411" s="213"/>
      <c r="D411" s="213"/>
      <c r="F411" s="213"/>
    </row>
    <row r="412" spans="1:8" ht="14.25" customHeight="1">
      <c r="C412" s="213"/>
      <c r="D412" s="213"/>
      <c r="F412" s="213"/>
    </row>
    <row r="413" spans="1:8" ht="14.25" customHeight="1">
      <c r="C413" s="213"/>
      <c r="D413" s="213"/>
      <c r="F413" s="213"/>
    </row>
    <row r="414" spans="1:8" ht="14.25" customHeight="1">
      <c r="C414" s="213"/>
      <c r="D414" s="213"/>
      <c r="F414" s="213"/>
    </row>
    <row r="415" spans="1:8" ht="14.25" customHeight="1">
      <c r="A415" s="214" t="s">
        <v>137</v>
      </c>
      <c r="C415" s="213"/>
      <c r="D415" s="471" t="s">
        <v>250</v>
      </c>
      <c r="E415" s="430"/>
      <c r="F415" s="430"/>
      <c r="G415" s="430"/>
    </row>
    <row r="416" spans="1:8" ht="14.25" customHeight="1">
      <c r="A416" s="214"/>
      <c r="C416" s="213"/>
      <c r="D416" s="216"/>
      <c r="E416" s="215"/>
      <c r="F416" s="216"/>
      <c r="G416" s="215"/>
    </row>
    <row r="417" spans="1:9" ht="14.25" customHeight="1">
      <c r="A417" s="217" t="s">
        <v>139</v>
      </c>
      <c r="B417" s="472" t="s">
        <v>251</v>
      </c>
      <c r="C417" s="430"/>
      <c r="D417" s="430"/>
      <c r="E417" s="430"/>
      <c r="F417" s="430"/>
      <c r="G417" s="218" t="s">
        <v>140</v>
      </c>
      <c r="H417" s="217" t="s">
        <v>252</v>
      </c>
    </row>
    <row r="418" spans="1:9" ht="14.25" customHeight="1">
      <c r="A418" s="214" t="s">
        <v>142</v>
      </c>
      <c r="B418" s="213" t="s">
        <v>142</v>
      </c>
      <c r="C418" s="213"/>
      <c r="D418" s="213"/>
      <c r="E418" s="213"/>
      <c r="F418" s="216" t="s">
        <v>143</v>
      </c>
      <c r="G418" s="219">
        <f>H421+H428+H432+H436</f>
        <v>854673.75</v>
      </c>
    </row>
    <row r="419" spans="1:9" ht="14.25" customHeight="1">
      <c r="A419" s="214" t="s">
        <v>145</v>
      </c>
      <c r="C419" s="213"/>
      <c r="D419" s="213"/>
      <c r="E419" s="213"/>
      <c r="F419" s="213"/>
    </row>
    <row r="420" spans="1:9" ht="14.25" customHeight="1">
      <c r="A420" s="456" t="s">
        <v>147</v>
      </c>
      <c r="B420" s="457"/>
      <c r="C420" s="221" t="s">
        <v>148</v>
      </c>
      <c r="D420" s="221"/>
      <c r="E420" s="221" t="s">
        <v>149</v>
      </c>
      <c r="F420" s="221" t="s">
        <v>150</v>
      </c>
      <c r="G420" s="222" t="s">
        <v>151</v>
      </c>
      <c r="H420" s="223" t="s">
        <v>152</v>
      </c>
    </row>
    <row r="421" spans="1:9" ht="14.25" customHeight="1">
      <c r="A421" s="459" t="s">
        <v>153</v>
      </c>
      <c r="B421" s="451"/>
      <c r="C421" s="224"/>
      <c r="D421" s="224"/>
      <c r="E421" s="225">
        <f>7500</f>
        <v>7500</v>
      </c>
      <c r="F421" s="224">
        <f>0</f>
        <v>0</v>
      </c>
      <c r="G421" s="226">
        <f t="shared" ref="G421:G424" si="69">E421*F421</f>
        <v>0</v>
      </c>
      <c r="H421" s="449">
        <f>SUM(G421:G424)</f>
        <v>5013.75</v>
      </c>
    </row>
    <row r="422" spans="1:9" ht="14.25" customHeight="1">
      <c r="A422" s="227" t="s">
        <v>154</v>
      </c>
      <c r="B422" s="228"/>
      <c r="C422" s="224"/>
      <c r="D422" s="224"/>
      <c r="E422" s="225">
        <f>20110/8</f>
        <v>2513.75</v>
      </c>
      <c r="F422" s="224">
        <f>1</f>
        <v>1</v>
      </c>
      <c r="G422" s="226">
        <f t="shared" si="69"/>
        <v>2513.75</v>
      </c>
      <c r="H422" s="447"/>
    </row>
    <row r="423" spans="1:9" ht="14.25" customHeight="1">
      <c r="A423" s="227" t="s">
        <v>155</v>
      </c>
      <c r="B423" s="228"/>
      <c r="C423" s="224"/>
      <c r="D423" s="224"/>
      <c r="E423" s="225">
        <f>60000/8</f>
        <v>7500</v>
      </c>
      <c r="F423" s="224">
        <f>8*0</f>
        <v>0</v>
      </c>
      <c r="G423" s="226">
        <f t="shared" si="69"/>
        <v>0</v>
      </c>
      <c r="H423" s="447"/>
    </row>
    <row r="424" spans="1:9" ht="14.25" customHeight="1">
      <c r="A424" s="460" t="s">
        <v>156</v>
      </c>
      <c r="B424" s="454"/>
      <c r="C424" s="229"/>
      <c r="D424" s="229"/>
      <c r="E424" s="230">
        <f>2500</f>
        <v>2500</v>
      </c>
      <c r="F424" s="231">
        <f>1</f>
        <v>1</v>
      </c>
      <c r="G424" s="232">
        <f t="shared" si="69"/>
        <v>2500</v>
      </c>
      <c r="H424" s="448"/>
    </row>
    <row r="425" spans="1:9" ht="14.25" customHeight="1">
      <c r="C425" s="213"/>
      <c r="D425" s="213"/>
      <c r="E425" s="213"/>
      <c r="F425" s="213"/>
    </row>
    <row r="426" spans="1:9" ht="14.25" customHeight="1">
      <c r="A426" s="254" t="s">
        <v>157</v>
      </c>
      <c r="B426" s="222"/>
      <c r="C426" s="221"/>
      <c r="D426" s="221"/>
      <c r="E426" s="221"/>
      <c r="F426" s="221"/>
      <c r="G426" s="222"/>
      <c r="H426" s="223"/>
    </row>
    <row r="427" spans="1:9" ht="14.25" customHeight="1">
      <c r="A427" s="227" t="s">
        <v>147</v>
      </c>
      <c r="B427" s="228"/>
      <c r="C427" s="224" t="s">
        <v>158</v>
      </c>
      <c r="D427" s="224"/>
      <c r="E427" s="224" t="s">
        <v>159</v>
      </c>
      <c r="F427" s="224" t="s">
        <v>160</v>
      </c>
      <c r="G427" s="228" t="s">
        <v>161</v>
      </c>
      <c r="H427" s="255" t="s">
        <v>152</v>
      </c>
    </row>
    <row r="428" spans="1:9" ht="14.25" customHeight="1">
      <c r="A428" s="483" t="s">
        <v>253</v>
      </c>
      <c r="B428" s="454"/>
      <c r="C428" s="256" t="s">
        <v>158</v>
      </c>
      <c r="D428" s="256"/>
      <c r="E428" s="263">
        <f>804660</f>
        <v>804660</v>
      </c>
      <c r="F428" s="265">
        <f>1</f>
        <v>1</v>
      </c>
      <c r="G428" s="259">
        <f>E428*F428</f>
        <v>804660</v>
      </c>
      <c r="H428" s="264">
        <f>SUM(G428)</f>
        <v>804660</v>
      </c>
      <c r="I428" s="220"/>
    </row>
    <row r="429" spans="1:9" ht="14.25" customHeight="1">
      <c r="A429" s="455"/>
      <c r="B429" s="430"/>
      <c r="C429" s="213"/>
      <c r="D429" s="213"/>
      <c r="E429" s="213"/>
      <c r="F429" s="213"/>
    </row>
    <row r="430" spans="1:9" ht="14.25" customHeight="1">
      <c r="A430" s="214" t="s">
        <v>165</v>
      </c>
      <c r="C430" s="213"/>
      <c r="D430" s="213"/>
      <c r="E430" s="213"/>
      <c r="F430" s="213"/>
    </row>
    <row r="431" spans="1:9" ht="14.25" customHeight="1">
      <c r="A431" s="456" t="s">
        <v>147</v>
      </c>
      <c r="B431" s="457"/>
      <c r="C431" s="221" t="s">
        <v>166</v>
      </c>
      <c r="D431" s="221" t="s">
        <v>167</v>
      </c>
      <c r="E431" s="221" t="s">
        <v>168</v>
      </c>
      <c r="F431" s="221" t="s">
        <v>169</v>
      </c>
      <c r="G431" s="221" t="s">
        <v>170</v>
      </c>
      <c r="H431" s="240" t="s">
        <v>152</v>
      </c>
    </row>
    <row r="432" spans="1:9" ht="14.25" customHeight="1">
      <c r="A432" s="458" t="s">
        <v>171</v>
      </c>
      <c r="B432" s="454"/>
      <c r="C432" s="229">
        <f>1</f>
        <v>1</v>
      </c>
      <c r="D432" s="231">
        <f>27.504</f>
        <v>27.504000000000001</v>
      </c>
      <c r="E432" s="241">
        <f>369.3</f>
        <v>369.3</v>
      </c>
      <c r="F432" s="229">
        <f>2.5</f>
        <v>2.5</v>
      </c>
      <c r="G432" s="232">
        <f>E432*D432*F432*0</f>
        <v>0</v>
      </c>
      <c r="H432" s="242">
        <f>+G432</f>
        <v>0</v>
      </c>
    </row>
    <row r="433" spans="1:8" ht="14.25" customHeight="1">
      <c r="C433" s="213"/>
      <c r="D433" s="213"/>
      <c r="E433" s="213"/>
      <c r="F433" s="213"/>
    </row>
    <row r="434" spans="1:8" ht="14.25" customHeight="1">
      <c r="A434" s="214" t="s">
        <v>172</v>
      </c>
      <c r="C434" s="213"/>
      <c r="D434" s="213"/>
      <c r="E434" s="213"/>
      <c r="F434" s="213"/>
    </row>
    <row r="435" spans="1:8" ht="14.25" customHeight="1">
      <c r="A435" s="233" t="s">
        <v>147</v>
      </c>
      <c r="B435" s="222"/>
      <c r="C435" s="221" t="s">
        <v>173</v>
      </c>
      <c r="D435" s="221" t="s">
        <v>174</v>
      </c>
      <c r="E435" s="221" t="s">
        <v>175</v>
      </c>
      <c r="F435" s="221" t="s">
        <v>150</v>
      </c>
      <c r="G435" s="243" t="s">
        <v>176</v>
      </c>
      <c r="H435" s="223" t="s">
        <v>152</v>
      </c>
    </row>
    <row r="436" spans="1:8" ht="14.25" customHeight="1">
      <c r="A436" s="459" t="s">
        <v>177</v>
      </c>
      <c r="B436" s="451"/>
      <c r="C436" s="225">
        <v>55000</v>
      </c>
      <c r="D436" s="224">
        <v>0</v>
      </c>
      <c r="E436" s="225">
        <f t="shared" ref="E436:E437" si="70">C436</f>
        <v>55000</v>
      </c>
      <c r="F436" s="244">
        <f t="shared" ref="F436:F437" si="71">50%</f>
        <v>0.5</v>
      </c>
      <c r="G436" s="226">
        <f t="shared" ref="G436:G437" si="72">E436*F436</f>
        <v>27500</v>
      </c>
      <c r="H436" s="449">
        <f>G436+G437</f>
        <v>45000</v>
      </c>
    </row>
    <row r="437" spans="1:8" ht="14.25" customHeight="1">
      <c r="A437" s="460" t="s">
        <v>178</v>
      </c>
      <c r="B437" s="454"/>
      <c r="C437" s="230">
        <v>35000</v>
      </c>
      <c r="D437" s="229">
        <v>0</v>
      </c>
      <c r="E437" s="230">
        <f t="shared" si="70"/>
        <v>35000</v>
      </c>
      <c r="F437" s="245">
        <f t="shared" si="71"/>
        <v>0.5</v>
      </c>
      <c r="G437" s="232">
        <f t="shared" si="72"/>
        <v>17500</v>
      </c>
      <c r="H437" s="448"/>
    </row>
    <row r="438" spans="1:8" ht="14.25" customHeight="1">
      <c r="C438" s="213"/>
      <c r="D438" s="213"/>
      <c r="F438" s="213"/>
    </row>
    <row r="439" spans="1:8" ht="14.25" customHeight="1">
      <c r="C439" s="213"/>
      <c r="D439" s="213"/>
      <c r="F439" s="213"/>
    </row>
    <row r="440" spans="1:8" ht="14.25" customHeight="1">
      <c r="C440" s="213"/>
      <c r="D440" s="213"/>
      <c r="F440" s="213"/>
    </row>
    <row r="441" spans="1:8" ht="14.25" customHeight="1">
      <c r="C441" s="213"/>
      <c r="D441" s="213"/>
      <c r="F441" s="213"/>
    </row>
    <row r="442" spans="1:8" ht="14.25" customHeight="1">
      <c r="C442" s="213"/>
      <c r="D442" s="213"/>
      <c r="F442" s="213"/>
    </row>
    <row r="443" spans="1:8" ht="14.25" customHeight="1">
      <c r="C443" s="213"/>
      <c r="D443" s="213"/>
      <c r="F443" s="213"/>
    </row>
    <row r="444" spans="1:8" ht="14.25" customHeight="1">
      <c r="A444" s="214" t="s">
        <v>137</v>
      </c>
      <c r="C444" s="213"/>
      <c r="D444" s="471" t="s">
        <v>254</v>
      </c>
      <c r="E444" s="430"/>
      <c r="F444" s="430"/>
      <c r="G444" s="430"/>
    </row>
    <row r="445" spans="1:8" ht="14.25" customHeight="1">
      <c r="A445" s="214"/>
      <c r="C445" s="213"/>
      <c r="D445" s="216"/>
      <c r="E445" s="215"/>
      <c r="F445" s="216"/>
      <c r="G445" s="215"/>
    </row>
    <row r="446" spans="1:8" ht="14.25" customHeight="1">
      <c r="A446" s="217" t="s">
        <v>139</v>
      </c>
      <c r="B446" s="472" t="s">
        <v>255</v>
      </c>
      <c r="C446" s="430"/>
      <c r="D446" s="430"/>
      <c r="E446" s="430"/>
      <c r="F446" s="430"/>
      <c r="G446" s="218" t="s">
        <v>140</v>
      </c>
      <c r="H446" s="217" t="s">
        <v>256</v>
      </c>
    </row>
    <row r="447" spans="1:8" ht="14.25" customHeight="1">
      <c r="A447" s="214" t="s">
        <v>142</v>
      </c>
      <c r="B447" s="213" t="s">
        <v>142</v>
      </c>
      <c r="C447" s="213"/>
      <c r="D447" s="213"/>
      <c r="E447" s="213"/>
      <c r="F447" s="216" t="s">
        <v>143</v>
      </c>
      <c r="G447" s="219">
        <f>H450+H457+H461+H465</f>
        <v>854673.75</v>
      </c>
    </row>
    <row r="448" spans="1:8" ht="14.25" customHeight="1">
      <c r="A448" s="214" t="s">
        <v>145</v>
      </c>
      <c r="C448" s="213"/>
      <c r="D448" s="213"/>
      <c r="E448" s="213"/>
      <c r="F448" s="213"/>
    </row>
    <row r="449" spans="1:8" ht="14.25" customHeight="1">
      <c r="A449" s="456" t="s">
        <v>147</v>
      </c>
      <c r="B449" s="457"/>
      <c r="C449" s="221" t="s">
        <v>148</v>
      </c>
      <c r="D449" s="221"/>
      <c r="E449" s="221" t="s">
        <v>149</v>
      </c>
      <c r="F449" s="221" t="s">
        <v>150</v>
      </c>
      <c r="G449" s="222" t="s">
        <v>151</v>
      </c>
      <c r="H449" s="223" t="s">
        <v>152</v>
      </c>
    </row>
    <row r="450" spans="1:8" ht="14.25" customHeight="1">
      <c r="A450" s="459" t="s">
        <v>153</v>
      </c>
      <c r="B450" s="451"/>
      <c r="C450" s="224"/>
      <c r="D450" s="224"/>
      <c r="E450" s="225">
        <f>7500</f>
        <v>7500</v>
      </c>
      <c r="F450" s="224">
        <f>0</f>
        <v>0</v>
      </c>
      <c r="G450" s="226">
        <f t="shared" ref="G450:G453" si="73">E450*F450</f>
        <v>0</v>
      </c>
      <c r="H450" s="449">
        <f>SUM(G450:G453)</f>
        <v>5013.75</v>
      </c>
    </row>
    <row r="451" spans="1:8" ht="14.25" customHeight="1">
      <c r="A451" s="227" t="s">
        <v>154</v>
      </c>
      <c r="B451" s="228"/>
      <c r="C451" s="224"/>
      <c r="D451" s="224"/>
      <c r="E451" s="225">
        <f>20110/8</f>
        <v>2513.75</v>
      </c>
      <c r="F451" s="224">
        <f>1</f>
        <v>1</v>
      </c>
      <c r="G451" s="226">
        <f t="shared" si="73"/>
        <v>2513.75</v>
      </c>
      <c r="H451" s="447"/>
    </row>
    <row r="452" spans="1:8" ht="14.25" customHeight="1">
      <c r="A452" s="227" t="s">
        <v>155</v>
      </c>
      <c r="B452" s="228"/>
      <c r="C452" s="224"/>
      <c r="D452" s="224"/>
      <c r="E452" s="225">
        <f>60000/8</f>
        <v>7500</v>
      </c>
      <c r="F452" s="224">
        <f>8*0</f>
        <v>0</v>
      </c>
      <c r="G452" s="226">
        <f t="shared" si="73"/>
        <v>0</v>
      </c>
      <c r="H452" s="447"/>
    </row>
    <row r="453" spans="1:8" ht="14.25" customHeight="1">
      <c r="A453" s="460" t="s">
        <v>156</v>
      </c>
      <c r="B453" s="454"/>
      <c r="C453" s="229"/>
      <c r="D453" s="229"/>
      <c r="E453" s="230">
        <f>2500</f>
        <v>2500</v>
      </c>
      <c r="F453" s="231">
        <f>1</f>
        <v>1</v>
      </c>
      <c r="G453" s="232">
        <f t="shared" si="73"/>
        <v>2500</v>
      </c>
      <c r="H453" s="448"/>
    </row>
    <row r="454" spans="1:8" ht="14.25" customHeight="1">
      <c r="C454" s="213"/>
      <c r="D454" s="213"/>
      <c r="E454" s="213"/>
      <c r="F454" s="213"/>
    </row>
    <row r="455" spans="1:8" ht="14.25" customHeight="1">
      <c r="A455" s="254" t="s">
        <v>157</v>
      </c>
      <c r="B455" s="222"/>
      <c r="C455" s="221"/>
      <c r="D455" s="221"/>
      <c r="E455" s="221"/>
      <c r="F455" s="221"/>
      <c r="G455" s="222"/>
      <c r="H455" s="223"/>
    </row>
    <row r="456" spans="1:8" ht="14.25" customHeight="1">
      <c r="A456" s="227" t="s">
        <v>147</v>
      </c>
      <c r="B456" s="228"/>
      <c r="C456" s="224" t="s">
        <v>158</v>
      </c>
      <c r="D456" s="224"/>
      <c r="E456" s="224" t="s">
        <v>159</v>
      </c>
      <c r="F456" s="224" t="s">
        <v>160</v>
      </c>
      <c r="G456" s="228" t="s">
        <v>161</v>
      </c>
      <c r="H456" s="255" t="s">
        <v>152</v>
      </c>
    </row>
    <row r="457" spans="1:8" ht="14.25" customHeight="1">
      <c r="A457" s="483" t="s">
        <v>257</v>
      </c>
      <c r="B457" s="454"/>
      <c r="C457" s="256" t="s">
        <v>158</v>
      </c>
      <c r="D457" s="256"/>
      <c r="E457" s="263">
        <f>804660</f>
        <v>804660</v>
      </c>
      <c r="F457" s="265">
        <f>1</f>
        <v>1</v>
      </c>
      <c r="G457" s="259">
        <f>E457*F457</f>
        <v>804660</v>
      </c>
      <c r="H457" s="264">
        <f>SUM(G457)</f>
        <v>804660</v>
      </c>
    </row>
    <row r="458" spans="1:8" ht="14.25" customHeight="1">
      <c r="A458" s="455"/>
      <c r="B458" s="430"/>
      <c r="C458" s="213"/>
      <c r="D458" s="213"/>
      <c r="E458" s="213"/>
      <c r="F458" s="213"/>
    </row>
    <row r="459" spans="1:8" ht="14.25" customHeight="1">
      <c r="A459" s="214" t="s">
        <v>165</v>
      </c>
      <c r="C459" s="213"/>
      <c r="D459" s="213"/>
      <c r="E459" s="213"/>
      <c r="F459" s="213"/>
    </row>
    <row r="460" spans="1:8" ht="14.25" customHeight="1">
      <c r="A460" s="456" t="s">
        <v>147</v>
      </c>
      <c r="B460" s="457"/>
      <c r="C460" s="221" t="s">
        <v>166</v>
      </c>
      <c r="D460" s="221" t="s">
        <v>167</v>
      </c>
      <c r="E460" s="221" t="s">
        <v>168</v>
      </c>
      <c r="F460" s="221" t="s">
        <v>169</v>
      </c>
      <c r="G460" s="221" t="s">
        <v>170</v>
      </c>
      <c r="H460" s="240" t="s">
        <v>152</v>
      </c>
    </row>
    <row r="461" spans="1:8" ht="14.25" customHeight="1">
      <c r="A461" s="458" t="s">
        <v>171</v>
      </c>
      <c r="B461" s="454"/>
      <c r="C461" s="229">
        <f>1</f>
        <v>1</v>
      </c>
      <c r="D461" s="231">
        <f>27.504</f>
        <v>27.504000000000001</v>
      </c>
      <c r="E461" s="241">
        <f>369.3</f>
        <v>369.3</v>
      </c>
      <c r="F461" s="229">
        <f>2.5</f>
        <v>2.5</v>
      </c>
      <c r="G461" s="232">
        <f>E461*D461*F461*0</f>
        <v>0</v>
      </c>
      <c r="H461" s="242">
        <f>+G461</f>
        <v>0</v>
      </c>
    </row>
    <row r="462" spans="1:8" ht="14.25" customHeight="1">
      <c r="C462" s="213"/>
      <c r="D462" s="213"/>
      <c r="E462" s="213"/>
      <c r="F462" s="213"/>
    </row>
    <row r="463" spans="1:8" ht="14.25" customHeight="1">
      <c r="A463" s="214" t="s">
        <v>172</v>
      </c>
      <c r="C463" s="213"/>
      <c r="D463" s="213"/>
      <c r="E463" s="213"/>
      <c r="F463" s="213"/>
    </row>
    <row r="464" spans="1:8" ht="14.25" customHeight="1">
      <c r="A464" s="233" t="s">
        <v>147</v>
      </c>
      <c r="B464" s="222"/>
      <c r="C464" s="221" t="s">
        <v>173</v>
      </c>
      <c r="D464" s="221" t="s">
        <v>174</v>
      </c>
      <c r="E464" s="221" t="s">
        <v>175</v>
      </c>
      <c r="F464" s="221" t="s">
        <v>150</v>
      </c>
      <c r="G464" s="243" t="s">
        <v>176</v>
      </c>
      <c r="H464" s="223" t="s">
        <v>152</v>
      </c>
    </row>
    <row r="465" spans="1:8" ht="14.25" customHeight="1">
      <c r="A465" s="459" t="s">
        <v>177</v>
      </c>
      <c r="B465" s="451"/>
      <c r="C465" s="225">
        <v>55000</v>
      </c>
      <c r="D465" s="224">
        <v>0</v>
      </c>
      <c r="E465" s="225">
        <f t="shared" ref="E465:E466" si="74">C465</f>
        <v>55000</v>
      </c>
      <c r="F465" s="244">
        <f t="shared" ref="F465:F466" si="75">50%</f>
        <v>0.5</v>
      </c>
      <c r="G465" s="226">
        <f t="shared" ref="G465:G466" si="76">E465*F465</f>
        <v>27500</v>
      </c>
      <c r="H465" s="449">
        <f>G465+G466</f>
        <v>45000</v>
      </c>
    </row>
    <row r="466" spans="1:8" ht="14.25" customHeight="1">
      <c r="A466" s="460" t="s">
        <v>178</v>
      </c>
      <c r="B466" s="454"/>
      <c r="C466" s="230">
        <v>35000</v>
      </c>
      <c r="D466" s="229">
        <v>0</v>
      </c>
      <c r="E466" s="230">
        <f t="shared" si="74"/>
        <v>35000</v>
      </c>
      <c r="F466" s="245">
        <f t="shared" si="75"/>
        <v>0.5</v>
      </c>
      <c r="G466" s="232">
        <f t="shared" si="76"/>
        <v>17500</v>
      </c>
      <c r="H466" s="448"/>
    </row>
    <row r="467" spans="1:8" ht="14.25" customHeight="1">
      <c r="C467" s="213"/>
      <c r="D467" s="213"/>
      <c r="F467" s="213"/>
    </row>
    <row r="468" spans="1:8" ht="14.25" customHeight="1">
      <c r="C468" s="213"/>
      <c r="D468" s="213"/>
      <c r="F468" s="213"/>
    </row>
    <row r="469" spans="1:8" ht="14.25" customHeight="1">
      <c r="C469" s="213"/>
      <c r="D469" s="213"/>
      <c r="F469" s="213"/>
    </row>
    <row r="470" spans="1:8" ht="14.25" customHeight="1">
      <c r="C470" s="213"/>
      <c r="D470" s="213"/>
      <c r="F470" s="213"/>
    </row>
    <row r="471" spans="1:8" ht="14.25" customHeight="1">
      <c r="C471" s="213"/>
      <c r="D471" s="213"/>
      <c r="F471" s="213"/>
    </row>
    <row r="472" spans="1:8" ht="14.25" customHeight="1">
      <c r="C472" s="213"/>
      <c r="D472" s="213"/>
      <c r="F472" s="213"/>
    </row>
    <row r="473" spans="1:8" ht="14.25" customHeight="1">
      <c r="A473" s="214" t="s">
        <v>137</v>
      </c>
      <c r="C473" s="213"/>
      <c r="D473" s="471" t="s">
        <v>258</v>
      </c>
      <c r="E473" s="430"/>
      <c r="F473" s="430"/>
      <c r="G473" s="430"/>
    </row>
    <row r="474" spans="1:8" ht="14.25" customHeight="1">
      <c r="A474" s="214"/>
      <c r="C474" s="213"/>
      <c r="D474" s="216"/>
      <c r="E474" s="215"/>
      <c r="F474" s="216"/>
      <c r="G474" s="215"/>
    </row>
    <row r="475" spans="1:8" ht="14.25" customHeight="1">
      <c r="A475" s="217" t="s">
        <v>139</v>
      </c>
      <c r="B475" s="472" t="s">
        <v>259</v>
      </c>
      <c r="C475" s="430"/>
      <c r="D475" s="430"/>
      <c r="E475" s="430"/>
      <c r="F475" s="430"/>
      <c r="G475" s="218" t="s">
        <v>140</v>
      </c>
      <c r="H475" s="217" t="s">
        <v>260</v>
      </c>
    </row>
    <row r="476" spans="1:8" ht="14.25" customHeight="1">
      <c r="A476" s="214" t="s">
        <v>142</v>
      </c>
      <c r="B476" s="213" t="s">
        <v>26</v>
      </c>
      <c r="C476" s="213"/>
      <c r="D476" s="213"/>
      <c r="E476" s="213"/>
      <c r="F476" s="216" t="s">
        <v>143</v>
      </c>
      <c r="G476" s="219">
        <f>H479+H486+H492+H496</f>
        <v>204673.85500000001</v>
      </c>
    </row>
    <row r="477" spans="1:8" ht="14.25" customHeight="1">
      <c r="A477" s="214" t="s">
        <v>145</v>
      </c>
      <c r="C477" s="213"/>
      <c r="D477" s="213"/>
      <c r="E477" s="213"/>
      <c r="F477" s="213"/>
    </row>
    <row r="478" spans="1:8" ht="14.25" customHeight="1">
      <c r="A478" s="456" t="s">
        <v>147</v>
      </c>
      <c r="B478" s="457"/>
      <c r="C478" s="221" t="s">
        <v>148</v>
      </c>
      <c r="D478" s="221"/>
      <c r="E478" s="221" t="s">
        <v>149</v>
      </c>
      <c r="F478" s="221" t="s">
        <v>150</v>
      </c>
      <c r="G478" s="222" t="s">
        <v>151</v>
      </c>
      <c r="H478" s="223" t="s">
        <v>152</v>
      </c>
    </row>
    <row r="479" spans="1:8" ht="14.25" customHeight="1">
      <c r="A479" s="459" t="s">
        <v>153</v>
      </c>
      <c r="B479" s="451"/>
      <c r="C479" s="224"/>
      <c r="D479" s="224"/>
      <c r="E479" s="225">
        <f>7500</f>
        <v>7500</v>
      </c>
      <c r="F479" s="224">
        <f>0</f>
        <v>0</v>
      </c>
      <c r="G479" s="226">
        <f t="shared" ref="G479:G482" si="77">E479*F479</f>
        <v>0</v>
      </c>
      <c r="H479" s="449">
        <f>SUM(G479:G482)</f>
        <v>5013.75</v>
      </c>
    </row>
    <row r="480" spans="1:8" ht="14.25" customHeight="1">
      <c r="A480" s="227" t="s">
        <v>154</v>
      </c>
      <c r="B480" s="228"/>
      <c r="C480" s="224"/>
      <c r="D480" s="224"/>
      <c r="E480" s="225">
        <f>20110/8</f>
        <v>2513.75</v>
      </c>
      <c r="F480" s="224">
        <f>1</f>
        <v>1</v>
      </c>
      <c r="G480" s="226">
        <f t="shared" si="77"/>
        <v>2513.75</v>
      </c>
      <c r="H480" s="447"/>
    </row>
    <row r="481" spans="1:9" ht="14.25" customHeight="1">
      <c r="A481" s="227" t="s">
        <v>155</v>
      </c>
      <c r="B481" s="228"/>
      <c r="C481" s="224"/>
      <c r="D481" s="224"/>
      <c r="E481" s="225">
        <f>60000/8</f>
        <v>7500</v>
      </c>
      <c r="F481" s="224">
        <f>8*0</f>
        <v>0</v>
      </c>
      <c r="G481" s="226">
        <f t="shared" si="77"/>
        <v>0</v>
      </c>
      <c r="H481" s="447"/>
    </row>
    <row r="482" spans="1:9" ht="14.25" customHeight="1">
      <c r="A482" s="460" t="s">
        <v>156</v>
      </c>
      <c r="B482" s="454"/>
      <c r="C482" s="229"/>
      <c r="D482" s="229"/>
      <c r="E482" s="230">
        <f>2500</f>
        <v>2500</v>
      </c>
      <c r="F482" s="231">
        <f>1</f>
        <v>1</v>
      </c>
      <c r="G482" s="232">
        <f t="shared" si="77"/>
        <v>2500</v>
      </c>
      <c r="H482" s="448"/>
    </row>
    <row r="483" spans="1:9" ht="14.25" customHeight="1">
      <c r="C483" s="213"/>
      <c r="D483" s="213"/>
      <c r="E483" s="213"/>
      <c r="F483" s="213"/>
    </row>
    <row r="484" spans="1:9" ht="14.25" customHeight="1">
      <c r="A484" s="214" t="s">
        <v>157</v>
      </c>
      <c r="C484" s="213"/>
      <c r="D484" s="213"/>
      <c r="E484" s="213"/>
      <c r="F484" s="213"/>
    </row>
    <row r="485" spans="1:9" ht="14.25" customHeight="1">
      <c r="A485" s="233" t="s">
        <v>147</v>
      </c>
      <c r="B485" s="222"/>
      <c r="C485" s="221" t="s">
        <v>158</v>
      </c>
      <c r="D485" s="221"/>
      <c r="E485" s="221" t="s">
        <v>159</v>
      </c>
      <c r="F485" s="221" t="s">
        <v>160</v>
      </c>
      <c r="G485" s="222" t="s">
        <v>161</v>
      </c>
      <c r="H485" s="223" t="s">
        <v>152</v>
      </c>
    </row>
    <row r="486" spans="1:9" ht="14.25" customHeight="1">
      <c r="A486" s="465" t="s">
        <v>261</v>
      </c>
      <c r="B486" s="451"/>
      <c r="C486" s="247" t="s">
        <v>158</v>
      </c>
      <c r="D486" s="224"/>
      <c r="E486" s="251">
        <f>153425</f>
        <v>153425</v>
      </c>
      <c r="F486" s="247">
        <f>1</f>
        <v>1</v>
      </c>
      <c r="G486" s="266">
        <f t="shared" ref="G486:G488" si="78">E486*F486</f>
        <v>153425</v>
      </c>
      <c r="H486" s="449">
        <f>SUM(G486:G488)</f>
        <v>154660.10500000001</v>
      </c>
    </row>
    <row r="487" spans="1:9" ht="14.25" customHeight="1">
      <c r="A487" s="465" t="s">
        <v>262</v>
      </c>
      <c r="B487" s="451"/>
      <c r="C487" s="247" t="s">
        <v>158</v>
      </c>
      <c r="D487" s="224"/>
      <c r="E487" s="251">
        <f>1500</f>
        <v>1500</v>
      </c>
      <c r="F487" s="247">
        <f>0.5</f>
        <v>0.5</v>
      </c>
      <c r="G487" s="266">
        <f t="shared" si="78"/>
        <v>750</v>
      </c>
      <c r="H487" s="447"/>
      <c r="I487" s="220"/>
    </row>
    <row r="488" spans="1:9" ht="14.25" customHeight="1">
      <c r="A488" s="267" t="s">
        <v>263</v>
      </c>
      <c r="B488" s="260"/>
      <c r="C488" s="229" t="s">
        <v>158</v>
      </c>
      <c r="D488" s="229"/>
      <c r="E488" s="230">
        <v>97021</v>
      </c>
      <c r="F488" s="229">
        <f>0.005</f>
        <v>5.0000000000000001E-3</v>
      </c>
      <c r="G488" s="268">
        <f t="shared" si="78"/>
        <v>485.10500000000002</v>
      </c>
      <c r="H488" s="448"/>
    </row>
    <row r="489" spans="1:9" ht="14.25" customHeight="1">
      <c r="A489" s="484"/>
      <c r="B489" s="485"/>
      <c r="C489" s="213"/>
      <c r="D489" s="213"/>
      <c r="E489" s="213"/>
      <c r="F489" s="213"/>
    </row>
    <row r="490" spans="1:9" ht="14.25" customHeight="1">
      <c r="A490" s="214" t="s">
        <v>165</v>
      </c>
      <c r="C490" s="213"/>
      <c r="D490" s="213"/>
      <c r="E490" s="213"/>
      <c r="F490" s="213"/>
    </row>
    <row r="491" spans="1:9" ht="14.25" customHeight="1">
      <c r="A491" s="456" t="s">
        <v>147</v>
      </c>
      <c r="B491" s="457"/>
      <c r="C491" s="221" t="s">
        <v>166</v>
      </c>
      <c r="D491" s="221" t="s">
        <v>167</v>
      </c>
      <c r="E491" s="221" t="s">
        <v>168</v>
      </c>
      <c r="F491" s="221" t="s">
        <v>169</v>
      </c>
      <c r="G491" s="221" t="s">
        <v>170</v>
      </c>
      <c r="H491" s="240" t="s">
        <v>152</v>
      </c>
    </row>
    <row r="492" spans="1:9" ht="14.25" customHeight="1">
      <c r="A492" s="458" t="s">
        <v>171</v>
      </c>
      <c r="B492" s="454"/>
      <c r="C492" s="229">
        <f>1</f>
        <v>1</v>
      </c>
      <c r="D492" s="231">
        <f>27.504</f>
        <v>27.504000000000001</v>
      </c>
      <c r="E492" s="241">
        <f>369.3</f>
        <v>369.3</v>
      </c>
      <c r="F492" s="229">
        <f>2.5</f>
        <v>2.5</v>
      </c>
      <c r="G492" s="232">
        <f>E492*D492*F492*0</f>
        <v>0</v>
      </c>
      <c r="H492" s="242">
        <f>+G492</f>
        <v>0</v>
      </c>
    </row>
    <row r="493" spans="1:9" ht="14.25" customHeight="1">
      <c r="C493" s="213"/>
      <c r="D493" s="213"/>
      <c r="E493" s="213"/>
      <c r="F493" s="213"/>
    </row>
    <row r="494" spans="1:9" ht="14.25" customHeight="1">
      <c r="A494" s="214" t="s">
        <v>172</v>
      </c>
      <c r="C494" s="213"/>
      <c r="D494" s="213"/>
      <c r="E494" s="213"/>
      <c r="F494" s="213"/>
    </row>
    <row r="495" spans="1:9" ht="14.25" customHeight="1">
      <c r="A495" s="233" t="s">
        <v>147</v>
      </c>
      <c r="B495" s="222"/>
      <c r="C495" s="221" t="s">
        <v>173</v>
      </c>
      <c r="D495" s="221" t="s">
        <v>174</v>
      </c>
      <c r="E495" s="221" t="s">
        <v>175</v>
      </c>
      <c r="F495" s="221" t="s">
        <v>150</v>
      </c>
      <c r="G495" s="243" t="s">
        <v>176</v>
      </c>
      <c r="H495" s="223" t="s">
        <v>152</v>
      </c>
    </row>
    <row r="496" spans="1:9" ht="14.25" customHeight="1">
      <c r="A496" s="459" t="s">
        <v>177</v>
      </c>
      <c r="B496" s="451"/>
      <c r="C496" s="225">
        <v>55000</v>
      </c>
      <c r="D496" s="224">
        <v>0</v>
      </c>
      <c r="E496" s="225">
        <f t="shared" ref="E496:E497" si="79">C496</f>
        <v>55000</v>
      </c>
      <c r="F496" s="244">
        <f t="shared" ref="F496:F497" si="80">50%</f>
        <v>0.5</v>
      </c>
      <c r="G496" s="226">
        <f t="shared" ref="G496:G497" si="81">E496*F496</f>
        <v>27500</v>
      </c>
      <c r="H496" s="449">
        <f>G496+G497</f>
        <v>45000</v>
      </c>
    </row>
    <row r="497" spans="1:8" ht="14.25" customHeight="1">
      <c r="A497" s="460" t="s">
        <v>178</v>
      </c>
      <c r="B497" s="454"/>
      <c r="C497" s="230">
        <v>35000</v>
      </c>
      <c r="D497" s="229">
        <v>0</v>
      </c>
      <c r="E497" s="230">
        <f t="shared" si="79"/>
        <v>35000</v>
      </c>
      <c r="F497" s="245">
        <f t="shared" si="80"/>
        <v>0.5</v>
      </c>
      <c r="G497" s="232">
        <f t="shared" si="81"/>
        <v>17500</v>
      </c>
      <c r="H497" s="448"/>
    </row>
    <row r="498" spans="1:8" ht="14.25" customHeight="1">
      <c r="C498" s="213"/>
      <c r="D498" s="213"/>
      <c r="F498" s="213"/>
    </row>
    <row r="499" spans="1:8" ht="14.25" customHeight="1">
      <c r="C499" s="213"/>
      <c r="D499" s="213"/>
      <c r="F499" s="213"/>
    </row>
    <row r="500" spans="1:8" ht="14.25" customHeight="1">
      <c r="C500" s="213"/>
      <c r="D500" s="213"/>
      <c r="F500" s="213"/>
    </row>
    <row r="501" spans="1:8" ht="14.25" customHeight="1">
      <c r="C501" s="213"/>
      <c r="D501" s="213"/>
      <c r="F501" s="213"/>
    </row>
    <row r="502" spans="1:8" ht="14.25" customHeight="1">
      <c r="C502" s="213"/>
      <c r="D502" s="213"/>
      <c r="F502" s="213"/>
    </row>
    <row r="503" spans="1:8" ht="14.25" customHeight="1">
      <c r="C503" s="213"/>
      <c r="D503" s="213"/>
      <c r="F503" s="213"/>
    </row>
    <row r="504" spans="1:8" ht="14.25" customHeight="1">
      <c r="C504" s="213"/>
      <c r="D504" s="213"/>
      <c r="F504" s="213"/>
    </row>
    <row r="505" spans="1:8" ht="14.25" customHeight="1">
      <c r="A505" s="217" t="s">
        <v>139</v>
      </c>
      <c r="B505" s="472" t="s">
        <v>264</v>
      </c>
      <c r="C505" s="430"/>
      <c r="D505" s="430"/>
      <c r="E505" s="430"/>
      <c r="F505" s="430"/>
      <c r="G505" s="218" t="s">
        <v>140</v>
      </c>
      <c r="H505" s="217" t="s">
        <v>265</v>
      </c>
    </row>
    <row r="506" spans="1:8" ht="14.25" customHeight="1">
      <c r="A506" s="214" t="s">
        <v>142</v>
      </c>
      <c r="B506" s="213" t="s">
        <v>191</v>
      </c>
      <c r="C506" s="213"/>
      <c r="D506" s="213"/>
      <c r="E506" s="213"/>
      <c r="F506" s="216" t="s">
        <v>143</v>
      </c>
      <c r="G506" s="219">
        <f>H509+H516+H524+H528</f>
        <v>320012.03571428568</v>
      </c>
    </row>
    <row r="507" spans="1:8" ht="14.25" customHeight="1">
      <c r="A507" s="214" t="s">
        <v>145</v>
      </c>
      <c r="C507" s="213"/>
      <c r="D507" s="213"/>
      <c r="E507" s="213"/>
      <c r="F507" s="213"/>
    </row>
    <row r="508" spans="1:8" ht="14.25" customHeight="1">
      <c r="A508" s="456" t="s">
        <v>147</v>
      </c>
      <c r="B508" s="457"/>
      <c r="C508" s="221" t="s">
        <v>148</v>
      </c>
      <c r="D508" s="221"/>
      <c r="E508" s="221" t="s">
        <v>149</v>
      </c>
      <c r="F508" s="221" t="s">
        <v>150</v>
      </c>
      <c r="G508" s="222" t="s">
        <v>151</v>
      </c>
      <c r="H508" s="223" t="s">
        <v>152</v>
      </c>
    </row>
    <row r="509" spans="1:8" ht="14.25" customHeight="1">
      <c r="A509" s="459" t="s">
        <v>153</v>
      </c>
      <c r="B509" s="451"/>
      <c r="C509" s="224"/>
      <c r="D509" s="224"/>
      <c r="E509" s="225">
        <f>7500</f>
        <v>7500</v>
      </c>
      <c r="F509" s="224">
        <f t="shared" ref="F509:F510" si="82">0</f>
        <v>0</v>
      </c>
      <c r="G509" s="226">
        <f t="shared" ref="G509:G512" si="83">E509*F509</f>
        <v>0</v>
      </c>
      <c r="H509" s="449">
        <f>SUM(G509:G512)</f>
        <v>7955.75</v>
      </c>
    </row>
    <row r="510" spans="1:8" ht="14.25" customHeight="1">
      <c r="A510" s="227" t="s">
        <v>154</v>
      </c>
      <c r="B510" s="228"/>
      <c r="C510" s="224"/>
      <c r="D510" s="224"/>
      <c r="E510" s="225">
        <f>20110/8</f>
        <v>2513.75</v>
      </c>
      <c r="F510" s="224">
        <f t="shared" si="82"/>
        <v>0</v>
      </c>
      <c r="G510" s="226">
        <f t="shared" si="83"/>
        <v>0</v>
      </c>
      <c r="H510" s="447"/>
    </row>
    <row r="511" spans="1:8" ht="14.25" customHeight="1">
      <c r="A511" s="227" t="s">
        <v>155</v>
      </c>
      <c r="B511" s="228"/>
      <c r="C511" s="224"/>
      <c r="D511" s="224"/>
      <c r="E511" s="225">
        <f>60000/8</f>
        <v>7500</v>
      </c>
      <c r="F511" s="224">
        <f>8*0</f>
        <v>0</v>
      </c>
      <c r="G511" s="226">
        <f t="shared" si="83"/>
        <v>0</v>
      </c>
      <c r="H511" s="447"/>
    </row>
    <row r="512" spans="1:8" ht="14.25" customHeight="1">
      <c r="A512" s="460" t="s">
        <v>156</v>
      </c>
      <c r="B512" s="454"/>
      <c r="C512" s="229"/>
      <c r="D512" s="229"/>
      <c r="E512" s="230">
        <f>2500</f>
        <v>2500</v>
      </c>
      <c r="F512" s="231">
        <f>3.1823</f>
        <v>3.1823000000000001</v>
      </c>
      <c r="G512" s="232">
        <f t="shared" si="83"/>
        <v>7955.75</v>
      </c>
      <c r="H512" s="448"/>
    </row>
    <row r="513" spans="1:8" ht="14.25" customHeight="1">
      <c r="C513" s="213"/>
      <c r="D513" s="213"/>
      <c r="E513" s="213"/>
      <c r="F513" s="213"/>
    </row>
    <row r="514" spans="1:8" ht="14.25" customHeight="1">
      <c r="A514" s="254" t="s">
        <v>157</v>
      </c>
      <c r="B514" s="222"/>
      <c r="C514" s="221"/>
      <c r="D514" s="221"/>
      <c r="E514" s="221"/>
      <c r="F514" s="221"/>
      <c r="G514" s="222"/>
      <c r="H514" s="223"/>
    </row>
    <row r="515" spans="1:8" ht="14.25" customHeight="1">
      <c r="A515" s="227" t="s">
        <v>147</v>
      </c>
      <c r="B515" s="228"/>
      <c r="C515" s="224" t="s">
        <v>158</v>
      </c>
      <c r="D515" s="224"/>
      <c r="E515" s="224" t="s">
        <v>159</v>
      </c>
      <c r="F515" s="224" t="s">
        <v>160</v>
      </c>
      <c r="G515" s="228" t="s">
        <v>161</v>
      </c>
      <c r="H515" s="255" t="s">
        <v>152</v>
      </c>
    </row>
    <row r="516" spans="1:8" ht="14.25" customHeight="1">
      <c r="A516" s="450" t="s">
        <v>227</v>
      </c>
      <c r="B516" s="451"/>
      <c r="C516" s="247" t="s">
        <v>228</v>
      </c>
      <c r="D516" s="247"/>
      <c r="E516" s="248">
        <f>143900/3.5</f>
        <v>41114.285714285717</v>
      </c>
      <c r="F516" s="249">
        <f t="shared" ref="F516:F517" si="84">1</f>
        <v>1</v>
      </c>
      <c r="G516" s="250">
        <f t="shared" ref="G516:G520" si="85">E516*F516</f>
        <v>41114.285714285717</v>
      </c>
      <c r="H516" s="449">
        <f>SUM(G516:G520)</f>
        <v>137056.28571428571</v>
      </c>
    </row>
    <row r="517" spans="1:8" ht="14.25" customHeight="1">
      <c r="A517" s="450" t="s">
        <v>229</v>
      </c>
      <c r="B517" s="451"/>
      <c r="C517" s="247" t="s">
        <v>228</v>
      </c>
      <c r="D517" s="224"/>
      <c r="E517" s="248">
        <f>280000/3.5</f>
        <v>80000</v>
      </c>
      <c r="F517" s="252">
        <f t="shared" si="84"/>
        <v>1</v>
      </c>
      <c r="G517" s="250">
        <f t="shared" si="85"/>
        <v>80000</v>
      </c>
      <c r="H517" s="447"/>
    </row>
    <row r="518" spans="1:8" ht="14.25" customHeight="1">
      <c r="A518" s="450" t="s">
        <v>230</v>
      </c>
      <c r="B518" s="451"/>
      <c r="C518" s="247" t="s">
        <v>158</v>
      </c>
      <c r="D518" s="247"/>
      <c r="E518" s="251">
        <f>1200</f>
        <v>1200</v>
      </c>
      <c r="F518" s="249">
        <f>4</f>
        <v>4</v>
      </c>
      <c r="G518" s="250">
        <f t="shared" si="85"/>
        <v>4800</v>
      </c>
      <c r="H518" s="447"/>
    </row>
    <row r="519" spans="1:8" ht="14.25" customHeight="1">
      <c r="A519" s="450" t="s">
        <v>231</v>
      </c>
      <c r="B519" s="451"/>
      <c r="C519" s="247" t="s">
        <v>158</v>
      </c>
      <c r="D519" s="247"/>
      <c r="E519" s="251">
        <f>8142</f>
        <v>8142</v>
      </c>
      <c r="F519" s="249">
        <f t="shared" ref="F519:F520" si="86">1</f>
        <v>1</v>
      </c>
      <c r="G519" s="250">
        <f t="shared" si="85"/>
        <v>8142</v>
      </c>
      <c r="H519" s="447"/>
    </row>
    <row r="520" spans="1:8" ht="14.25" customHeight="1">
      <c r="A520" s="453" t="s">
        <v>232</v>
      </c>
      <c r="B520" s="454"/>
      <c r="C520" s="256" t="s">
        <v>158</v>
      </c>
      <c r="D520" s="256"/>
      <c r="E520" s="257">
        <f>3000</f>
        <v>3000</v>
      </c>
      <c r="F520" s="258">
        <f t="shared" si="86"/>
        <v>1</v>
      </c>
      <c r="G520" s="259">
        <f t="shared" si="85"/>
        <v>3000</v>
      </c>
      <c r="H520" s="448"/>
    </row>
    <row r="521" spans="1:8" ht="14.25" customHeight="1">
      <c r="A521" s="455"/>
      <c r="B521" s="430"/>
      <c r="C521" s="213"/>
      <c r="D521" s="213"/>
      <c r="E521" s="213"/>
      <c r="F521" s="213"/>
    </row>
    <row r="522" spans="1:8" ht="14.25" customHeight="1">
      <c r="A522" s="214" t="s">
        <v>165</v>
      </c>
      <c r="C522" s="213"/>
      <c r="D522" s="213"/>
      <c r="E522" s="213"/>
      <c r="F522" s="213"/>
    </row>
    <row r="523" spans="1:8" ht="14.25" customHeight="1">
      <c r="A523" s="456" t="s">
        <v>147</v>
      </c>
      <c r="B523" s="457"/>
      <c r="C523" s="221" t="s">
        <v>166</v>
      </c>
      <c r="D523" s="221" t="s">
        <v>167</v>
      </c>
      <c r="E523" s="221" t="s">
        <v>168</v>
      </c>
      <c r="F523" s="221" t="s">
        <v>169</v>
      </c>
      <c r="G523" s="221" t="s">
        <v>170</v>
      </c>
      <c r="H523" s="240" t="s">
        <v>152</v>
      </c>
    </row>
    <row r="524" spans="1:8" ht="14.25" customHeight="1">
      <c r="A524" s="458" t="s">
        <v>171</v>
      </c>
      <c r="B524" s="454"/>
      <c r="C524" s="229">
        <f>1</f>
        <v>1</v>
      </c>
      <c r="D524" s="231">
        <f>27.504</f>
        <v>27.504000000000001</v>
      </c>
      <c r="E524" s="241">
        <f>369.3</f>
        <v>369.3</v>
      </c>
      <c r="F524" s="229">
        <f>2.5</f>
        <v>2.5</v>
      </c>
      <c r="G524" s="232">
        <f>E524*D524*F524*0</f>
        <v>0</v>
      </c>
      <c r="H524" s="242">
        <f>+G524</f>
        <v>0</v>
      </c>
    </row>
    <row r="525" spans="1:8" ht="14.25" customHeight="1">
      <c r="C525" s="213"/>
      <c r="D525" s="213"/>
      <c r="E525" s="213"/>
      <c r="F525" s="213"/>
    </row>
    <row r="526" spans="1:8" ht="14.25" customHeight="1">
      <c r="A526" s="214" t="s">
        <v>172</v>
      </c>
      <c r="C526" s="213"/>
      <c r="D526" s="213"/>
      <c r="E526" s="213"/>
      <c r="F526" s="213"/>
    </row>
    <row r="527" spans="1:8" ht="14.25" customHeight="1">
      <c r="A527" s="233" t="s">
        <v>147</v>
      </c>
      <c r="B527" s="222"/>
      <c r="C527" s="221" t="s">
        <v>173</v>
      </c>
      <c r="D527" s="221" t="s">
        <v>174</v>
      </c>
      <c r="E527" s="221" t="s">
        <v>175</v>
      </c>
      <c r="F527" s="221" t="s">
        <v>150</v>
      </c>
      <c r="G527" s="243" t="s">
        <v>176</v>
      </c>
      <c r="H527" s="223" t="s">
        <v>152</v>
      </c>
    </row>
    <row r="528" spans="1:8" ht="14.25" customHeight="1">
      <c r="A528" s="459" t="s">
        <v>177</v>
      </c>
      <c r="B528" s="451"/>
      <c r="C528" s="225">
        <v>55000</v>
      </c>
      <c r="D528" s="224">
        <v>0</v>
      </c>
      <c r="E528" s="225">
        <f>C528</f>
        <v>55000</v>
      </c>
      <c r="F528" s="244">
        <f t="shared" ref="F528:F529" si="87">140%</f>
        <v>1.4</v>
      </c>
      <c r="G528" s="226">
        <f t="shared" ref="G528:G529" si="88">E528*F528</f>
        <v>77000</v>
      </c>
      <c r="H528" s="449">
        <f>G528+G529</f>
        <v>175000</v>
      </c>
    </row>
    <row r="529" spans="1:8" ht="14.25" customHeight="1">
      <c r="A529" s="460" t="s">
        <v>188</v>
      </c>
      <c r="B529" s="454"/>
      <c r="C529" s="230">
        <v>35000</v>
      </c>
      <c r="D529" s="229">
        <v>0</v>
      </c>
      <c r="E529" s="230">
        <f>C529*2</f>
        <v>70000</v>
      </c>
      <c r="F529" s="245">
        <f t="shared" si="87"/>
        <v>1.4</v>
      </c>
      <c r="G529" s="232">
        <f t="shared" si="88"/>
        <v>98000</v>
      </c>
      <c r="H529" s="448"/>
    </row>
    <row r="530" spans="1:8" ht="14.25" customHeight="1">
      <c r="A530" s="269"/>
      <c r="B530" s="269"/>
      <c r="C530" s="270"/>
      <c r="D530" s="213"/>
      <c r="E530" s="270"/>
      <c r="F530" s="271"/>
      <c r="G530" s="220"/>
      <c r="H530" s="262"/>
    </row>
    <row r="531" spans="1:8" ht="14.25" customHeight="1">
      <c r="C531" s="213"/>
      <c r="D531" s="213"/>
      <c r="F531" s="213"/>
    </row>
    <row r="532" spans="1:8" ht="14.25" customHeight="1">
      <c r="C532" s="213"/>
      <c r="D532" s="213"/>
      <c r="F532" s="213"/>
    </row>
    <row r="533" spans="1:8" ht="14.25" customHeight="1">
      <c r="C533" s="213"/>
      <c r="D533" s="213"/>
      <c r="F533" s="213"/>
    </row>
    <row r="534" spans="1:8" ht="14.25" customHeight="1">
      <c r="C534" s="213"/>
      <c r="D534" s="213"/>
      <c r="F534" s="213"/>
    </row>
    <row r="535" spans="1:8" ht="14.25" customHeight="1">
      <c r="C535" s="213"/>
      <c r="D535" s="213"/>
      <c r="F535" s="213"/>
    </row>
    <row r="536" spans="1:8" ht="14.25" customHeight="1">
      <c r="A536" s="214" t="s">
        <v>137</v>
      </c>
      <c r="C536" s="213"/>
      <c r="D536" s="471" t="s">
        <v>266</v>
      </c>
      <c r="E536" s="430"/>
      <c r="F536" s="430"/>
      <c r="G536" s="430"/>
    </row>
    <row r="537" spans="1:8" ht="14.25" customHeight="1">
      <c r="C537" s="213"/>
      <c r="D537" s="213"/>
      <c r="E537" s="213"/>
      <c r="F537" s="213"/>
    </row>
    <row r="538" spans="1:8" ht="14.25" customHeight="1">
      <c r="A538" s="217" t="s">
        <v>139</v>
      </c>
      <c r="B538" s="472" t="s">
        <v>267</v>
      </c>
      <c r="C538" s="430"/>
      <c r="D538" s="430"/>
      <c r="E538" s="430"/>
      <c r="F538" s="430"/>
      <c r="G538" s="218" t="s">
        <v>140</v>
      </c>
      <c r="H538" s="217" t="s">
        <v>268</v>
      </c>
    </row>
    <row r="539" spans="1:8" ht="14.25" customHeight="1">
      <c r="A539" s="214" t="s">
        <v>142</v>
      </c>
      <c r="B539" s="213" t="s">
        <v>26</v>
      </c>
      <c r="C539" s="213"/>
      <c r="D539" s="213"/>
      <c r="E539" s="213"/>
      <c r="F539" s="216" t="s">
        <v>143</v>
      </c>
      <c r="G539" s="219">
        <f>H542+H550+H562+H566</f>
        <v>64875.645000000004</v>
      </c>
    </row>
    <row r="540" spans="1:8" ht="14.25" customHeight="1">
      <c r="A540" s="214" t="s">
        <v>145</v>
      </c>
      <c r="C540" s="213"/>
      <c r="D540" s="213"/>
      <c r="E540" s="213"/>
      <c r="F540" s="213"/>
    </row>
    <row r="541" spans="1:8" ht="14.25" customHeight="1">
      <c r="A541" s="456" t="s">
        <v>147</v>
      </c>
      <c r="B541" s="457"/>
      <c r="C541" s="221" t="s">
        <v>148</v>
      </c>
      <c r="D541" s="221"/>
      <c r="E541" s="221" t="s">
        <v>149</v>
      </c>
      <c r="F541" s="221" t="s">
        <v>150</v>
      </c>
      <c r="G541" s="222" t="s">
        <v>151</v>
      </c>
      <c r="H541" s="223" t="s">
        <v>152</v>
      </c>
    </row>
    <row r="542" spans="1:8" ht="14.25" customHeight="1">
      <c r="A542" s="272" t="s">
        <v>269</v>
      </c>
      <c r="B542" s="224"/>
      <c r="C542" s="224"/>
      <c r="D542" s="224"/>
      <c r="E542" s="225">
        <f>7500</f>
        <v>7500</v>
      </c>
      <c r="F542" s="224">
        <f>0.025</f>
        <v>2.5000000000000001E-2</v>
      </c>
      <c r="G542" s="226">
        <f t="shared" ref="G542:G546" si="89">E542*F542</f>
        <v>187.5</v>
      </c>
      <c r="H542" s="449">
        <f>SUM(G542:G546)</f>
        <v>9317.8449999999993</v>
      </c>
    </row>
    <row r="543" spans="1:8" ht="14.25" customHeight="1">
      <c r="A543" s="227" t="s">
        <v>154</v>
      </c>
      <c r="B543" s="228"/>
      <c r="C543" s="224"/>
      <c r="D543" s="224"/>
      <c r="E543" s="225">
        <f>20110/8</f>
        <v>2513.75</v>
      </c>
      <c r="F543" s="224">
        <f>0.5</f>
        <v>0.5</v>
      </c>
      <c r="G543" s="226">
        <f t="shared" si="89"/>
        <v>1256.875</v>
      </c>
      <c r="H543" s="447"/>
    </row>
    <row r="544" spans="1:8" ht="14.25" customHeight="1">
      <c r="A544" s="459" t="s">
        <v>270</v>
      </c>
      <c r="B544" s="451"/>
      <c r="C544" s="224"/>
      <c r="D544" s="224"/>
      <c r="E544" s="225">
        <f>2500</f>
        <v>2500</v>
      </c>
      <c r="F544" s="224">
        <f t="shared" ref="F544:F545" si="90">1</f>
        <v>1</v>
      </c>
      <c r="G544" s="226">
        <f t="shared" si="89"/>
        <v>2500</v>
      </c>
      <c r="H544" s="447"/>
    </row>
    <row r="545" spans="1:9" ht="14.25" customHeight="1">
      <c r="A545" s="459" t="s">
        <v>271</v>
      </c>
      <c r="B545" s="451"/>
      <c r="C545" s="224"/>
      <c r="D545" s="224"/>
      <c r="E545" s="225">
        <f>5000</f>
        <v>5000</v>
      </c>
      <c r="F545" s="224">
        <f t="shared" si="90"/>
        <v>1</v>
      </c>
      <c r="G545" s="226">
        <f t="shared" si="89"/>
        <v>5000</v>
      </c>
      <c r="H545" s="447"/>
    </row>
    <row r="546" spans="1:9" ht="14.25" customHeight="1">
      <c r="A546" s="267" t="s">
        <v>156</v>
      </c>
      <c r="B546" s="260"/>
      <c r="C546" s="229"/>
      <c r="D546" s="229"/>
      <c r="E546" s="230">
        <f>354</f>
        <v>354</v>
      </c>
      <c r="F546" s="231">
        <f>1.055</f>
        <v>1.0549999999999999</v>
      </c>
      <c r="G546" s="232">
        <f t="shared" si="89"/>
        <v>373.46999999999997</v>
      </c>
      <c r="H546" s="448"/>
    </row>
    <row r="547" spans="1:9" ht="14.25" customHeight="1">
      <c r="C547" s="213"/>
      <c r="D547" s="213"/>
      <c r="E547" s="213"/>
      <c r="F547" s="213"/>
    </row>
    <row r="548" spans="1:9" ht="14.25" customHeight="1">
      <c r="A548" s="214" t="s">
        <v>157</v>
      </c>
      <c r="C548" s="213"/>
      <c r="D548" s="213"/>
      <c r="E548" s="213"/>
      <c r="F548" s="213"/>
    </row>
    <row r="549" spans="1:9" ht="14.25" customHeight="1">
      <c r="A549" s="233" t="s">
        <v>147</v>
      </c>
      <c r="B549" s="222"/>
      <c r="C549" s="221" t="s">
        <v>158</v>
      </c>
      <c r="D549" s="221"/>
      <c r="E549" s="221" t="s">
        <v>159</v>
      </c>
      <c r="F549" s="221" t="s">
        <v>160</v>
      </c>
      <c r="G549" s="222" t="s">
        <v>161</v>
      </c>
      <c r="H549" s="223" t="s">
        <v>152</v>
      </c>
    </row>
    <row r="550" spans="1:9" ht="14.25" customHeight="1">
      <c r="A550" s="465" t="s">
        <v>272</v>
      </c>
      <c r="B550" s="451"/>
      <c r="C550" s="247" t="s">
        <v>19</v>
      </c>
      <c r="D550" s="224"/>
      <c r="E550" s="248">
        <f>1600/2.4</f>
        <v>666.66666666666674</v>
      </c>
      <c r="F550" s="247">
        <f>3</f>
        <v>3</v>
      </c>
      <c r="G550" s="250">
        <f t="shared" ref="G550:G558" si="91">E550*F550</f>
        <v>2000.0000000000002</v>
      </c>
      <c r="H550" s="449">
        <f>SUM(G550:G558)</f>
        <v>33057.800000000003</v>
      </c>
    </row>
    <row r="551" spans="1:9" ht="14.25" customHeight="1">
      <c r="A551" s="475" t="s">
        <v>273</v>
      </c>
      <c r="B551" s="451"/>
      <c r="C551" s="247" t="s">
        <v>24</v>
      </c>
      <c r="D551" s="224"/>
      <c r="E551" s="248">
        <f>2600/2.4</f>
        <v>1083.3333333333335</v>
      </c>
      <c r="F551" s="247">
        <f>1.3</f>
        <v>1.3</v>
      </c>
      <c r="G551" s="250">
        <f t="shared" si="91"/>
        <v>1408.3333333333335</v>
      </c>
      <c r="H551" s="447"/>
    </row>
    <row r="552" spans="1:9" ht="14.25" customHeight="1">
      <c r="A552" s="475" t="s">
        <v>274</v>
      </c>
      <c r="B552" s="451"/>
      <c r="C552" s="247" t="s">
        <v>158</v>
      </c>
      <c r="D552" s="224"/>
      <c r="E552" s="248">
        <f t="shared" ref="E552:E553" si="92">20</f>
        <v>20</v>
      </c>
      <c r="F552" s="247">
        <f>1</f>
        <v>1</v>
      </c>
      <c r="G552" s="250">
        <f t="shared" si="91"/>
        <v>20</v>
      </c>
      <c r="H552" s="447"/>
    </row>
    <row r="553" spans="1:9" ht="14.25" customHeight="1">
      <c r="A553" s="465" t="s">
        <v>275</v>
      </c>
      <c r="B553" s="451"/>
      <c r="C553" s="247" t="s">
        <v>52</v>
      </c>
      <c r="D553" s="224"/>
      <c r="E553" s="248">
        <f t="shared" si="92"/>
        <v>20</v>
      </c>
      <c r="F553" s="273">
        <f>20</f>
        <v>20</v>
      </c>
      <c r="G553" s="250">
        <f t="shared" si="91"/>
        <v>400</v>
      </c>
      <c r="H553" s="447"/>
      <c r="I553" s="220"/>
    </row>
    <row r="554" spans="1:9" ht="14.25" customHeight="1">
      <c r="A554" s="459" t="s">
        <v>276</v>
      </c>
      <c r="B554" s="451"/>
      <c r="C554" s="224" t="s">
        <v>49</v>
      </c>
      <c r="D554" s="224"/>
      <c r="E554" s="225">
        <f>63500/3</f>
        <v>21166.666666666668</v>
      </c>
      <c r="F554" s="274">
        <f>1</f>
        <v>1</v>
      </c>
      <c r="G554" s="226">
        <f t="shared" si="91"/>
        <v>21166.666666666668</v>
      </c>
      <c r="H554" s="447"/>
    </row>
    <row r="555" spans="1:9" ht="14.25" customHeight="1">
      <c r="A555" s="459" t="s">
        <v>277</v>
      </c>
      <c r="B555" s="451"/>
      <c r="C555" s="224" t="s">
        <v>19</v>
      </c>
      <c r="D555" s="224"/>
      <c r="E555" s="225">
        <f>2600/2.4</f>
        <v>1083.3333333333335</v>
      </c>
      <c r="F555" s="224">
        <f>1.2</f>
        <v>1.2</v>
      </c>
      <c r="G555" s="226">
        <f t="shared" si="91"/>
        <v>1300.0000000000002</v>
      </c>
      <c r="H555" s="447"/>
    </row>
    <row r="556" spans="1:9" ht="14.25" customHeight="1">
      <c r="A556" s="460" t="s">
        <v>278</v>
      </c>
      <c r="B556" s="454"/>
      <c r="C556" s="275" t="s">
        <v>279</v>
      </c>
      <c r="D556" s="275"/>
      <c r="E556" s="276">
        <f>12000/50</f>
        <v>240</v>
      </c>
      <c r="F556" s="275">
        <f>3</f>
        <v>3</v>
      </c>
      <c r="G556" s="226">
        <f t="shared" si="91"/>
        <v>720</v>
      </c>
      <c r="H556" s="447"/>
    </row>
    <row r="557" spans="1:9" ht="14.25" customHeight="1">
      <c r="A557" s="459" t="s">
        <v>280</v>
      </c>
      <c r="B557" s="451"/>
      <c r="C557" s="275" t="s">
        <v>279</v>
      </c>
      <c r="D557" s="275"/>
      <c r="E557" s="276">
        <f>62090</f>
        <v>62090</v>
      </c>
      <c r="F557" s="275">
        <f t="shared" ref="F557:F558" si="93">0.02</f>
        <v>0.02</v>
      </c>
      <c r="G557" s="226">
        <f t="shared" si="91"/>
        <v>1241.8</v>
      </c>
      <c r="H557" s="447"/>
    </row>
    <row r="558" spans="1:9" ht="14.25" customHeight="1">
      <c r="A558" s="460" t="s">
        <v>281</v>
      </c>
      <c r="B558" s="454"/>
      <c r="C558" s="229" t="s">
        <v>279</v>
      </c>
      <c r="D558" s="229"/>
      <c r="E558" s="230">
        <f>240050</f>
        <v>240050</v>
      </c>
      <c r="F558" s="229">
        <f t="shared" si="93"/>
        <v>0.02</v>
      </c>
      <c r="G558" s="232">
        <f t="shared" si="91"/>
        <v>4801</v>
      </c>
      <c r="H558" s="448"/>
    </row>
    <row r="559" spans="1:9" ht="14.25" customHeight="1">
      <c r="C559" s="213"/>
      <c r="D559" s="213"/>
      <c r="E559" s="213"/>
      <c r="F559" s="213"/>
    </row>
    <row r="560" spans="1:9" ht="14.25" customHeight="1">
      <c r="A560" s="214" t="s">
        <v>165</v>
      </c>
      <c r="C560" s="213"/>
      <c r="D560" s="213"/>
      <c r="E560" s="213"/>
      <c r="F560" s="213"/>
    </row>
    <row r="561" spans="1:8" ht="14.25" customHeight="1">
      <c r="A561" s="456" t="s">
        <v>147</v>
      </c>
      <c r="B561" s="457"/>
      <c r="C561" s="221" t="s">
        <v>166</v>
      </c>
      <c r="D561" s="221" t="s">
        <v>167</v>
      </c>
      <c r="E561" s="221" t="s">
        <v>168</v>
      </c>
      <c r="F561" s="221" t="s">
        <v>169</v>
      </c>
      <c r="G561" s="221" t="s">
        <v>170</v>
      </c>
      <c r="H561" s="240" t="s">
        <v>152</v>
      </c>
    </row>
    <row r="562" spans="1:8" ht="14.25" customHeight="1">
      <c r="A562" s="267" t="s">
        <v>282</v>
      </c>
      <c r="B562" s="260"/>
      <c r="C562" s="229">
        <f>0</f>
        <v>0</v>
      </c>
      <c r="D562" s="231">
        <f>27.504*0</f>
        <v>0</v>
      </c>
      <c r="E562" s="241">
        <f>369.3*0</f>
        <v>0</v>
      </c>
      <c r="F562" s="229">
        <f>1</f>
        <v>1</v>
      </c>
      <c r="G562" s="232">
        <f>E562*D562*F562</f>
        <v>0</v>
      </c>
      <c r="H562" s="242">
        <f>+G562</f>
        <v>0</v>
      </c>
    </row>
    <row r="563" spans="1:8" ht="14.25" customHeight="1">
      <c r="C563" s="213"/>
      <c r="D563" s="213"/>
      <c r="E563" s="213"/>
      <c r="F563" s="213"/>
    </row>
    <row r="564" spans="1:8" ht="14.25" customHeight="1">
      <c r="A564" s="214" t="s">
        <v>172</v>
      </c>
      <c r="C564" s="213"/>
      <c r="D564" s="213"/>
      <c r="E564" s="213"/>
      <c r="F564" s="213"/>
    </row>
    <row r="565" spans="1:8" ht="14.25" customHeight="1">
      <c r="A565" s="233" t="s">
        <v>147</v>
      </c>
      <c r="B565" s="222"/>
      <c r="C565" s="221" t="s">
        <v>173</v>
      </c>
      <c r="D565" s="221" t="s">
        <v>174</v>
      </c>
      <c r="E565" s="221" t="s">
        <v>175</v>
      </c>
      <c r="F565" s="221" t="s">
        <v>150</v>
      </c>
      <c r="G565" s="222" t="s">
        <v>176</v>
      </c>
      <c r="H565" s="223" t="s">
        <v>152</v>
      </c>
    </row>
    <row r="566" spans="1:8" ht="14.25" customHeight="1">
      <c r="A566" s="459" t="s">
        <v>177</v>
      </c>
      <c r="B566" s="451"/>
      <c r="C566" s="225">
        <v>55000</v>
      </c>
      <c r="D566" s="224">
        <v>0</v>
      </c>
      <c r="E566" s="225">
        <f t="shared" ref="E566:E567" si="94">C566</f>
        <v>55000</v>
      </c>
      <c r="F566" s="244">
        <f t="shared" ref="F566:F567" si="95">25%</f>
        <v>0.25</v>
      </c>
      <c r="G566" s="226">
        <f t="shared" ref="G566:G567" si="96">E566*F566</f>
        <v>13750</v>
      </c>
      <c r="H566" s="449">
        <f>G566+G567</f>
        <v>22500</v>
      </c>
    </row>
    <row r="567" spans="1:8" ht="14.25" customHeight="1">
      <c r="A567" s="460" t="s">
        <v>178</v>
      </c>
      <c r="B567" s="454"/>
      <c r="C567" s="230">
        <v>35000</v>
      </c>
      <c r="D567" s="229">
        <v>0</v>
      </c>
      <c r="E567" s="230">
        <f t="shared" si="94"/>
        <v>35000</v>
      </c>
      <c r="F567" s="245">
        <f t="shared" si="95"/>
        <v>0.25</v>
      </c>
      <c r="G567" s="232">
        <f t="shared" si="96"/>
        <v>8750</v>
      </c>
      <c r="H567" s="448"/>
    </row>
    <row r="568" spans="1:8" ht="14.25" customHeight="1">
      <c r="C568" s="213"/>
      <c r="D568" s="213"/>
      <c r="F568" s="213"/>
    </row>
    <row r="569" spans="1:8" ht="14.25" customHeight="1">
      <c r="C569" s="213"/>
      <c r="D569" s="213"/>
      <c r="F569" s="213"/>
    </row>
    <row r="570" spans="1:8" ht="14.25" customHeight="1">
      <c r="C570" s="213"/>
      <c r="D570" s="213"/>
      <c r="F570" s="213"/>
    </row>
    <row r="571" spans="1:8" ht="14.25" customHeight="1">
      <c r="C571" s="213"/>
      <c r="D571" s="213"/>
      <c r="F571" s="213"/>
    </row>
    <row r="572" spans="1:8" ht="14.25" customHeight="1">
      <c r="C572" s="213"/>
      <c r="D572" s="213"/>
      <c r="F572" s="213"/>
    </row>
    <row r="573" spans="1:8" ht="14.25" customHeight="1">
      <c r="C573" s="213"/>
      <c r="D573" s="213"/>
      <c r="F573" s="213"/>
    </row>
    <row r="574" spans="1:8" ht="14.25" customHeight="1">
      <c r="A574" s="214" t="s">
        <v>137</v>
      </c>
      <c r="C574" s="213"/>
      <c r="D574" s="471" t="s">
        <v>283</v>
      </c>
      <c r="E574" s="430"/>
      <c r="F574" s="430"/>
      <c r="G574" s="430"/>
    </row>
    <row r="575" spans="1:8" ht="14.25" customHeight="1">
      <c r="C575" s="213"/>
      <c r="D575" s="213"/>
      <c r="E575" s="213"/>
      <c r="F575" s="213"/>
    </row>
    <row r="576" spans="1:8" ht="14.25" customHeight="1">
      <c r="A576" s="217" t="s">
        <v>139</v>
      </c>
      <c r="B576" s="472" t="s">
        <v>284</v>
      </c>
      <c r="C576" s="430"/>
      <c r="D576" s="430"/>
      <c r="E576" s="430"/>
      <c r="F576" s="430"/>
      <c r="G576" s="218" t="s">
        <v>140</v>
      </c>
      <c r="H576" s="217" t="s">
        <v>285</v>
      </c>
    </row>
    <row r="577" spans="1:8" ht="14.25" customHeight="1">
      <c r="A577" s="214" t="s">
        <v>142</v>
      </c>
      <c r="B577" s="213" t="s">
        <v>142</v>
      </c>
      <c r="C577" s="213"/>
      <c r="D577" s="213"/>
      <c r="E577" s="213"/>
      <c r="F577" s="216" t="s">
        <v>143</v>
      </c>
      <c r="G577" s="219">
        <f>H580+H587+H593+H597</f>
        <v>216542.845</v>
      </c>
    </row>
    <row r="578" spans="1:8" ht="14.25" customHeight="1">
      <c r="A578" s="214" t="s">
        <v>145</v>
      </c>
      <c r="C578" s="213"/>
      <c r="D578" s="213"/>
      <c r="E578" s="213"/>
      <c r="F578" s="213"/>
    </row>
    <row r="579" spans="1:8" ht="14.25" customHeight="1">
      <c r="A579" s="456" t="s">
        <v>147</v>
      </c>
      <c r="B579" s="457"/>
      <c r="C579" s="221" t="s">
        <v>148</v>
      </c>
      <c r="D579" s="221"/>
      <c r="E579" s="221" t="s">
        <v>149</v>
      </c>
      <c r="F579" s="221" t="s">
        <v>150</v>
      </c>
      <c r="G579" s="222" t="s">
        <v>151</v>
      </c>
      <c r="H579" s="223" t="s">
        <v>152</v>
      </c>
    </row>
    <row r="580" spans="1:8" ht="14.25" customHeight="1">
      <c r="A580" s="272" t="s">
        <v>269</v>
      </c>
      <c r="B580" s="224"/>
      <c r="C580" s="224"/>
      <c r="D580" s="224"/>
      <c r="E580" s="225">
        <f>7500</f>
        <v>7500</v>
      </c>
      <c r="F580" s="224">
        <f>0.025</f>
        <v>2.5000000000000001E-2</v>
      </c>
      <c r="G580" s="226">
        <f t="shared" ref="G580:G583" si="97">E580*F580</f>
        <v>187.5</v>
      </c>
      <c r="H580" s="449">
        <f>SUM(G580:G583)</f>
        <v>1817.845</v>
      </c>
    </row>
    <row r="581" spans="1:8" ht="14.25" customHeight="1">
      <c r="A581" s="227" t="s">
        <v>154</v>
      </c>
      <c r="B581" s="228"/>
      <c r="C581" s="224"/>
      <c r="D581" s="224"/>
      <c r="E581" s="225">
        <f>20110/8</f>
        <v>2513.75</v>
      </c>
      <c r="F581" s="224">
        <f>0.5</f>
        <v>0.5</v>
      </c>
      <c r="G581" s="226">
        <f t="shared" si="97"/>
        <v>1256.875</v>
      </c>
      <c r="H581" s="447"/>
    </row>
    <row r="582" spans="1:8" ht="14.25" customHeight="1">
      <c r="A582" s="227" t="s">
        <v>155</v>
      </c>
      <c r="B582" s="228"/>
      <c r="C582" s="224"/>
      <c r="D582" s="224"/>
      <c r="E582" s="225">
        <f>60000/8</f>
        <v>7500</v>
      </c>
      <c r="F582" s="224">
        <f>0</f>
        <v>0</v>
      </c>
      <c r="G582" s="226">
        <f t="shared" si="97"/>
        <v>0</v>
      </c>
      <c r="H582" s="447"/>
    </row>
    <row r="583" spans="1:8" ht="14.25" customHeight="1">
      <c r="A583" s="267" t="s">
        <v>156</v>
      </c>
      <c r="B583" s="260"/>
      <c r="C583" s="229"/>
      <c r="D583" s="229"/>
      <c r="E583" s="230">
        <f>354</f>
        <v>354</v>
      </c>
      <c r="F583" s="231">
        <f>1.055</f>
        <v>1.0549999999999999</v>
      </c>
      <c r="G583" s="232">
        <f t="shared" si="97"/>
        <v>373.46999999999997</v>
      </c>
      <c r="H583" s="448"/>
    </row>
    <row r="584" spans="1:8" ht="14.25" customHeight="1">
      <c r="C584" s="213"/>
      <c r="D584" s="213"/>
      <c r="E584" s="213"/>
      <c r="F584" s="213"/>
    </row>
    <row r="585" spans="1:8" ht="14.25" customHeight="1">
      <c r="A585" s="214" t="s">
        <v>157</v>
      </c>
      <c r="C585" s="213"/>
      <c r="D585" s="213"/>
      <c r="E585" s="213"/>
      <c r="F585" s="213"/>
    </row>
    <row r="586" spans="1:8" ht="14.25" customHeight="1">
      <c r="A586" s="233" t="s">
        <v>147</v>
      </c>
      <c r="B586" s="222"/>
      <c r="C586" s="221" t="s">
        <v>158</v>
      </c>
      <c r="D586" s="221"/>
      <c r="E586" s="221" t="s">
        <v>159</v>
      </c>
      <c r="F586" s="221" t="s">
        <v>160</v>
      </c>
      <c r="G586" s="222" t="s">
        <v>161</v>
      </c>
      <c r="H586" s="223" t="s">
        <v>152</v>
      </c>
    </row>
    <row r="587" spans="1:8" ht="14.25" customHeight="1">
      <c r="A587" s="473"/>
      <c r="B587" s="451"/>
      <c r="C587" s="277"/>
      <c r="D587" s="277"/>
      <c r="E587" s="277"/>
      <c r="F587" s="277"/>
      <c r="G587" s="278"/>
      <c r="H587" s="449">
        <f>SUM(G588:G589)</f>
        <v>151725</v>
      </c>
    </row>
    <row r="588" spans="1:8" ht="14.25" customHeight="1">
      <c r="A588" s="465" t="s">
        <v>286</v>
      </c>
      <c r="B588" s="451"/>
      <c r="C588" s="247" t="s">
        <v>15</v>
      </c>
      <c r="D588" s="224"/>
      <c r="E588" s="248">
        <f>151725</f>
        <v>151725</v>
      </c>
      <c r="F588" s="247">
        <f>1</f>
        <v>1</v>
      </c>
      <c r="G588" s="250">
        <f>E588*F588</f>
        <v>151725</v>
      </c>
      <c r="H588" s="447"/>
    </row>
    <row r="589" spans="1:8" ht="14.25" customHeight="1">
      <c r="A589" s="460"/>
      <c r="B589" s="454"/>
      <c r="C589" s="229"/>
      <c r="D589" s="229"/>
      <c r="E589" s="230"/>
      <c r="F589" s="229"/>
      <c r="G589" s="232"/>
      <c r="H589" s="448"/>
    </row>
    <row r="590" spans="1:8" ht="14.25" customHeight="1">
      <c r="C590" s="213"/>
      <c r="D590" s="213"/>
      <c r="E590" s="213"/>
      <c r="F590" s="213"/>
    </row>
    <row r="591" spans="1:8" ht="14.25" customHeight="1">
      <c r="A591" s="214" t="s">
        <v>165</v>
      </c>
      <c r="C591" s="213"/>
      <c r="D591" s="213"/>
      <c r="E591" s="213"/>
      <c r="F591" s="213"/>
    </row>
    <row r="592" spans="1:8" ht="14.25" customHeight="1">
      <c r="A592" s="456" t="s">
        <v>147</v>
      </c>
      <c r="B592" s="457"/>
      <c r="C592" s="221" t="s">
        <v>166</v>
      </c>
      <c r="D592" s="221" t="s">
        <v>167</v>
      </c>
      <c r="E592" s="221" t="s">
        <v>168</v>
      </c>
      <c r="F592" s="221" t="s">
        <v>169</v>
      </c>
      <c r="G592" s="221" t="s">
        <v>170</v>
      </c>
      <c r="H592" s="240" t="s">
        <v>152</v>
      </c>
    </row>
    <row r="593" spans="1:8" ht="14.25" customHeight="1">
      <c r="A593" s="267" t="s">
        <v>282</v>
      </c>
      <c r="B593" s="260"/>
      <c r="C593" s="229">
        <f>0</f>
        <v>0</v>
      </c>
      <c r="D593" s="231">
        <f>27.504*0</f>
        <v>0</v>
      </c>
      <c r="E593" s="241">
        <f>369.3*0</f>
        <v>0</v>
      </c>
      <c r="F593" s="229">
        <f>1</f>
        <v>1</v>
      </c>
      <c r="G593" s="232">
        <f>E593*D593*F593</f>
        <v>0</v>
      </c>
      <c r="H593" s="242">
        <f>+G593</f>
        <v>0</v>
      </c>
    </row>
    <row r="594" spans="1:8" ht="14.25" customHeight="1">
      <c r="C594" s="213"/>
      <c r="D594" s="213"/>
      <c r="E594" s="213"/>
      <c r="F594" s="213"/>
    </row>
    <row r="595" spans="1:8" ht="14.25" customHeight="1">
      <c r="A595" s="214" t="s">
        <v>172</v>
      </c>
      <c r="C595" s="213"/>
      <c r="D595" s="213"/>
      <c r="E595" s="213"/>
      <c r="F595" s="213"/>
    </row>
    <row r="596" spans="1:8" ht="14.25" customHeight="1">
      <c r="A596" s="233" t="s">
        <v>147</v>
      </c>
      <c r="B596" s="222"/>
      <c r="C596" s="221" t="s">
        <v>173</v>
      </c>
      <c r="D596" s="221" t="s">
        <v>174</v>
      </c>
      <c r="E596" s="221" t="s">
        <v>175</v>
      </c>
      <c r="F596" s="221" t="s">
        <v>150</v>
      </c>
      <c r="G596" s="222" t="s">
        <v>176</v>
      </c>
      <c r="H596" s="223" t="s">
        <v>152</v>
      </c>
    </row>
    <row r="597" spans="1:8" ht="14.25" customHeight="1">
      <c r="A597" s="459" t="s">
        <v>177</v>
      </c>
      <c r="B597" s="451"/>
      <c r="C597" s="225">
        <v>55000</v>
      </c>
      <c r="D597" s="224">
        <v>0</v>
      </c>
      <c r="E597" s="225">
        <f t="shared" ref="E597:E598" si="98">C597</f>
        <v>55000</v>
      </c>
      <c r="F597" s="244">
        <f>70%</f>
        <v>0.7</v>
      </c>
      <c r="G597" s="226">
        <f t="shared" ref="G597:G598" si="99">E597*F597</f>
        <v>38500</v>
      </c>
      <c r="H597" s="449">
        <f>G597+G598</f>
        <v>63000</v>
      </c>
    </row>
    <row r="598" spans="1:8" ht="14.25" customHeight="1">
      <c r="A598" s="460" t="s">
        <v>178</v>
      </c>
      <c r="B598" s="454"/>
      <c r="C598" s="230">
        <v>35000</v>
      </c>
      <c r="D598" s="229">
        <v>0</v>
      </c>
      <c r="E598" s="230">
        <f t="shared" si="98"/>
        <v>35000</v>
      </c>
      <c r="F598" s="245">
        <v>0.7</v>
      </c>
      <c r="G598" s="232">
        <f t="shared" si="99"/>
        <v>24500</v>
      </c>
      <c r="H598" s="448"/>
    </row>
    <row r="599" spans="1:8" ht="14.25" customHeight="1">
      <c r="C599" s="213"/>
      <c r="D599" s="213"/>
      <c r="F599" s="213"/>
    </row>
    <row r="600" spans="1:8" ht="14.25" customHeight="1">
      <c r="C600" s="213"/>
      <c r="D600" s="213"/>
      <c r="F600" s="213"/>
    </row>
    <row r="601" spans="1:8" ht="14.25" customHeight="1">
      <c r="C601" s="213"/>
      <c r="D601" s="213"/>
      <c r="F601" s="213"/>
    </row>
    <row r="602" spans="1:8" ht="14.25" customHeight="1">
      <c r="C602" s="213"/>
      <c r="D602" s="213"/>
      <c r="F602" s="213"/>
    </row>
    <row r="603" spans="1:8" ht="14.25" customHeight="1">
      <c r="C603" s="213"/>
      <c r="D603" s="213"/>
      <c r="F603" s="213"/>
    </row>
    <row r="604" spans="1:8" ht="14.25" customHeight="1">
      <c r="C604" s="213"/>
      <c r="D604" s="213"/>
      <c r="F604" s="213"/>
    </row>
    <row r="605" spans="1:8" ht="14.25" customHeight="1">
      <c r="A605" s="214" t="s">
        <v>137</v>
      </c>
      <c r="C605" s="213"/>
      <c r="D605" s="471" t="s">
        <v>287</v>
      </c>
      <c r="E605" s="430"/>
      <c r="F605" s="430"/>
      <c r="G605" s="430"/>
    </row>
    <row r="606" spans="1:8" ht="14.25" customHeight="1">
      <c r="A606" s="214"/>
      <c r="C606" s="213"/>
      <c r="D606" s="216"/>
      <c r="E606" s="215"/>
      <c r="F606" s="216"/>
      <c r="G606" s="215"/>
    </row>
    <row r="607" spans="1:8" ht="33" customHeight="1">
      <c r="A607" s="217" t="s">
        <v>139</v>
      </c>
      <c r="B607" s="472" t="s">
        <v>91</v>
      </c>
      <c r="C607" s="430"/>
      <c r="D607" s="430"/>
      <c r="E607" s="430"/>
      <c r="F607" s="430"/>
      <c r="G607" s="218" t="s">
        <v>140</v>
      </c>
      <c r="H607" s="217" t="s">
        <v>288</v>
      </c>
    </row>
    <row r="608" spans="1:8" ht="14.25" customHeight="1">
      <c r="A608" s="214" t="s">
        <v>142</v>
      </c>
      <c r="B608" s="213" t="s">
        <v>142</v>
      </c>
      <c r="C608" s="213"/>
      <c r="D608" s="213"/>
      <c r="E608" s="213"/>
      <c r="F608" s="216" t="s">
        <v>143</v>
      </c>
      <c r="G608" s="219">
        <f>H611+H618+H624+H628</f>
        <v>224673.25</v>
      </c>
    </row>
    <row r="609" spans="1:9" ht="14.25" customHeight="1">
      <c r="A609" s="214" t="s">
        <v>145</v>
      </c>
      <c r="C609" s="213"/>
      <c r="D609" s="213"/>
      <c r="E609" s="213"/>
      <c r="F609" s="213"/>
    </row>
    <row r="610" spans="1:9" ht="14.25" customHeight="1">
      <c r="A610" s="456" t="s">
        <v>147</v>
      </c>
      <c r="B610" s="457"/>
      <c r="C610" s="221" t="s">
        <v>148</v>
      </c>
      <c r="D610" s="221"/>
      <c r="E610" s="221" t="s">
        <v>149</v>
      </c>
      <c r="F610" s="221" t="s">
        <v>150</v>
      </c>
      <c r="G610" s="222" t="s">
        <v>151</v>
      </c>
      <c r="H610" s="223" t="s">
        <v>152</v>
      </c>
    </row>
    <row r="611" spans="1:9" ht="14.25" customHeight="1">
      <c r="A611" s="459" t="s">
        <v>269</v>
      </c>
      <c r="B611" s="451"/>
      <c r="C611" s="224"/>
      <c r="D611" s="224"/>
      <c r="E611" s="225">
        <f>7500</f>
        <v>7500</v>
      </c>
      <c r="F611" s="224">
        <f t="shared" ref="F611:F613" si="100">0</f>
        <v>0</v>
      </c>
      <c r="G611" s="226">
        <f t="shared" ref="G611:G614" si="101">E611*F611</f>
        <v>0</v>
      </c>
      <c r="H611" s="449">
        <f>SUM(G611:G614)</f>
        <v>1343.25</v>
      </c>
    </row>
    <row r="612" spans="1:9" ht="14.25" customHeight="1">
      <c r="A612" s="227" t="s">
        <v>154</v>
      </c>
      <c r="B612" s="228"/>
      <c r="C612" s="224"/>
      <c r="D612" s="224"/>
      <c r="E612" s="225">
        <f>20110/8</f>
        <v>2513.75</v>
      </c>
      <c r="F612" s="224">
        <f t="shared" si="100"/>
        <v>0</v>
      </c>
      <c r="G612" s="226">
        <f t="shared" si="101"/>
        <v>0</v>
      </c>
      <c r="H612" s="447"/>
    </row>
    <row r="613" spans="1:9" ht="14.25" customHeight="1">
      <c r="A613" s="227" t="s">
        <v>155</v>
      </c>
      <c r="B613" s="228"/>
      <c r="C613" s="224"/>
      <c r="D613" s="224"/>
      <c r="E613" s="225">
        <f>60000/8</f>
        <v>7500</v>
      </c>
      <c r="F613" s="224">
        <f t="shared" si="100"/>
        <v>0</v>
      </c>
      <c r="G613" s="226">
        <f t="shared" si="101"/>
        <v>0</v>
      </c>
      <c r="H613" s="447"/>
    </row>
    <row r="614" spans="1:9" ht="14.25" customHeight="1">
      <c r="A614" s="460" t="s">
        <v>156</v>
      </c>
      <c r="B614" s="454"/>
      <c r="C614" s="229"/>
      <c r="D614" s="229"/>
      <c r="E614" s="230">
        <f>2500</f>
        <v>2500</v>
      </c>
      <c r="F614" s="231">
        <f>0.5373</f>
        <v>0.5373</v>
      </c>
      <c r="G614" s="232">
        <f t="shared" si="101"/>
        <v>1343.25</v>
      </c>
      <c r="H614" s="448"/>
    </row>
    <row r="615" spans="1:9" ht="14.25" customHeight="1">
      <c r="C615" s="213"/>
      <c r="D615" s="213"/>
      <c r="E615" s="213"/>
      <c r="F615" s="213"/>
    </row>
    <row r="616" spans="1:9" ht="14.25" customHeight="1">
      <c r="A616" s="214" t="s">
        <v>157</v>
      </c>
      <c r="C616" s="213"/>
      <c r="D616" s="213"/>
      <c r="E616" s="213"/>
      <c r="F616" s="213"/>
    </row>
    <row r="617" spans="1:9" ht="14.25" customHeight="1">
      <c r="A617" s="233" t="s">
        <v>147</v>
      </c>
      <c r="B617" s="222"/>
      <c r="C617" s="221" t="s">
        <v>158</v>
      </c>
      <c r="D617" s="221"/>
      <c r="E617" s="221" t="s">
        <v>159</v>
      </c>
      <c r="F617" s="221" t="s">
        <v>160</v>
      </c>
      <c r="G617" s="222" t="s">
        <v>161</v>
      </c>
      <c r="H617" s="223" t="s">
        <v>152</v>
      </c>
    </row>
    <row r="618" spans="1:9" ht="14.25" customHeight="1">
      <c r="A618" s="465" t="s">
        <v>289</v>
      </c>
      <c r="B618" s="451"/>
      <c r="C618" s="247" t="s">
        <v>290</v>
      </c>
      <c r="D618" s="224"/>
      <c r="E618" s="251">
        <f>1200</f>
        <v>1200</v>
      </c>
      <c r="F618" s="247">
        <f>3</f>
        <v>3</v>
      </c>
      <c r="G618" s="266">
        <f t="shared" ref="G618:G620" si="102">E618*F618</f>
        <v>3600</v>
      </c>
      <c r="H618" s="449">
        <f>SUM(G618:G620)</f>
        <v>178330</v>
      </c>
    </row>
    <row r="619" spans="1:9" ht="14.25" customHeight="1">
      <c r="A619" s="465" t="s">
        <v>291</v>
      </c>
      <c r="B619" s="451"/>
      <c r="C619" s="247" t="s">
        <v>158</v>
      </c>
      <c r="D619" s="224"/>
      <c r="E619" s="251">
        <f>174730</f>
        <v>174730</v>
      </c>
      <c r="F619" s="247">
        <f>1</f>
        <v>1</v>
      </c>
      <c r="G619" s="266">
        <f t="shared" si="102"/>
        <v>174730</v>
      </c>
      <c r="H619" s="447"/>
      <c r="I619" s="220"/>
    </row>
    <row r="620" spans="1:9" ht="14.25" customHeight="1">
      <c r="A620" s="267" t="s">
        <v>263</v>
      </c>
      <c r="B620" s="260"/>
      <c r="C620" s="229" t="s">
        <v>158</v>
      </c>
      <c r="D620" s="229"/>
      <c r="E620" s="230">
        <v>97021</v>
      </c>
      <c r="F620" s="229">
        <f>0</f>
        <v>0</v>
      </c>
      <c r="G620" s="268">
        <f t="shared" si="102"/>
        <v>0</v>
      </c>
      <c r="H620" s="448"/>
    </row>
    <row r="621" spans="1:9" ht="14.25" customHeight="1">
      <c r="C621" s="213"/>
      <c r="D621" s="213"/>
      <c r="E621" s="213"/>
      <c r="F621" s="213"/>
    </row>
    <row r="622" spans="1:9" ht="14.25" customHeight="1">
      <c r="A622" s="214" t="s">
        <v>165</v>
      </c>
      <c r="C622" s="213"/>
      <c r="D622" s="213"/>
      <c r="E622" s="213"/>
      <c r="F622" s="213"/>
    </row>
    <row r="623" spans="1:9" ht="14.25" customHeight="1">
      <c r="A623" s="456" t="s">
        <v>147</v>
      </c>
      <c r="B623" s="457"/>
      <c r="C623" s="221" t="s">
        <v>166</v>
      </c>
      <c r="D623" s="221" t="s">
        <v>167</v>
      </c>
      <c r="E623" s="221" t="s">
        <v>168</v>
      </c>
      <c r="F623" s="221" t="s">
        <v>169</v>
      </c>
      <c r="G623" s="221" t="s">
        <v>170</v>
      </c>
      <c r="H623" s="240" t="s">
        <v>152</v>
      </c>
    </row>
    <row r="624" spans="1:9" ht="14.25" customHeight="1">
      <c r="A624" s="267" t="s">
        <v>282</v>
      </c>
      <c r="B624" s="260"/>
      <c r="C624" s="229">
        <f>0</f>
        <v>0</v>
      </c>
      <c r="D624" s="231">
        <f>27.504*0</f>
        <v>0</v>
      </c>
      <c r="E624" s="241">
        <f>369.3*0</f>
        <v>0</v>
      </c>
      <c r="F624" s="229">
        <f>1</f>
        <v>1</v>
      </c>
      <c r="G624" s="232">
        <f>E624*D624*F624</f>
        <v>0</v>
      </c>
      <c r="H624" s="242">
        <f>+G624</f>
        <v>0</v>
      </c>
    </row>
    <row r="625" spans="1:8" ht="14.25" customHeight="1">
      <c r="C625" s="213"/>
      <c r="D625" s="213"/>
      <c r="E625" s="213"/>
      <c r="F625" s="213"/>
    </row>
    <row r="626" spans="1:8" ht="14.25" customHeight="1">
      <c r="A626" s="214" t="s">
        <v>172</v>
      </c>
      <c r="C626" s="213"/>
      <c r="D626" s="213"/>
      <c r="E626" s="213"/>
      <c r="F626" s="213"/>
    </row>
    <row r="627" spans="1:8" ht="14.25" customHeight="1">
      <c r="A627" s="233" t="s">
        <v>147</v>
      </c>
      <c r="B627" s="222"/>
      <c r="C627" s="221" t="s">
        <v>173</v>
      </c>
      <c r="D627" s="221" t="s">
        <v>174</v>
      </c>
      <c r="E627" s="221" t="s">
        <v>175</v>
      </c>
      <c r="F627" s="221" t="s">
        <v>150</v>
      </c>
      <c r="G627" s="222" t="s">
        <v>176</v>
      </c>
      <c r="H627" s="223" t="s">
        <v>152</v>
      </c>
    </row>
    <row r="628" spans="1:8" ht="14.25" customHeight="1">
      <c r="A628" s="459" t="s">
        <v>177</v>
      </c>
      <c r="B628" s="451"/>
      <c r="C628" s="225">
        <v>55000</v>
      </c>
      <c r="D628" s="224">
        <v>0</v>
      </c>
      <c r="E628" s="225">
        <f t="shared" ref="E628:E629" si="103">C628</f>
        <v>55000</v>
      </c>
      <c r="F628" s="244">
        <f t="shared" ref="F628:F629" si="104">50%</f>
        <v>0.5</v>
      </c>
      <c r="G628" s="226">
        <f t="shared" ref="G628:G629" si="105">E628*F628</f>
        <v>27500</v>
      </c>
      <c r="H628" s="449">
        <f>G628+G629</f>
        <v>45000</v>
      </c>
    </row>
    <row r="629" spans="1:8" ht="14.25" customHeight="1">
      <c r="A629" s="460" t="s">
        <v>178</v>
      </c>
      <c r="B629" s="454"/>
      <c r="C629" s="230">
        <v>35000</v>
      </c>
      <c r="D629" s="229">
        <v>0</v>
      </c>
      <c r="E629" s="230">
        <f t="shared" si="103"/>
        <v>35000</v>
      </c>
      <c r="F629" s="245">
        <f t="shared" si="104"/>
        <v>0.5</v>
      </c>
      <c r="G629" s="232">
        <f t="shared" si="105"/>
        <v>17500</v>
      </c>
      <c r="H629" s="448"/>
    </row>
    <row r="630" spans="1:8" ht="14.25" customHeight="1">
      <c r="C630" s="213"/>
      <c r="D630" s="213"/>
      <c r="F630" s="213"/>
    </row>
    <row r="631" spans="1:8" ht="14.25" customHeight="1">
      <c r="C631" s="213"/>
      <c r="D631" s="213"/>
      <c r="F631" s="213"/>
    </row>
    <row r="632" spans="1:8" ht="14.25" customHeight="1">
      <c r="C632" s="213"/>
      <c r="D632" s="213"/>
      <c r="F632" s="213"/>
    </row>
    <row r="633" spans="1:8" ht="14.25" customHeight="1">
      <c r="C633" s="213"/>
      <c r="D633" s="213"/>
      <c r="F633" s="213"/>
    </row>
    <row r="634" spans="1:8" ht="14.25" customHeight="1">
      <c r="C634" s="213"/>
      <c r="D634" s="213"/>
      <c r="F634" s="213"/>
    </row>
    <row r="635" spans="1:8" ht="14.25" customHeight="1">
      <c r="C635" s="213"/>
      <c r="D635" s="213"/>
      <c r="F635" s="213"/>
    </row>
    <row r="636" spans="1:8" ht="14.25" customHeight="1">
      <c r="A636" s="214" t="s">
        <v>137</v>
      </c>
      <c r="C636" s="213"/>
      <c r="D636" s="471" t="s">
        <v>292</v>
      </c>
      <c r="E636" s="430"/>
      <c r="F636" s="430"/>
      <c r="G636" s="430"/>
    </row>
    <row r="637" spans="1:8" ht="14.25" customHeight="1">
      <c r="A637" s="214"/>
      <c r="C637" s="213"/>
      <c r="D637" s="216"/>
      <c r="E637" s="215"/>
      <c r="F637" s="216"/>
      <c r="G637" s="215"/>
    </row>
    <row r="638" spans="1:8" ht="14.25" customHeight="1">
      <c r="A638" s="217" t="s">
        <v>139</v>
      </c>
      <c r="B638" s="472" t="s">
        <v>293</v>
      </c>
      <c r="C638" s="430"/>
      <c r="D638" s="430"/>
      <c r="E638" s="430"/>
      <c r="F638" s="430"/>
      <c r="G638" s="218" t="s">
        <v>140</v>
      </c>
      <c r="H638" s="217" t="s">
        <v>294</v>
      </c>
    </row>
    <row r="639" spans="1:8" ht="14.25" customHeight="1">
      <c r="A639" s="214" t="s">
        <v>142</v>
      </c>
      <c r="B639" s="213" t="s">
        <v>142</v>
      </c>
      <c r="C639" s="213"/>
      <c r="D639" s="213"/>
      <c r="E639" s="213"/>
      <c r="F639" s="216" t="s">
        <v>143</v>
      </c>
      <c r="G639" s="219">
        <f>H642+H649+H654+H658</f>
        <v>507477.25</v>
      </c>
    </row>
    <row r="640" spans="1:8" ht="14.25" customHeight="1">
      <c r="A640" s="214" t="s">
        <v>145</v>
      </c>
      <c r="C640" s="213"/>
      <c r="D640" s="213"/>
      <c r="E640" s="213"/>
      <c r="F640" s="213"/>
    </row>
    <row r="641" spans="1:9" ht="14.25" customHeight="1">
      <c r="A641" s="456" t="s">
        <v>147</v>
      </c>
      <c r="B641" s="457"/>
      <c r="C641" s="221" t="s">
        <v>148</v>
      </c>
      <c r="D641" s="221"/>
      <c r="E641" s="221" t="s">
        <v>149</v>
      </c>
      <c r="F641" s="221" t="s">
        <v>150</v>
      </c>
      <c r="G641" s="222" t="s">
        <v>151</v>
      </c>
      <c r="H641" s="223" t="s">
        <v>152</v>
      </c>
    </row>
    <row r="642" spans="1:9" ht="14.25" customHeight="1">
      <c r="A642" s="459" t="s">
        <v>269</v>
      </c>
      <c r="B642" s="451"/>
      <c r="C642" s="224"/>
      <c r="D642" s="224"/>
      <c r="E642" s="225">
        <f>7500</f>
        <v>7500</v>
      </c>
      <c r="F642" s="224">
        <f>0</f>
        <v>0</v>
      </c>
      <c r="G642" s="226">
        <f t="shared" ref="G642:G645" si="106">E642*F642</f>
        <v>0</v>
      </c>
      <c r="H642" s="449">
        <f>SUM(G642:G645)</f>
        <v>21453.25</v>
      </c>
    </row>
    <row r="643" spans="1:9" ht="14.25" customHeight="1">
      <c r="A643" s="227" t="s">
        <v>154</v>
      </c>
      <c r="B643" s="228"/>
      <c r="C643" s="224"/>
      <c r="D643" s="224"/>
      <c r="E643" s="225">
        <f>20110/8</f>
        <v>2513.75</v>
      </c>
      <c r="F643" s="224">
        <f>8</f>
        <v>8</v>
      </c>
      <c r="G643" s="226">
        <f t="shared" si="106"/>
        <v>20110</v>
      </c>
      <c r="H643" s="447"/>
    </row>
    <row r="644" spans="1:9" ht="14.25" customHeight="1">
      <c r="A644" s="227" t="s">
        <v>155</v>
      </c>
      <c r="B644" s="228"/>
      <c r="C644" s="224"/>
      <c r="D644" s="224"/>
      <c r="E644" s="225">
        <f>60000/8</f>
        <v>7500</v>
      </c>
      <c r="F644" s="224">
        <f>0</f>
        <v>0</v>
      </c>
      <c r="G644" s="226">
        <f t="shared" si="106"/>
        <v>0</v>
      </c>
      <c r="H644" s="447"/>
    </row>
    <row r="645" spans="1:9" ht="14.25" customHeight="1">
      <c r="A645" s="460" t="s">
        <v>156</v>
      </c>
      <c r="B645" s="454"/>
      <c r="C645" s="229"/>
      <c r="D645" s="229"/>
      <c r="E645" s="230">
        <f>2500</f>
        <v>2500</v>
      </c>
      <c r="F645" s="231">
        <f>0.5373</f>
        <v>0.5373</v>
      </c>
      <c r="G645" s="232">
        <f t="shared" si="106"/>
        <v>1343.25</v>
      </c>
      <c r="H645" s="448"/>
    </row>
    <row r="646" spans="1:9" ht="14.25" customHeight="1">
      <c r="C646" s="213"/>
      <c r="D646" s="213"/>
      <c r="E646" s="213"/>
      <c r="F646" s="213"/>
    </row>
    <row r="647" spans="1:9" ht="14.25" customHeight="1">
      <c r="A647" s="214" t="s">
        <v>157</v>
      </c>
      <c r="C647" s="213"/>
      <c r="D647" s="213"/>
      <c r="E647" s="213"/>
      <c r="F647" s="213"/>
    </row>
    <row r="648" spans="1:9" ht="14.25" customHeight="1">
      <c r="A648" s="233" t="s">
        <v>147</v>
      </c>
      <c r="B648" s="222"/>
      <c r="C648" s="221" t="s">
        <v>158</v>
      </c>
      <c r="D648" s="221"/>
      <c r="E648" s="221" t="s">
        <v>159</v>
      </c>
      <c r="F648" s="221" t="s">
        <v>160</v>
      </c>
      <c r="G648" s="222" t="s">
        <v>161</v>
      </c>
      <c r="H648" s="223" t="s">
        <v>152</v>
      </c>
    </row>
    <row r="649" spans="1:9" ht="14.25" customHeight="1">
      <c r="A649" s="465" t="s">
        <v>295</v>
      </c>
      <c r="B649" s="451"/>
      <c r="C649" s="247" t="s">
        <v>26</v>
      </c>
      <c r="D649" s="224"/>
      <c r="E649" s="251">
        <f>320000</f>
        <v>320000</v>
      </c>
      <c r="F649" s="247">
        <f t="shared" ref="F649:F650" si="107">1</f>
        <v>1</v>
      </c>
      <c r="G649" s="266">
        <f t="shared" ref="G649:G650" si="108">E649*F649</f>
        <v>320000</v>
      </c>
      <c r="H649" s="449">
        <f>SUM(G649:G650)</f>
        <v>414024</v>
      </c>
      <c r="I649" s="220"/>
    </row>
    <row r="650" spans="1:9" ht="14.25" customHeight="1">
      <c r="A650" s="482" t="s">
        <v>296</v>
      </c>
      <c r="B650" s="454"/>
      <c r="C650" s="256" t="s">
        <v>26</v>
      </c>
      <c r="D650" s="229"/>
      <c r="E650" s="257">
        <f>94024</f>
        <v>94024</v>
      </c>
      <c r="F650" s="256">
        <f t="shared" si="107"/>
        <v>1</v>
      </c>
      <c r="G650" s="268">
        <f t="shared" si="108"/>
        <v>94024</v>
      </c>
      <c r="H650" s="448"/>
    </row>
    <row r="651" spans="1:9" ht="14.25" customHeight="1">
      <c r="C651" s="213"/>
      <c r="D651" s="213"/>
      <c r="E651" s="213"/>
      <c r="F651" s="213"/>
    </row>
    <row r="652" spans="1:9" ht="14.25" customHeight="1">
      <c r="A652" s="214" t="s">
        <v>165</v>
      </c>
      <c r="C652" s="213"/>
      <c r="D652" s="213"/>
      <c r="E652" s="213"/>
      <c r="F652" s="213"/>
    </row>
    <row r="653" spans="1:9" ht="14.25" customHeight="1">
      <c r="A653" s="456" t="s">
        <v>147</v>
      </c>
      <c r="B653" s="457"/>
      <c r="C653" s="221" t="s">
        <v>166</v>
      </c>
      <c r="D653" s="221" t="s">
        <v>167</v>
      </c>
      <c r="E653" s="221" t="s">
        <v>168</v>
      </c>
      <c r="F653" s="221" t="s">
        <v>169</v>
      </c>
      <c r="G653" s="221" t="s">
        <v>170</v>
      </c>
      <c r="H653" s="240" t="s">
        <v>152</v>
      </c>
    </row>
    <row r="654" spans="1:9" ht="14.25" customHeight="1">
      <c r="A654" s="267" t="s">
        <v>282</v>
      </c>
      <c r="B654" s="260"/>
      <c r="C654" s="229">
        <f>0</f>
        <v>0</v>
      </c>
      <c r="D654" s="231">
        <f>27.504*0</f>
        <v>0</v>
      </c>
      <c r="E654" s="241">
        <f>369.3*0</f>
        <v>0</v>
      </c>
      <c r="F654" s="229">
        <f>1</f>
        <v>1</v>
      </c>
      <c r="G654" s="232">
        <f>E654*D654*F654</f>
        <v>0</v>
      </c>
      <c r="H654" s="242">
        <f>+G654</f>
        <v>0</v>
      </c>
    </row>
    <row r="655" spans="1:9" ht="14.25" customHeight="1">
      <c r="C655" s="213"/>
      <c r="D655" s="213"/>
      <c r="E655" s="213"/>
      <c r="F655" s="213"/>
    </row>
    <row r="656" spans="1:9" ht="14.25" customHeight="1">
      <c r="A656" s="214" t="s">
        <v>172</v>
      </c>
      <c r="C656" s="213"/>
      <c r="D656" s="213"/>
      <c r="E656" s="213"/>
      <c r="F656" s="213"/>
    </row>
    <row r="657" spans="1:8" ht="14.25" customHeight="1">
      <c r="A657" s="233" t="s">
        <v>147</v>
      </c>
      <c r="B657" s="222"/>
      <c r="C657" s="221" t="s">
        <v>173</v>
      </c>
      <c r="D657" s="221" t="s">
        <v>174</v>
      </c>
      <c r="E657" s="221" t="s">
        <v>175</v>
      </c>
      <c r="F657" s="221" t="s">
        <v>150</v>
      </c>
      <c r="G657" s="222" t="s">
        <v>176</v>
      </c>
      <c r="H657" s="223" t="s">
        <v>152</v>
      </c>
    </row>
    <row r="658" spans="1:8" ht="14.25" customHeight="1">
      <c r="A658" s="459" t="s">
        <v>177</v>
      </c>
      <c r="B658" s="451"/>
      <c r="C658" s="225">
        <v>55000</v>
      </c>
      <c r="D658" s="224">
        <v>0</v>
      </c>
      <c r="E658" s="225">
        <f t="shared" ref="E658:E659" si="109">C658</f>
        <v>55000</v>
      </c>
      <c r="F658" s="244">
        <f t="shared" ref="F658:F659" si="110">80%</f>
        <v>0.8</v>
      </c>
      <c r="G658" s="226">
        <f t="shared" ref="G658:G659" si="111">E658*F658</f>
        <v>44000</v>
      </c>
      <c r="H658" s="449">
        <f>G658+G659</f>
        <v>72000</v>
      </c>
    </row>
    <row r="659" spans="1:8" ht="14.25" customHeight="1">
      <c r="A659" s="460" t="s">
        <v>178</v>
      </c>
      <c r="B659" s="454"/>
      <c r="C659" s="230">
        <v>35000</v>
      </c>
      <c r="D659" s="229">
        <v>0</v>
      </c>
      <c r="E659" s="230">
        <f t="shared" si="109"/>
        <v>35000</v>
      </c>
      <c r="F659" s="245">
        <f t="shared" si="110"/>
        <v>0.8</v>
      </c>
      <c r="G659" s="232">
        <f t="shared" si="111"/>
        <v>28000</v>
      </c>
      <c r="H659" s="448"/>
    </row>
    <row r="660" spans="1:8" ht="14.25" customHeight="1">
      <c r="C660" s="213"/>
      <c r="D660" s="213"/>
      <c r="F660" s="213"/>
    </row>
    <row r="661" spans="1:8" ht="14.25" customHeight="1">
      <c r="C661" s="213"/>
      <c r="D661" s="213"/>
      <c r="F661" s="213"/>
    </row>
    <row r="662" spans="1:8" ht="14.25" customHeight="1">
      <c r="C662" s="213"/>
      <c r="D662" s="213"/>
      <c r="F662" s="213"/>
    </row>
    <row r="663" spans="1:8" ht="14.25" customHeight="1">
      <c r="C663" s="213"/>
      <c r="D663" s="213"/>
      <c r="F663" s="213"/>
    </row>
    <row r="664" spans="1:8" ht="14.25" customHeight="1">
      <c r="C664" s="213"/>
      <c r="D664" s="213"/>
      <c r="F664" s="213"/>
    </row>
    <row r="665" spans="1:8" ht="14.25" customHeight="1">
      <c r="C665" s="213"/>
      <c r="D665" s="213"/>
      <c r="F665" s="213"/>
    </row>
    <row r="666" spans="1:8" ht="14.25" customHeight="1">
      <c r="C666" s="213"/>
      <c r="D666" s="213"/>
      <c r="F666" s="213"/>
    </row>
    <row r="667" spans="1:8" ht="14.25" customHeight="1">
      <c r="A667" s="214" t="s">
        <v>137</v>
      </c>
      <c r="C667" s="213"/>
      <c r="D667" s="471" t="s">
        <v>297</v>
      </c>
      <c r="E667" s="430"/>
      <c r="F667" s="430"/>
      <c r="G667" s="430"/>
    </row>
    <row r="668" spans="1:8" ht="14.25" customHeight="1">
      <c r="A668" s="214"/>
      <c r="C668" s="213"/>
      <c r="D668" s="216"/>
      <c r="E668" s="215"/>
      <c r="F668" s="216"/>
      <c r="G668" s="215"/>
    </row>
    <row r="669" spans="1:8" ht="14.25" customHeight="1">
      <c r="A669" s="217" t="s">
        <v>139</v>
      </c>
      <c r="B669" s="472" t="s">
        <v>298</v>
      </c>
      <c r="C669" s="430"/>
      <c r="D669" s="430"/>
      <c r="E669" s="430"/>
      <c r="F669" s="430"/>
      <c r="G669" s="218" t="s">
        <v>140</v>
      </c>
      <c r="H669" s="217" t="s">
        <v>299</v>
      </c>
    </row>
    <row r="670" spans="1:8" ht="14.25" customHeight="1">
      <c r="A670" s="214" t="s">
        <v>142</v>
      </c>
      <c r="B670" s="213" t="s">
        <v>24</v>
      </c>
      <c r="C670" s="213"/>
      <c r="D670" s="213"/>
      <c r="E670" s="213"/>
      <c r="F670" s="216" t="s">
        <v>143</v>
      </c>
      <c r="G670" s="219">
        <f>H673+H680+H686+H690</f>
        <v>457146.75</v>
      </c>
    </row>
    <row r="671" spans="1:8" ht="14.25" customHeight="1">
      <c r="A671" s="214" t="s">
        <v>145</v>
      </c>
      <c r="C671" s="213"/>
      <c r="D671" s="213"/>
      <c r="E671" s="213"/>
      <c r="F671" s="213"/>
    </row>
    <row r="672" spans="1:8" ht="14.25" customHeight="1">
      <c r="A672" s="456" t="s">
        <v>147</v>
      </c>
      <c r="B672" s="457"/>
      <c r="C672" s="221" t="s">
        <v>148</v>
      </c>
      <c r="D672" s="221"/>
      <c r="E672" s="221" t="s">
        <v>149</v>
      </c>
      <c r="F672" s="221" t="s">
        <v>150</v>
      </c>
      <c r="G672" s="222" t="s">
        <v>151</v>
      </c>
      <c r="H672" s="223" t="s">
        <v>152</v>
      </c>
    </row>
    <row r="673" spans="1:9" ht="14.25" customHeight="1">
      <c r="A673" s="459" t="s">
        <v>153</v>
      </c>
      <c r="B673" s="451"/>
      <c r="C673" s="224"/>
      <c r="D673" s="224"/>
      <c r="E673" s="225">
        <f>7500</f>
        <v>7500</v>
      </c>
      <c r="F673" s="224">
        <f>0</f>
        <v>0</v>
      </c>
      <c r="G673" s="226">
        <f t="shared" ref="G673:G676" si="112">E673*F673</f>
        <v>0</v>
      </c>
      <c r="H673" s="449">
        <f>SUM(G673:G676)</f>
        <v>10013.75</v>
      </c>
    </row>
    <row r="674" spans="1:9" ht="14.25" customHeight="1">
      <c r="A674" s="227" t="s">
        <v>154</v>
      </c>
      <c r="B674" s="228"/>
      <c r="C674" s="224"/>
      <c r="D674" s="224"/>
      <c r="E674" s="225">
        <f>20110/8</f>
        <v>2513.75</v>
      </c>
      <c r="F674" s="224">
        <f>1</f>
        <v>1</v>
      </c>
      <c r="G674" s="226">
        <f t="shared" si="112"/>
        <v>2513.75</v>
      </c>
      <c r="H674" s="447"/>
    </row>
    <row r="675" spans="1:9" ht="14.25" customHeight="1">
      <c r="A675" s="227" t="s">
        <v>155</v>
      </c>
      <c r="B675" s="228"/>
      <c r="C675" s="224"/>
      <c r="D675" s="224"/>
      <c r="E675" s="225">
        <f>60000/8</f>
        <v>7500</v>
      </c>
      <c r="F675" s="224">
        <f>8*0</f>
        <v>0</v>
      </c>
      <c r="G675" s="226">
        <f t="shared" si="112"/>
        <v>0</v>
      </c>
      <c r="H675" s="447"/>
    </row>
    <row r="676" spans="1:9" ht="14.25" customHeight="1">
      <c r="A676" s="460" t="s">
        <v>156</v>
      </c>
      <c r="B676" s="454"/>
      <c r="C676" s="229"/>
      <c r="D676" s="229"/>
      <c r="E676" s="230">
        <f>2500</f>
        <v>2500</v>
      </c>
      <c r="F676" s="231">
        <f>3</f>
        <v>3</v>
      </c>
      <c r="G676" s="232">
        <f t="shared" si="112"/>
        <v>7500</v>
      </c>
      <c r="H676" s="448"/>
    </row>
    <row r="677" spans="1:9" ht="14.25" customHeight="1">
      <c r="C677" s="213"/>
      <c r="D677" s="213"/>
      <c r="E677" s="213"/>
      <c r="F677" s="213"/>
    </row>
    <row r="678" spans="1:9" ht="14.25" customHeight="1">
      <c r="A678" s="246" t="s">
        <v>157</v>
      </c>
      <c r="B678" s="228"/>
      <c r="C678" s="224"/>
      <c r="D678" s="224"/>
      <c r="E678" s="224"/>
      <c r="F678" s="224"/>
      <c r="G678" s="228"/>
      <c r="H678" s="228"/>
    </row>
    <row r="679" spans="1:9" ht="14.25" customHeight="1">
      <c r="A679" s="228" t="s">
        <v>147</v>
      </c>
      <c r="B679" s="228"/>
      <c r="C679" s="224" t="s">
        <v>158</v>
      </c>
      <c r="D679" s="224"/>
      <c r="E679" s="224" t="s">
        <v>159</v>
      </c>
      <c r="F679" s="224" t="s">
        <v>160</v>
      </c>
      <c r="G679" s="228" t="s">
        <v>161</v>
      </c>
      <c r="H679" s="224" t="s">
        <v>152</v>
      </c>
    </row>
    <row r="680" spans="1:9" ht="14.25" customHeight="1">
      <c r="A680" s="474"/>
      <c r="B680" s="451"/>
      <c r="C680" s="247"/>
      <c r="D680" s="247"/>
      <c r="E680" s="248"/>
      <c r="F680" s="249"/>
      <c r="G680" s="250">
        <f t="shared" ref="G680:G682" si="113">E680*F680</f>
        <v>0</v>
      </c>
      <c r="H680" s="467">
        <f>SUM(G680:G682)</f>
        <v>384633</v>
      </c>
    </row>
    <row r="681" spans="1:9" ht="14.25" customHeight="1">
      <c r="A681" s="474" t="s">
        <v>206</v>
      </c>
      <c r="B681" s="451"/>
      <c r="C681" s="247" t="s">
        <v>15</v>
      </c>
      <c r="D681" s="213"/>
      <c r="E681" s="250">
        <f>54387+51317+278929</f>
        <v>384633</v>
      </c>
      <c r="F681" s="252">
        <f>1</f>
        <v>1</v>
      </c>
      <c r="G681" s="250">
        <f t="shared" si="113"/>
        <v>384633</v>
      </c>
      <c r="H681" s="468"/>
    </row>
    <row r="682" spans="1:9" ht="14.25" customHeight="1">
      <c r="A682" s="474"/>
      <c r="B682" s="451"/>
      <c r="C682" s="247"/>
      <c r="D682" s="247"/>
      <c r="E682" s="251"/>
      <c r="F682" s="249"/>
      <c r="G682" s="250">
        <f t="shared" si="113"/>
        <v>0</v>
      </c>
      <c r="H682" s="469"/>
      <c r="I682" s="220"/>
    </row>
    <row r="683" spans="1:9" ht="14.25" customHeight="1">
      <c r="C683" s="213"/>
      <c r="D683" s="213"/>
      <c r="E683" s="213"/>
      <c r="F683" s="213"/>
    </row>
    <row r="684" spans="1:9" ht="14.25" customHeight="1">
      <c r="A684" s="214" t="s">
        <v>165</v>
      </c>
      <c r="C684" s="213"/>
      <c r="D684" s="213"/>
      <c r="E684" s="213"/>
      <c r="F684" s="213"/>
    </row>
    <row r="685" spans="1:9" ht="14.25" customHeight="1">
      <c r="A685" s="456" t="s">
        <v>147</v>
      </c>
      <c r="B685" s="457"/>
      <c r="C685" s="221" t="s">
        <v>166</v>
      </c>
      <c r="D685" s="221" t="s">
        <v>167</v>
      </c>
      <c r="E685" s="221" t="s">
        <v>168</v>
      </c>
      <c r="F685" s="221" t="s">
        <v>169</v>
      </c>
      <c r="G685" s="221" t="s">
        <v>170</v>
      </c>
      <c r="H685" s="240" t="s">
        <v>152</v>
      </c>
    </row>
    <row r="686" spans="1:9" ht="14.25" customHeight="1">
      <c r="A686" s="458" t="s">
        <v>171</v>
      </c>
      <c r="B686" s="454"/>
      <c r="C686" s="229">
        <f>1</f>
        <v>1</v>
      </c>
      <c r="D686" s="231">
        <f>27.504</f>
        <v>27.504000000000001</v>
      </c>
      <c r="E686" s="241">
        <f>369.3</f>
        <v>369.3</v>
      </c>
      <c r="F686" s="229">
        <f>2.5</f>
        <v>2.5</v>
      </c>
      <c r="G686" s="232">
        <f>E686*D686*F686*0</f>
        <v>0</v>
      </c>
      <c r="H686" s="242">
        <f>+G686</f>
        <v>0</v>
      </c>
    </row>
    <row r="687" spans="1:9" ht="14.25" customHeight="1">
      <c r="C687" s="213"/>
      <c r="D687" s="213"/>
      <c r="E687" s="213"/>
      <c r="F687" s="213"/>
    </row>
    <row r="688" spans="1:9" ht="14.25" customHeight="1">
      <c r="A688" s="214" t="s">
        <v>172</v>
      </c>
      <c r="C688" s="213"/>
      <c r="D688" s="213"/>
      <c r="E688" s="213"/>
      <c r="F688" s="213"/>
    </row>
    <row r="689" spans="1:8" ht="14.25" customHeight="1">
      <c r="A689" s="233" t="s">
        <v>147</v>
      </c>
      <c r="B689" s="222"/>
      <c r="C689" s="221" t="s">
        <v>173</v>
      </c>
      <c r="D689" s="221" t="s">
        <v>174</v>
      </c>
      <c r="E689" s="221" t="s">
        <v>175</v>
      </c>
      <c r="F689" s="221" t="s">
        <v>150</v>
      </c>
      <c r="G689" s="243" t="s">
        <v>176</v>
      </c>
      <c r="H689" s="223" t="s">
        <v>152</v>
      </c>
    </row>
    <row r="690" spans="1:8" ht="14.25" customHeight="1">
      <c r="A690" s="459" t="s">
        <v>177</v>
      </c>
      <c r="B690" s="451"/>
      <c r="C690" s="225">
        <v>55000</v>
      </c>
      <c r="D690" s="224">
        <v>0</v>
      </c>
      <c r="E690" s="225">
        <f>C690</f>
        <v>55000</v>
      </c>
      <c r="F690" s="244">
        <f t="shared" ref="F690:F691" si="114">50%</f>
        <v>0.5</v>
      </c>
      <c r="G690" s="226">
        <f t="shared" ref="G690:G691" si="115">E690*F690</f>
        <v>27500</v>
      </c>
      <c r="H690" s="449">
        <f>G690+G691</f>
        <v>62500</v>
      </c>
    </row>
    <row r="691" spans="1:8" ht="14.25" customHeight="1">
      <c r="A691" s="460" t="s">
        <v>188</v>
      </c>
      <c r="B691" s="454"/>
      <c r="C691" s="230">
        <v>35000</v>
      </c>
      <c r="D691" s="229">
        <v>0</v>
      </c>
      <c r="E691" s="230">
        <f>C691*2</f>
        <v>70000</v>
      </c>
      <c r="F691" s="245">
        <f t="shared" si="114"/>
        <v>0.5</v>
      </c>
      <c r="G691" s="232">
        <f t="shared" si="115"/>
        <v>35000</v>
      </c>
      <c r="H691" s="448"/>
    </row>
    <row r="692" spans="1:8" ht="14.25" customHeight="1">
      <c r="C692" s="213"/>
      <c r="D692" s="213"/>
      <c r="F692" s="213"/>
    </row>
    <row r="693" spans="1:8" ht="14.25" customHeight="1">
      <c r="C693" s="213"/>
      <c r="D693" s="213"/>
      <c r="F693" s="213"/>
    </row>
    <row r="694" spans="1:8" ht="14.25" customHeight="1">
      <c r="C694" s="213"/>
      <c r="D694" s="213"/>
      <c r="F694" s="213"/>
    </row>
    <row r="695" spans="1:8" ht="14.25" customHeight="1">
      <c r="C695" s="213"/>
      <c r="D695" s="213"/>
      <c r="F695" s="213"/>
    </row>
    <row r="696" spans="1:8" ht="14.25" customHeight="1">
      <c r="C696" s="213"/>
      <c r="D696" s="213"/>
      <c r="F696" s="213"/>
    </row>
    <row r="697" spans="1:8" ht="14.25" customHeight="1">
      <c r="C697" s="213"/>
      <c r="D697" s="213"/>
      <c r="F697" s="213"/>
    </row>
    <row r="698" spans="1:8" ht="14.25" customHeight="1">
      <c r="A698" s="214" t="s">
        <v>137</v>
      </c>
      <c r="C698" s="213"/>
      <c r="D698" s="471" t="s">
        <v>300</v>
      </c>
      <c r="E698" s="430"/>
      <c r="F698" s="430"/>
      <c r="G698" s="430"/>
    </row>
    <row r="699" spans="1:8" ht="14.25" customHeight="1">
      <c r="A699" s="214"/>
      <c r="C699" s="213"/>
      <c r="D699" s="216"/>
      <c r="E699" s="215"/>
      <c r="F699" s="216"/>
      <c r="G699" s="215"/>
    </row>
    <row r="700" spans="1:8" ht="14.25" customHeight="1">
      <c r="A700" s="217" t="s">
        <v>139</v>
      </c>
      <c r="B700" s="472" t="s">
        <v>301</v>
      </c>
      <c r="C700" s="430"/>
      <c r="D700" s="430"/>
      <c r="E700" s="430"/>
      <c r="F700" s="430"/>
      <c r="G700" s="218" t="s">
        <v>140</v>
      </c>
      <c r="H700" s="217" t="s">
        <v>302</v>
      </c>
    </row>
    <row r="701" spans="1:8" ht="14.25" customHeight="1">
      <c r="A701" s="214" t="s">
        <v>142</v>
      </c>
      <c r="B701" s="213" t="s">
        <v>191</v>
      </c>
      <c r="C701" s="213"/>
      <c r="D701" s="213"/>
      <c r="E701" s="213"/>
      <c r="F701" s="216" t="s">
        <v>143</v>
      </c>
      <c r="G701" s="219">
        <f>H704+H711+H715+H719</f>
        <v>106289.72719999999</v>
      </c>
    </row>
    <row r="702" spans="1:8" ht="14.25" customHeight="1">
      <c r="A702" s="214" t="s">
        <v>145</v>
      </c>
      <c r="C702" s="213"/>
      <c r="D702" s="213"/>
      <c r="E702" s="213"/>
      <c r="F702" s="213"/>
    </row>
    <row r="703" spans="1:8" ht="14.25" customHeight="1">
      <c r="A703" s="456" t="s">
        <v>147</v>
      </c>
      <c r="B703" s="457"/>
      <c r="C703" s="221" t="s">
        <v>148</v>
      </c>
      <c r="D703" s="221"/>
      <c r="E703" s="221" t="s">
        <v>149</v>
      </c>
      <c r="F703" s="221" t="s">
        <v>150</v>
      </c>
      <c r="G703" s="222" t="s">
        <v>151</v>
      </c>
      <c r="H703" s="223" t="s">
        <v>152</v>
      </c>
    </row>
    <row r="704" spans="1:8" ht="14.25" customHeight="1">
      <c r="A704" s="459" t="s">
        <v>153</v>
      </c>
      <c r="B704" s="451"/>
      <c r="C704" s="224"/>
      <c r="D704" s="224"/>
      <c r="E704" s="225">
        <f>7500</f>
        <v>7500</v>
      </c>
      <c r="F704" s="224">
        <f>0.5</f>
        <v>0.5</v>
      </c>
      <c r="G704" s="226">
        <f t="shared" ref="G704:G707" si="116">E704*F704</f>
        <v>3750</v>
      </c>
      <c r="H704" s="449">
        <f>SUM(G704:G707)</f>
        <v>4585</v>
      </c>
    </row>
    <row r="705" spans="1:8" ht="14.25" customHeight="1">
      <c r="A705" s="227" t="s">
        <v>154</v>
      </c>
      <c r="B705" s="228"/>
      <c r="C705" s="224"/>
      <c r="D705" s="224"/>
      <c r="E705" s="225">
        <f>20110/8</f>
        <v>2513.75</v>
      </c>
      <c r="F705" s="224">
        <f>0</f>
        <v>0</v>
      </c>
      <c r="G705" s="226">
        <f t="shared" si="116"/>
        <v>0</v>
      </c>
      <c r="H705" s="447"/>
    </row>
    <row r="706" spans="1:8" ht="14.25" customHeight="1">
      <c r="A706" s="227" t="s">
        <v>155</v>
      </c>
      <c r="B706" s="228"/>
      <c r="C706" s="224"/>
      <c r="D706" s="224"/>
      <c r="E706" s="225">
        <f>60000/8</f>
        <v>7500</v>
      </c>
      <c r="F706" s="224">
        <f>8*0</f>
        <v>0</v>
      </c>
      <c r="G706" s="226">
        <f t="shared" si="116"/>
        <v>0</v>
      </c>
      <c r="H706" s="447"/>
    </row>
    <row r="707" spans="1:8" ht="14.25" customHeight="1">
      <c r="A707" s="460" t="s">
        <v>156</v>
      </c>
      <c r="B707" s="454"/>
      <c r="C707" s="229"/>
      <c r="D707" s="229"/>
      <c r="E707" s="230">
        <f>2500</f>
        <v>2500</v>
      </c>
      <c r="F707" s="231">
        <f>0.334</f>
        <v>0.33400000000000002</v>
      </c>
      <c r="G707" s="232">
        <f t="shared" si="116"/>
        <v>835</v>
      </c>
      <c r="H707" s="448"/>
    </row>
    <row r="708" spans="1:8" ht="14.25" customHeight="1">
      <c r="C708" s="213"/>
      <c r="D708" s="213"/>
      <c r="E708" s="213"/>
      <c r="F708" s="213"/>
    </row>
    <row r="709" spans="1:8" ht="14.25" customHeight="1">
      <c r="A709" s="246" t="s">
        <v>157</v>
      </c>
      <c r="B709" s="228"/>
      <c r="C709" s="224"/>
      <c r="D709" s="224"/>
      <c r="E709" s="224"/>
      <c r="F709" s="224"/>
      <c r="G709" s="228"/>
      <c r="H709" s="228"/>
    </row>
    <row r="710" spans="1:8" ht="14.25" customHeight="1">
      <c r="A710" s="228" t="s">
        <v>147</v>
      </c>
      <c r="B710" s="228"/>
      <c r="C710" s="224" t="s">
        <v>158</v>
      </c>
      <c r="D710" s="224"/>
      <c r="E710" s="224" t="s">
        <v>159</v>
      </c>
      <c r="F710" s="224" t="s">
        <v>160</v>
      </c>
      <c r="G710" s="228" t="s">
        <v>161</v>
      </c>
      <c r="H710" s="224" t="s">
        <v>152</v>
      </c>
    </row>
    <row r="711" spans="1:8" ht="14.25" customHeight="1">
      <c r="A711" s="474" t="s">
        <v>303</v>
      </c>
      <c r="B711" s="451"/>
      <c r="C711" s="247" t="s">
        <v>24</v>
      </c>
      <c r="D711" s="247"/>
      <c r="E711" s="251">
        <f>43857/3</f>
        <v>14619</v>
      </c>
      <c r="F711" s="247">
        <f>2.5</f>
        <v>2.5</v>
      </c>
      <c r="G711" s="250">
        <f>E711*F711</f>
        <v>36547.5</v>
      </c>
      <c r="H711" s="248">
        <f>SUM(G711)</f>
        <v>36547.5</v>
      </c>
    </row>
    <row r="712" spans="1:8" ht="14.25" customHeight="1">
      <c r="C712" s="213"/>
      <c r="D712" s="213"/>
      <c r="E712" s="213"/>
      <c r="F712" s="213"/>
    </row>
    <row r="713" spans="1:8" ht="14.25" customHeight="1">
      <c r="A713" s="214" t="s">
        <v>165</v>
      </c>
      <c r="C713" s="213"/>
      <c r="D713" s="213"/>
      <c r="E713" s="213"/>
      <c r="F713" s="213"/>
    </row>
    <row r="714" spans="1:8" ht="14.25" customHeight="1">
      <c r="A714" s="456" t="s">
        <v>147</v>
      </c>
      <c r="B714" s="457"/>
      <c r="C714" s="221" t="s">
        <v>166</v>
      </c>
      <c r="D714" s="221" t="s">
        <v>167</v>
      </c>
      <c r="E714" s="221" t="s">
        <v>168</v>
      </c>
      <c r="F714" s="221" t="s">
        <v>169</v>
      </c>
      <c r="G714" s="221" t="s">
        <v>170</v>
      </c>
      <c r="H714" s="240" t="s">
        <v>152</v>
      </c>
    </row>
    <row r="715" spans="1:8" ht="14.25" customHeight="1">
      <c r="A715" s="458" t="s">
        <v>171</v>
      </c>
      <c r="B715" s="454"/>
      <c r="C715" s="229">
        <f>1</f>
        <v>1</v>
      </c>
      <c r="D715" s="231">
        <f>27.504</f>
        <v>27.504000000000001</v>
      </c>
      <c r="E715" s="241">
        <f>369.3</f>
        <v>369.3</v>
      </c>
      <c r="F715" s="229">
        <f>1</f>
        <v>1</v>
      </c>
      <c r="G715" s="232">
        <f>E715*D715*F715</f>
        <v>10157.227200000001</v>
      </c>
      <c r="H715" s="242">
        <f>+G715</f>
        <v>10157.227200000001</v>
      </c>
    </row>
    <row r="716" spans="1:8" ht="14.25" customHeight="1">
      <c r="C716" s="213"/>
      <c r="D716" s="213"/>
      <c r="E716" s="213"/>
      <c r="F716" s="213"/>
    </row>
    <row r="717" spans="1:8" ht="14.25" customHeight="1">
      <c r="A717" s="214" t="s">
        <v>172</v>
      </c>
      <c r="C717" s="213"/>
      <c r="D717" s="213"/>
      <c r="E717" s="213"/>
      <c r="F717" s="213"/>
    </row>
    <row r="718" spans="1:8" ht="14.25" customHeight="1">
      <c r="A718" s="233" t="s">
        <v>147</v>
      </c>
      <c r="B718" s="222"/>
      <c r="C718" s="221" t="s">
        <v>173</v>
      </c>
      <c r="D718" s="221" t="s">
        <v>174</v>
      </c>
      <c r="E718" s="221" t="s">
        <v>175</v>
      </c>
      <c r="F718" s="221" t="s">
        <v>150</v>
      </c>
      <c r="G718" s="243" t="s">
        <v>176</v>
      </c>
      <c r="H718" s="223" t="s">
        <v>152</v>
      </c>
    </row>
    <row r="719" spans="1:8" ht="14.25" customHeight="1">
      <c r="A719" s="459" t="s">
        <v>177</v>
      </c>
      <c r="B719" s="451"/>
      <c r="C719" s="225">
        <v>55000</v>
      </c>
      <c r="D719" s="224">
        <v>0</v>
      </c>
      <c r="E719" s="225">
        <f>C719</f>
        <v>55000</v>
      </c>
      <c r="F719" s="244">
        <f t="shared" ref="F719:F720" si="117">44%</f>
        <v>0.44</v>
      </c>
      <c r="G719" s="226">
        <f t="shared" ref="G719:G720" si="118">E719*F719</f>
        <v>24200</v>
      </c>
      <c r="H719" s="449">
        <f>G719+G720</f>
        <v>55000</v>
      </c>
    </row>
    <row r="720" spans="1:8" ht="14.25" customHeight="1">
      <c r="A720" s="460" t="s">
        <v>188</v>
      </c>
      <c r="B720" s="454"/>
      <c r="C720" s="230">
        <v>35000</v>
      </c>
      <c r="D720" s="229">
        <v>0</v>
      </c>
      <c r="E720" s="230">
        <f>C720*2</f>
        <v>70000</v>
      </c>
      <c r="F720" s="245">
        <f t="shared" si="117"/>
        <v>0.44</v>
      </c>
      <c r="G720" s="232">
        <f t="shared" si="118"/>
        <v>30800</v>
      </c>
      <c r="H720" s="448"/>
    </row>
    <row r="721" spans="1:9" ht="14.25" customHeight="1">
      <c r="C721" s="213"/>
      <c r="D721" s="213"/>
      <c r="F721" s="213"/>
    </row>
    <row r="722" spans="1:9" ht="14.25" customHeight="1">
      <c r="C722" s="213"/>
      <c r="D722" s="213"/>
      <c r="F722" s="213"/>
    </row>
    <row r="723" spans="1:9" ht="14.25" customHeight="1">
      <c r="C723" s="213"/>
      <c r="D723" s="213"/>
      <c r="F723" s="213"/>
    </row>
    <row r="724" spans="1:9" ht="14.25" customHeight="1">
      <c r="C724" s="213"/>
      <c r="D724" s="213"/>
      <c r="F724" s="213"/>
    </row>
    <row r="725" spans="1:9" ht="14.25" customHeight="1">
      <c r="C725" s="213"/>
      <c r="D725" s="213"/>
      <c r="F725" s="213"/>
    </row>
    <row r="726" spans="1:9" ht="14.25" customHeight="1">
      <c r="C726" s="213"/>
      <c r="D726" s="213"/>
      <c r="F726" s="213"/>
    </row>
    <row r="727" spans="1:9" ht="14.25" customHeight="1">
      <c r="A727" s="214" t="s">
        <v>137</v>
      </c>
      <c r="C727" s="213"/>
      <c r="D727" s="471" t="s">
        <v>304</v>
      </c>
      <c r="E727" s="430"/>
      <c r="F727" s="430"/>
      <c r="G727" s="430"/>
    </row>
    <row r="728" spans="1:9" ht="14.25" customHeight="1">
      <c r="A728" s="214"/>
      <c r="C728" s="213"/>
      <c r="D728" s="216"/>
      <c r="E728" s="215"/>
      <c r="F728" s="216"/>
      <c r="G728" s="215"/>
    </row>
    <row r="729" spans="1:9" ht="14.25" customHeight="1">
      <c r="A729" s="217" t="s">
        <v>139</v>
      </c>
      <c r="B729" s="472" t="s">
        <v>305</v>
      </c>
      <c r="C729" s="430"/>
      <c r="D729" s="430"/>
      <c r="E729" s="430"/>
      <c r="F729" s="430"/>
      <c r="G729" s="218" t="s">
        <v>140</v>
      </c>
      <c r="H729" s="217" t="s">
        <v>306</v>
      </c>
    </row>
    <row r="730" spans="1:9" ht="14.25" customHeight="1">
      <c r="A730" s="214" t="s">
        <v>142</v>
      </c>
      <c r="B730" s="213" t="s">
        <v>24</v>
      </c>
      <c r="C730" s="213"/>
      <c r="D730" s="213"/>
      <c r="E730" s="213"/>
      <c r="F730" s="216" t="s">
        <v>143</v>
      </c>
      <c r="G730" s="219">
        <f>H733+H740+H744+H748</f>
        <v>328467.54399999999</v>
      </c>
    </row>
    <row r="731" spans="1:9" ht="14.25" customHeight="1">
      <c r="A731" s="214" t="s">
        <v>145</v>
      </c>
      <c r="C731" s="213"/>
      <c r="D731" s="213"/>
      <c r="E731" s="213"/>
      <c r="F731" s="213"/>
    </row>
    <row r="732" spans="1:9" ht="14.25" customHeight="1">
      <c r="A732" s="456" t="s">
        <v>147</v>
      </c>
      <c r="B732" s="457"/>
      <c r="C732" s="221" t="s">
        <v>148</v>
      </c>
      <c r="D732" s="221"/>
      <c r="E732" s="221" t="s">
        <v>149</v>
      </c>
      <c r="F732" s="221" t="s">
        <v>150</v>
      </c>
      <c r="G732" s="222" t="s">
        <v>151</v>
      </c>
      <c r="H732" s="223" t="s">
        <v>152</v>
      </c>
    </row>
    <row r="733" spans="1:9" ht="14.25" customHeight="1">
      <c r="A733" s="459" t="s">
        <v>153</v>
      </c>
      <c r="B733" s="451"/>
      <c r="C733" s="224"/>
      <c r="D733" s="224"/>
      <c r="E733" s="225">
        <f>7500</f>
        <v>7500</v>
      </c>
      <c r="F733" s="224">
        <f>1</f>
        <v>1</v>
      </c>
      <c r="G733" s="226">
        <f t="shared" ref="G733:G736" si="119">E733*F733</f>
        <v>7500</v>
      </c>
      <c r="H733" s="449">
        <f>SUM(G733:G736)</f>
        <v>10000</v>
      </c>
    </row>
    <row r="734" spans="1:9" ht="14.25" customHeight="1">
      <c r="A734" s="227" t="s">
        <v>154</v>
      </c>
      <c r="B734" s="228"/>
      <c r="C734" s="224"/>
      <c r="D734" s="224"/>
      <c r="E734" s="225">
        <f>20110/8</f>
        <v>2513.75</v>
      </c>
      <c r="F734" s="224">
        <f>0</f>
        <v>0</v>
      </c>
      <c r="G734" s="226">
        <f t="shared" si="119"/>
        <v>0</v>
      </c>
      <c r="H734" s="447"/>
    </row>
    <row r="735" spans="1:9" ht="14.25" customHeight="1">
      <c r="A735" s="227" t="s">
        <v>155</v>
      </c>
      <c r="B735" s="228"/>
      <c r="C735" s="224"/>
      <c r="D735" s="224"/>
      <c r="E735" s="225">
        <f>60000/8</f>
        <v>7500</v>
      </c>
      <c r="F735" s="224">
        <f>8*0</f>
        <v>0</v>
      </c>
      <c r="G735" s="226">
        <f t="shared" si="119"/>
        <v>0</v>
      </c>
      <c r="H735" s="447"/>
    </row>
    <row r="736" spans="1:9" ht="14.25" customHeight="1">
      <c r="A736" s="460" t="s">
        <v>156</v>
      </c>
      <c r="B736" s="454"/>
      <c r="C736" s="229"/>
      <c r="D736" s="229"/>
      <c r="E736" s="230">
        <f>2500</f>
        <v>2500</v>
      </c>
      <c r="F736" s="241">
        <f>1</f>
        <v>1</v>
      </c>
      <c r="G736" s="232">
        <f t="shared" si="119"/>
        <v>2500</v>
      </c>
      <c r="H736" s="448"/>
      <c r="I736" s="220"/>
    </row>
    <row r="737" spans="1:8" ht="14.25" customHeight="1">
      <c r="C737" s="213"/>
      <c r="D737" s="213"/>
      <c r="E737" s="213"/>
      <c r="F737" s="213"/>
    </row>
    <row r="738" spans="1:8" ht="14.25" customHeight="1">
      <c r="A738" s="246" t="s">
        <v>157</v>
      </c>
      <c r="B738" s="228"/>
      <c r="C738" s="224"/>
      <c r="D738" s="224"/>
      <c r="E738" s="224"/>
      <c r="F738" s="224"/>
      <c r="G738" s="228"/>
      <c r="H738" s="228"/>
    </row>
    <row r="739" spans="1:8" ht="14.25" customHeight="1">
      <c r="A739" s="228" t="s">
        <v>147</v>
      </c>
      <c r="B739" s="228"/>
      <c r="C739" s="224" t="s">
        <v>158</v>
      </c>
      <c r="D739" s="224"/>
      <c r="E739" s="224" t="s">
        <v>159</v>
      </c>
      <c r="F739" s="224" t="s">
        <v>160</v>
      </c>
      <c r="G739" s="228" t="s">
        <v>161</v>
      </c>
      <c r="H739" s="224" t="s">
        <v>152</v>
      </c>
    </row>
    <row r="740" spans="1:8" ht="14.25" customHeight="1">
      <c r="A740" s="474" t="s">
        <v>307</v>
      </c>
      <c r="B740" s="451"/>
      <c r="C740" s="247" t="s">
        <v>308</v>
      </c>
      <c r="D740" s="247"/>
      <c r="E740" s="251">
        <f>10323</f>
        <v>10323</v>
      </c>
      <c r="F740" s="247">
        <f>1</f>
        <v>1</v>
      </c>
      <c r="G740" s="250">
        <f>E740*F740</f>
        <v>10323</v>
      </c>
      <c r="H740" s="248">
        <f>SUM(G740)</f>
        <v>10323</v>
      </c>
    </row>
    <row r="741" spans="1:8" ht="14.25" customHeight="1">
      <c r="C741" s="213"/>
      <c r="D741" s="213"/>
      <c r="E741" s="213"/>
      <c r="F741" s="213"/>
    </row>
    <row r="742" spans="1:8" ht="14.25" customHeight="1">
      <c r="A742" s="214" t="s">
        <v>165</v>
      </c>
      <c r="C742" s="213"/>
      <c r="D742" s="213"/>
      <c r="E742" s="213"/>
      <c r="F742" s="213"/>
    </row>
    <row r="743" spans="1:8" ht="14.25" customHeight="1">
      <c r="A743" s="456" t="s">
        <v>147</v>
      </c>
      <c r="B743" s="457"/>
      <c r="C743" s="221" t="s">
        <v>166</v>
      </c>
      <c r="D743" s="221" t="s">
        <v>167</v>
      </c>
      <c r="E743" s="221" t="s">
        <v>168</v>
      </c>
      <c r="F743" s="221" t="s">
        <v>169</v>
      </c>
      <c r="G743" s="221" t="s">
        <v>170</v>
      </c>
      <c r="H743" s="240" t="s">
        <v>152</v>
      </c>
    </row>
    <row r="744" spans="1:8" ht="14.25" customHeight="1">
      <c r="A744" s="458" t="s">
        <v>171</v>
      </c>
      <c r="B744" s="454"/>
      <c r="C744" s="229">
        <f>20</f>
        <v>20</v>
      </c>
      <c r="D744" s="231">
        <f>27.504</f>
        <v>27.504000000000001</v>
      </c>
      <c r="E744" s="241">
        <f>369.3</f>
        <v>369.3</v>
      </c>
      <c r="F744" s="229">
        <f>1</f>
        <v>1</v>
      </c>
      <c r="G744" s="232">
        <f>E744*D744*C744</f>
        <v>203144.54400000002</v>
      </c>
      <c r="H744" s="242">
        <f>+G744</f>
        <v>203144.54400000002</v>
      </c>
    </row>
    <row r="745" spans="1:8" ht="14.25" customHeight="1">
      <c r="C745" s="213"/>
      <c r="D745" s="213"/>
      <c r="E745" s="213"/>
      <c r="F745" s="213"/>
    </row>
    <row r="746" spans="1:8" ht="14.25" customHeight="1">
      <c r="A746" s="214" t="s">
        <v>172</v>
      </c>
      <c r="C746" s="213"/>
      <c r="D746" s="213"/>
      <c r="E746" s="213"/>
      <c r="F746" s="213"/>
    </row>
    <row r="747" spans="1:8" ht="14.25" customHeight="1">
      <c r="A747" s="233" t="s">
        <v>147</v>
      </c>
      <c r="B747" s="222"/>
      <c r="C747" s="221" t="s">
        <v>173</v>
      </c>
      <c r="D747" s="221" t="s">
        <v>174</v>
      </c>
      <c r="E747" s="221" t="s">
        <v>175</v>
      </c>
      <c r="F747" s="221" t="s">
        <v>150</v>
      </c>
      <c r="G747" s="243" t="s">
        <v>176</v>
      </c>
      <c r="H747" s="223" t="s">
        <v>152</v>
      </c>
    </row>
    <row r="748" spans="1:8" ht="14.25" customHeight="1">
      <c r="A748" s="459" t="s">
        <v>177</v>
      </c>
      <c r="B748" s="451"/>
      <c r="C748" s="225">
        <v>55000</v>
      </c>
      <c r="D748" s="224">
        <v>0</v>
      </c>
      <c r="E748" s="225">
        <f>C748</f>
        <v>55000</v>
      </c>
      <c r="F748" s="244">
        <f>0%</f>
        <v>0</v>
      </c>
      <c r="G748" s="226">
        <f t="shared" ref="G748:G749" si="120">E748*F748</f>
        <v>0</v>
      </c>
      <c r="H748" s="449">
        <f>G748+G749</f>
        <v>105000</v>
      </c>
    </row>
    <row r="749" spans="1:8" ht="14.25" customHeight="1">
      <c r="A749" s="460" t="s">
        <v>188</v>
      </c>
      <c r="B749" s="454"/>
      <c r="C749" s="230">
        <v>35000</v>
      </c>
      <c r="D749" s="229">
        <v>0</v>
      </c>
      <c r="E749" s="230">
        <f>C749*2</f>
        <v>70000</v>
      </c>
      <c r="F749" s="245">
        <f>150%</f>
        <v>1.5</v>
      </c>
      <c r="G749" s="232">
        <f t="shared" si="120"/>
        <v>105000</v>
      </c>
      <c r="H749" s="448"/>
    </row>
    <row r="750" spans="1:8" ht="14.25" customHeight="1">
      <c r="C750" s="213"/>
      <c r="D750" s="213"/>
      <c r="F750" s="213"/>
    </row>
    <row r="751" spans="1:8" ht="14.25" customHeight="1">
      <c r="C751" s="213"/>
      <c r="D751" s="213"/>
      <c r="F751" s="213"/>
    </row>
    <row r="752" spans="1:8" ht="14.25" customHeight="1">
      <c r="C752" s="213"/>
      <c r="D752" s="213"/>
      <c r="F752" s="213"/>
    </row>
    <row r="753" spans="1:8" ht="14.25" customHeight="1">
      <c r="C753" s="213"/>
      <c r="D753" s="213"/>
      <c r="F753" s="213"/>
    </row>
    <row r="754" spans="1:8" ht="14.25" customHeight="1">
      <c r="C754" s="213"/>
      <c r="D754" s="213"/>
      <c r="F754" s="213"/>
    </row>
    <row r="755" spans="1:8" ht="14.25" customHeight="1">
      <c r="C755" s="213"/>
      <c r="D755" s="213"/>
      <c r="F755" s="213"/>
    </row>
    <row r="756" spans="1:8" ht="14.25" customHeight="1">
      <c r="C756" s="213"/>
      <c r="D756" s="213"/>
      <c r="F756" s="213"/>
    </row>
    <row r="757" spans="1:8" ht="14.25" customHeight="1">
      <c r="A757" s="214" t="s">
        <v>137</v>
      </c>
      <c r="C757" s="213"/>
      <c r="D757" s="471" t="s">
        <v>309</v>
      </c>
      <c r="E757" s="430"/>
      <c r="F757" s="430"/>
      <c r="G757" s="430"/>
    </row>
    <row r="758" spans="1:8" ht="14.25" customHeight="1">
      <c r="A758" s="214"/>
      <c r="C758" s="213"/>
      <c r="D758" s="216"/>
      <c r="E758" s="215"/>
      <c r="F758" s="216"/>
      <c r="G758" s="215"/>
    </row>
    <row r="759" spans="1:8" ht="14.25" customHeight="1">
      <c r="A759" s="217" t="s">
        <v>139</v>
      </c>
      <c r="B759" s="472" t="s">
        <v>310</v>
      </c>
      <c r="C759" s="430"/>
      <c r="D759" s="430"/>
      <c r="E759" s="430"/>
      <c r="F759" s="430"/>
      <c r="G759" s="218" t="s">
        <v>140</v>
      </c>
      <c r="H759" s="217" t="s">
        <v>311</v>
      </c>
    </row>
    <row r="760" spans="1:8" ht="14.25" customHeight="1">
      <c r="A760" s="214" t="s">
        <v>142</v>
      </c>
      <c r="B760" s="213" t="s">
        <v>24</v>
      </c>
      <c r="C760" s="213"/>
      <c r="D760" s="213"/>
      <c r="E760" s="213"/>
      <c r="F760" s="216" t="s">
        <v>143</v>
      </c>
      <c r="G760" s="219">
        <f>H763+H770+H775+H779</f>
        <v>45710.81</v>
      </c>
    </row>
    <row r="761" spans="1:8" ht="14.25" customHeight="1">
      <c r="A761" s="214" t="s">
        <v>145</v>
      </c>
      <c r="C761" s="213"/>
      <c r="D761" s="213"/>
      <c r="E761" s="213"/>
      <c r="F761" s="213"/>
    </row>
    <row r="762" spans="1:8" ht="14.25" customHeight="1">
      <c r="A762" s="456" t="s">
        <v>147</v>
      </c>
      <c r="B762" s="457"/>
      <c r="C762" s="221" t="s">
        <v>148</v>
      </c>
      <c r="D762" s="221"/>
      <c r="E762" s="221" t="s">
        <v>149</v>
      </c>
      <c r="F762" s="221" t="s">
        <v>150</v>
      </c>
      <c r="G762" s="222" t="s">
        <v>151</v>
      </c>
      <c r="H762" s="223" t="s">
        <v>152</v>
      </c>
    </row>
    <row r="763" spans="1:8" ht="14.25" customHeight="1">
      <c r="A763" s="459" t="s">
        <v>153</v>
      </c>
      <c r="B763" s="451"/>
      <c r="C763" s="224"/>
      <c r="D763" s="224"/>
      <c r="E763" s="225">
        <f>7500</f>
        <v>7500</v>
      </c>
      <c r="F763" s="224">
        <f t="shared" ref="F763:F764" si="121">0</f>
        <v>0</v>
      </c>
      <c r="G763" s="226">
        <f t="shared" ref="G763:G766" si="122">E763*F763</f>
        <v>0</v>
      </c>
      <c r="H763" s="449">
        <f>SUM(G763:G766)</f>
        <v>1979.4999999999998</v>
      </c>
    </row>
    <row r="764" spans="1:8" ht="14.25" customHeight="1">
      <c r="A764" s="227" t="s">
        <v>154</v>
      </c>
      <c r="B764" s="228"/>
      <c r="C764" s="224"/>
      <c r="D764" s="224"/>
      <c r="E764" s="225">
        <f>20110/8</f>
        <v>2513.75</v>
      </c>
      <c r="F764" s="224">
        <f t="shared" si="121"/>
        <v>0</v>
      </c>
      <c r="G764" s="226">
        <f t="shared" si="122"/>
        <v>0</v>
      </c>
      <c r="H764" s="447"/>
    </row>
    <row r="765" spans="1:8" ht="14.25" customHeight="1">
      <c r="A765" s="227" t="s">
        <v>155</v>
      </c>
      <c r="B765" s="228"/>
      <c r="C765" s="224"/>
      <c r="D765" s="224"/>
      <c r="E765" s="225">
        <f>60000/8</f>
        <v>7500</v>
      </c>
      <c r="F765" s="224">
        <f>8*0</f>
        <v>0</v>
      </c>
      <c r="G765" s="226">
        <f t="shared" si="122"/>
        <v>0</v>
      </c>
      <c r="H765" s="447"/>
    </row>
    <row r="766" spans="1:8" ht="14.25" customHeight="1">
      <c r="A766" s="460" t="s">
        <v>156</v>
      </c>
      <c r="B766" s="454"/>
      <c r="C766" s="229"/>
      <c r="D766" s="229"/>
      <c r="E766" s="230">
        <f>2500</f>
        <v>2500</v>
      </c>
      <c r="F766" s="231">
        <f>0.7918</f>
        <v>0.79179999999999995</v>
      </c>
      <c r="G766" s="232">
        <f t="shared" si="122"/>
        <v>1979.4999999999998</v>
      </c>
      <c r="H766" s="448"/>
    </row>
    <row r="767" spans="1:8" ht="14.25" customHeight="1">
      <c r="C767" s="213"/>
      <c r="D767" s="213"/>
      <c r="E767" s="213"/>
      <c r="F767" s="213"/>
    </row>
    <row r="768" spans="1:8" ht="14.25" customHeight="1">
      <c r="A768" s="246" t="s">
        <v>157</v>
      </c>
      <c r="B768" s="228"/>
      <c r="C768" s="224"/>
      <c r="D768" s="224"/>
      <c r="E768" s="224"/>
      <c r="F768" s="224"/>
      <c r="G768" s="228"/>
      <c r="H768" s="228"/>
    </row>
    <row r="769" spans="1:8" ht="14.25" customHeight="1">
      <c r="A769" s="228" t="s">
        <v>147</v>
      </c>
      <c r="B769" s="228"/>
      <c r="C769" s="224" t="s">
        <v>158</v>
      </c>
      <c r="D769" s="224"/>
      <c r="E769" s="224" t="s">
        <v>159</v>
      </c>
      <c r="F769" s="224" t="s">
        <v>160</v>
      </c>
      <c r="G769" s="228" t="s">
        <v>161</v>
      </c>
      <c r="H769" s="224" t="s">
        <v>152</v>
      </c>
    </row>
    <row r="770" spans="1:8" ht="14.25" customHeight="1">
      <c r="A770" s="474" t="s">
        <v>183</v>
      </c>
      <c r="B770" s="451"/>
      <c r="C770" s="247" t="s">
        <v>28</v>
      </c>
      <c r="D770" s="247"/>
      <c r="E770" s="251">
        <f>763131</f>
        <v>763131</v>
      </c>
      <c r="F770" s="252">
        <f>0.1*0.1</f>
        <v>1.0000000000000002E-2</v>
      </c>
      <c r="G770" s="250">
        <f t="shared" ref="G770:G771" si="123">E770*F770</f>
        <v>7631.3100000000013</v>
      </c>
      <c r="H770" s="467">
        <f>SUM(G770:G771)</f>
        <v>17631.310000000001</v>
      </c>
    </row>
    <row r="771" spans="1:8" ht="14.25" customHeight="1">
      <c r="A771" s="474" t="s">
        <v>312</v>
      </c>
      <c r="B771" s="451"/>
      <c r="C771" s="247" t="s">
        <v>24</v>
      </c>
      <c r="D771" s="247"/>
      <c r="E771" s="251">
        <f>5000</f>
        <v>5000</v>
      </c>
      <c r="F771" s="247">
        <f>2</f>
        <v>2</v>
      </c>
      <c r="G771" s="250">
        <f t="shared" si="123"/>
        <v>10000</v>
      </c>
      <c r="H771" s="469"/>
    </row>
    <row r="772" spans="1:8" ht="14.25" customHeight="1">
      <c r="C772" s="213"/>
      <c r="D772" s="213"/>
      <c r="E772" s="213"/>
      <c r="F772" s="213"/>
    </row>
    <row r="773" spans="1:8" ht="14.25" customHeight="1">
      <c r="A773" s="214" t="s">
        <v>165</v>
      </c>
      <c r="C773" s="213"/>
      <c r="D773" s="213"/>
      <c r="E773" s="213"/>
      <c r="F773" s="213"/>
    </row>
    <row r="774" spans="1:8" ht="14.25" customHeight="1">
      <c r="A774" s="456" t="s">
        <v>147</v>
      </c>
      <c r="B774" s="457"/>
      <c r="C774" s="221" t="s">
        <v>166</v>
      </c>
      <c r="D774" s="221" t="s">
        <v>167</v>
      </c>
      <c r="E774" s="221" t="s">
        <v>168</v>
      </c>
      <c r="F774" s="221" t="s">
        <v>169</v>
      </c>
      <c r="G774" s="221" t="s">
        <v>170</v>
      </c>
      <c r="H774" s="240" t="s">
        <v>152</v>
      </c>
    </row>
    <row r="775" spans="1:8" ht="14.25" customHeight="1">
      <c r="A775" s="458" t="s">
        <v>171</v>
      </c>
      <c r="B775" s="454"/>
      <c r="C775" s="229">
        <f>1</f>
        <v>1</v>
      </c>
      <c r="D775" s="231">
        <f>27.504</f>
        <v>27.504000000000001</v>
      </c>
      <c r="E775" s="241">
        <f>369.3</f>
        <v>369.3</v>
      </c>
      <c r="F775" s="229">
        <f>0</f>
        <v>0</v>
      </c>
      <c r="G775" s="232">
        <f>E775*D775*F775</f>
        <v>0</v>
      </c>
      <c r="H775" s="242">
        <f>+G775</f>
        <v>0</v>
      </c>
    </row>
    <row r="776" spans="1:8" ht="14.25" customHeight="1">
      <c r="C776" s="213"/>
      <c r="D776" s="213"/>
      <c r="E776" s="213"/>
      <c r="F776" s="213"/>
    </row>
    <row r="777" spans="1:8" ht="14.25" customHeight="1">
      <c r="A777" s="214" t="s">
        <v>172</v>
      </c>
      <c r="C777" s="213"/>
      <c r="D777" s="213"/>
      <c r="E777" s="213"/>
      <c r="F777" s="213"/>
    </row>
    <row r="778" spans="1:8" ht="14.25" customHeight="1">
      <c r="A778" s="233" t="s">
        <v>147</v>
      </c>
      <c r="B778" s="222"/>
      <c r="C778" s="221" t="s">
        <v>173</v>
      </c>
      <c r="D778" s="221" t="s">
        <v>174</v>
      </c>
      <c r="E778" s="221" t="s">
        <v>175</v>
      </c>
      <c r="F778" s="221" t="s">
        <v>150</v>
      </c>
      <c r="G778" s="243" t="s">
        <v>176</v>
      </c>
      <c r="H778" s="223" t="s">
        <v>152</v>
      </c>
    </row>
    <row r="779" spans="1:8" ht="14.25" customHeight="1">
      <c r="A779" s="459" t="s">
        <v>177</v>
      </c>
      <c r="B779" s="451"/>
      <c r="C779" s="225">
        <v>55000</v>
      </c>
      <c r="D779" s="224">
        <v>0</v>
      </c>
      <c r="E779" s="225">
        <f t="shared" ref="E779:E780" si="124">C779</f>
        <v>55000</v>
      </c>
      <c r="F779" s="244">
        <f t="shared" ref="F779:F780" si="125">29%</f>
        <v>0.28999999999999998</v>
      </c>
      <c r="G779" s="226">
        <f t="shared" ref="G779:G780" si="126">E779*F779</f>
        <v>15949.999999999998</v>
      </c>
      <c r="H779" s="449">
        <f>G779+G780</f>
        <v>26100</v>
      </c>
    </row>
    <row r="780" spans="1:8" ht="14.25" customHeight="1">
      <c r="A780" s="460" t="s">
        <v>178</v>
      </c>
      <c r="B780" s="454"/>
      <c r="C780" s="230">
        <v>35000</v>
      </c>
      <c r="D780" s="229">
        <v>0</v>
      </c>
      <c r="E780" s="230">
        <f t="shared" si="124"/>
        <v>35000</v>
      </c>
      <c r="F780" s="245">
        <f t="shared" si="125"/>
        <v>0.28999999999999998</v>
      </c>
      <c r="G780" s="232">
        <f t="shared" si="126"/>
        <v>10150</v>
      </c>
      <c r="H780" s="448"/>
    </row>
    <row r="781" spans="1:8" ht="14.25" customHeight="1">
      <c r="C781" s="213"/>
      <c r="D781" s="213"/>
      <c r="F781" s="213"/>
    </row>
    <row r="782" spans="1:8" ht="14.25" customHeight="1">
      <c r="C782" s="213"/>
      <c r="D782" s="213"/>
      <c r="F782" s="213"/>
    </row>
    <row r="783" spans="1:8" ht="14.25" customHeight="1">
      <c r="C783" s="213"/>
      <c r="D783" s="213"/>
      <c r="F783" s="213"/>
    </row>
    <row r="784" spans="1:8" ht="14.25" customHeight="1">
      <c r="C784" s="213"/>
      <c r="D784" s="213"/>
      <c r="F784" s="213"/>
    </row>
    <row r="785" spans="1:9" ht="14.25" customHeight="1">
      <c r="C785" s="213"/>
      <c r="D785" s="213"/>
      <c r="F785" s="213"/>
    </row>
    <row r="786" spans="1:9" ht="14.25" customHeight="1">
      <c r="C786" s="213"/>
      <c r="D786" s="213"/>
      <c r="F786" s="213"/>
    </row>
    <row r="787" spans="1:9" ht="14.25" customHeight="1">
      <c r="A787" s="214" t="s">
        <v>137</v>
      </c>
      <c r="C787" s="213"/>
      <c r="D787" s="471" t="s">
        <v>313</v>
      </c>
      <c r="E787" s="430"/>
      <c r="F787" s="430"/>
      <c r="G787" s="430"/>
    </row>
    <row r="788" spans="1:9" ht="14.25" customHeight="1">
      <c r="A788" s="214"/>
      <c r="C788" s="213"/>
      <c r="D788" s="216"/>
      <c r="E788" s="215"/>
      <c r="F788" s="216"/>
      <c r="G788" s="215"/>
    </row>
    <row r="789" spans="1:9" ht="49.5" customHeight="1">
      <c r="A789" s="217" t="s">
        <v>139</v>
      </c>
      <c r="B789" s="472" t="s">
        <v>314</v>
      </c>
      <c r="C789" s="430"/>
      <c r="D789" s="430"/>
      <c r="E789" s="430"/>
      <c r="F789" s="430"/>
      <c r="G789" s="217" t="s">
        <v>140</v>
      </c>
      <c r="H789" s="217" t="s">
        <v>315</v>
      </c>
    </row>
    <row r="790" spans="1:9" ht="14.25" customHeight="1">
      <c r="A790" s="214" t="s">
        <v>142</v>
      </c>
      <c r="B790" s="213" t="s">
        <v>26</v>
      </c>
      <c r="C790" s="213"/>
      <c r="D790" s="213"/>
      <c r="E790" s="213"/>
      <c r="F790" s="216" t="s">
        <v>143</v>
      </c>
      <c r="G790" s="219">
        <f>H793+H800+H804+H809</f>
        <v>1117153</v>
      </c>
    </row>
    <row r="791" spans="1:9" ht="14.25" customHeight="1">
      <c r="A791" s="214" t="s">
        <v>145</v>
      </c>
      <c r="C791" s="213"/>
      <c r="D791" s="213"/>
      <c r="E791" s="213"/>
      <c r="F791" s="213"/>
    </row>
    <row r="792" spans="1:9" ht="14.25" customHeight="1">
      <c r="A792" s="456" t="s">
        <v>147</v>
      </c>
      <c r="B792" s="457"/>
      <c r="C792" s="221" t="s">
        <v>148</v>
      </c>
      <c r="D792" s="221"/>
      <c r="E792" s="221" t="s">
        <v>149</v>
      </c>
      <c r="F792" s="221" t="s">
        <v>150</v>
      </c>
      <c r="G792" s="222" t="s">
        <v>151</v>
      </c>
      <c r="H792" s="223" t="s">
        <v>152</v>
      </c>
    </row>
    <row r="793" spans="1:9" ht="14.25" customHeight="1">
      <c r="A793" s="459" t="s">
        <v>153</v>
      </c>
      <c r="B793" s="451"/>
      <c r="C793" s="224"/>
      <c r="D793" s="224"/>
      <c r="E793" s="225">
        <f>7500</f>
        <v>7500</v>
      </c>
      <c r="F793" s="224">
        <f t="shared" ref="F793:F794" si="127">0</f>
        <v>0</v>
      </c>
      <c r="G793" s="226">
        <f t="shared" ref="G793:G796" si="128">E793*F793</f>
        <v>0</v>
      </c>
      <c r="H793" s="449">
        <f>SUM(G793:G796)</f>
        <v>5000</v>
      </c>
      <c r="I793" s="220"/>
    </row>
    <row r="794" spans="1:9" ht="14.25" customHeight="1">
      <c r="A794" s="227" t="s">
        <v>154</v>
      </c>
      <c r="B794" s="228"/>
      <c r="C794" s="224"/>
      <c r="D794" s="224"/>
      <c r="E794" s="225">
        <f>20110/8</f>
        <v>2513.75</v>
      </c>
      <c r="F794" s="224">
        <f t="shared" si="127"/>
        <v>0</v>
      </c>
      <c r="G794" s="226">
        <f t="shared" si="128"/>
        <v>0</v>
      </c>
      <c r="H794" s="447"/>
    </row>
    <row r="795" spans="1:9" ht="14.25" customHeight="1">
      <c r="A795" s="227" t="s">
        <v>155</v>
      </c>
      <c r="B795" s="228"/>
      <c r="C795" s="224"/>
      <c r="D795" s="224"/>
      <c r="E795" s="225">
        <f>60000/8</f>
        <v>7500</v>
      </c>
      <c r="F795" s="224">
        <f>8*0</f>
        <v>0</v>
      </c>
      <c r="G795" s="226">
        <f t="shared" si="128"/>
        <v>0</v>
      </c>
      <c r="H795" s="447"/>
    </row>
    <row r="796" spans="1:9" ht="14.25" customHeight="1">
      <c r="A796" s="460" t="s">
        <v>156</v>
      </c>
      <c r="B796" s="454"/>
      <c r="C796" s="229"/>
      <c r="D796" s="229"/>
      <c r="E796" s="230">
        <f>2500</f>
        <v>2500</v>
      </c>
      <c r="F796" s="231">
        <f>2</f>
        <v>2</v>
      </c>
      <c r="G796" s="232">
        <f t="shared" si="128"/>
        <v>5000</v>
      </c>
      <c r="H796" s="448"/>
    </row>
    <row r="797" spans="1:9" ht="14.25" customHeight="1">
      <c r="C797" s="213"/>
      <c r="D797" s="213"/>
      <c r="E797" s="213"/>
      <c r="F797" s="213"/>
    </row>
    <row r="798" spans="1:9" ht="14.25" customHeight="1">
      <c r="A798" s="254" t="s">
        <v>157</v>
      </c>
      <c r="B798" s="222"/>
      <c r="C798" s="221"/>
      <c r="D798" s="221"/>
      <c r="E798" s="221"/>
      <c r="F798" s="221"/>
      <c r="G798" s="222"/>
      <c r="H798" s="223"/>
    </row>
    <row r="799" spans="1:9" ht="14.25" customHeight="1">
      <c r="A799" s="227" t="s">
        <v>147</v>
      </c>
      <c r="B799" s="228"/>
      <c r="C799" s="224" t="s">
        <v>158</v>
      </c>
      <c r="D799" s="224"/>
      <c r="E799" s="224" t="s">
        <v>159</v>
      </c>
      <c r="F799" s="224" t="s">
        <v>160</v>
      </c>
      <c r="G799" s="228" t="s">
        <v>161</v>
      </c>
      <c r="H799" s="255" t="s">
        <v>152</v>
      </c>
    </row>
    <row r="800" spans="1:9" ht="93.75" customHeight="1">
      <c r="A800" s="453" t="s">
        <v>114</v>
      </c>
      <c r="B800" s="454"/>
      <c r="C800" s="256" t="s">
        <v>26</v>
      </c>
      <c r="D800" s="256"/>
      <c r="E800" s="263">
        <f>586435+375718</f>
        <v>962153</v>
      </c>
      <c r="F800" s="258">
        <f>1</f>
        <v>1</v>
      </c>
      <c r="G800" s="259">
        <f>E800*F800</f>
        <v>962153</v>
      </c>
      <c r="H800" s="264">
        <f>SUM(G800)</f>
        <v>962153</v>
      </c>
    </row>
    <row r="801" spans="1:8" ht="14.25" customHeight="1">
      <c r="A801" s="455"/>
      <c r="B801" s="430"/>
      <c r="C801" s="213"/>
      <c r="D801" s="213"/>
      <c r="E801" s="213"/>
      <c r="F801" s="213"/>
    </row>
    <row r="802" spans="1:8" ht="14.25" customHeight="1">
      <c r="A802" s="214" t="s">
        <v>165</v>
      </c>
      <c r="C802" s="213"/>
      <c r="D802" s="213"/>
      <c r="E802" s="213"/>
      <c r="F802" s="213"/>
    </row>
    <row r="803" spans="1:8" ht="14.25" customHeight="1">
      <c r="A803" s="456" t="s">
        <v>147</v>
      </c>
      <c r="B803" s="457"/>
      <c r="C803" s="221" t="s">
        <v>166</v>
      </c>
      <c r="D803" s="221" t="s">
        <v>167</v>
      </c>
      <c r="E803" s="221" t="s">
        <v>168</v>
      </c>
      <c r="F803" s="221" t="s">
        <v>169</v>
      </c>
      <c r="G803" s="221" t="s">
        <v>170</v>
      </c>
      <c r="H803" s="240" t="s">
        <v>152</v>
      </c>
    </row>
    <row r="804" spans="1:8" ht="14.25" customHeight="1">
      <c r="A804" s="458" t="s">
        <v>171</v>
      </c>
      <c r="B804" s="454"/>
      <c r="C804" s="229">
        <f>1</f>
        <v>1</v>
      </c>
      <c r="D804" s="231">
        <f>27.504</f>
        <v>27.504000000000001</v>
      </c>
      <c r="E804" s="241">
        <f>369.3</f>
        <v>369.3</v>
      </c>
      <c r="F804" s="229">
        <f>2.5</f>
        <v>2.5</v>
      </c>
      <c r="G804" s="232">
        <f>E804*D804*F804*0</f>
        <v>0</v>
      </c>
      <c r="H804" s="242">
        <f>+G804</f>
        <v>0</v>
      </c>
    </row>
    <row r="805" spans="1:8" ht="14.25" customHeight="1">
      <c r="C805" s="213"/>
      <c r="D805" s="213"/>
      <c r="E805" s="213"/>
      <c r="F805" s="213"/>
    </row>
    <row r="806" spans="1:8" ht="14.25" customHeight="1">
      <c r="A806" s="214" t="s">
        <v>172</v>
      </c>
      <c r="C806" s="213"/>
      <c r="D806" s="213"/>
      <c r="E806" s="213"/>
      <c r="F806" s="213"/>
    </row>
    <row r="807" spans="1:8" ht="14.25" customHeight="1">
      <c r="A807" s="214" t="s">
        <v>244</v>
      </c>
      <c r="C807" s="213"/>
      <c r="D807" s="213"/>
      <c r="E807" s="213"/>
      <c r="F807" s="213"/>
    </row>
    <row r="808" spans="1:8" ht="14.25" customHeight="1">
      <c r="A808" s="233" t="s">
        <v>147</v>
      </c>
      <c r="B808" s="222"/>
      <c r="C808" s="221" t="s">
        <v>173</v>
      </c>
      <c r="D808" s="221" t="s">
        <v>174</v>
      </c>
      <c r="E808" s="221" t="s">
        <v>175</v>
      </c>
      <c r="F808" s="221" t="s">
        <v>150</v>
      </c>
      <c r="G808" s="243" t="s">
        <v>176</v>
      </c>
      <c r="H808" s="223" t="s">
        <v>152</v>
      </c>
    </row>
    <row r="809" spans="1:8" ht="14.25" customHeight="1">
      <c r="A809" s="459" t="s">
        <v>177</v>
      </c>
      <c r="B809" s="451"/>
      <c r="C809" s="225">
        <v>55000</v>
      </c>
      <c r="D809" s="224">
        <v>0</v>
      </c>
      <c r="E809" s="225">
        <f>C809</f>
        <v>55000</v>
      </c>
      <c r="F809" s="244">
        <f t="shared" ref="F809:F810" si="129">120%</f>
        <v>1.2</v>
      </c>
      <c r="G809" s="226">
        <f t="shared" ref="G809:G810" si="130">E809*F809</f>
        <v>66000</v>
      </c>
      <c r="H809" s="449">
        <f>G809+G810</f>
        <v>150000</v>
      </c>
    </row>
    <row r="810" spans="1:8" ht="14.25" customHeight="1">
      <c r="A810" s="460" t="s">
        <v>188</v>
      </c>
      <c r="B810" s="454"/>
      <c r="C810" s="230">
        <v>35000</v>
      </c>
      <c r="D810" s="229">
        <v>0</v>
      </c>
      <c r="E810" s="230">
        <f>C810*2</f>
        <v>70000</v>
      </c>
      <c r="F810" s="245">
        <f t="shared" si="129"/>
        <v>1.2</v>
      </c>
      <c r="G810" s="232">
        <f t="shared" si="130"/>
        <v>84000</v>
      </c>
      <c r="H810" s="448"/>
    </row>
    <row r="811" spans="1:8" ht="14.25" customHeight="1">
      <c r="C811" s="213"/>
      <c r="D811" s="213"/>
      <c r="F811" s="213"/>
    </row>
    <row r="812" spans="1:8" ht="14.25" customHeight="1">
      <c r="C812" s="213"/>
      <c r="D812" s="213"/>
      <c r="F812" s="213"/>
    </row>
    <row r="813" spans="1:8" ht="14.25" customHeight="1">
      <c r="C813" s="213"/>
      <c r="D813" s="213"/>
      <c r="F813" s="213"/>
    </row>
    <row r="814" spans="1:8" ht="14.25" customHeight="1">
      <c r="C814" s="213"/>
      <c r="D814" s="213"/>
      <c r="F814" s="213"/>
    </row>
    <row r="815" spans="1:8" ht="14.25" customHeight="1">
      <c r="C815" s="213"/>
      <c r="D815" s="213"/>
      <c r="F815" s="213"/>
    </row>
    <row r="816" spans="1:8" ht="14.25" customHeight="1">
      <c r="C816" s="213"/>
      <c r="D816" s="213"/>
      <c r="F816" s="213"/>
    </row>
    <row r="817" spans="1:8" ht="46.5" customHeight="1">
      <c r="A817" s="217" t="s">
        <v>139</v>
      </c>
      <c r="B817" s="472" t="s">
        <v>316</v>
      </c>
      <c r="C817" s="430"/>
      <c r="D817" s="430"/>
      <c r="E817" s="430"/>
      <c r="F817" s="430"/>
      <c r="G817" s="218" t="s">
        <v>140</v>
      </c>
      <c r="H817" s="217" t="s">
        <v>317</v>
      </c>
    </row>
    <row r="818" spans="1:8" ht="14.25" customHeight="1">
      <c r="A818" s="214" t="s">
        <v>142</v>
      </c>
      <c r="B818" s="213" t="s">
        <v>26</v>
      </c>
      <c r="C818" s="213"/>
      <c r="D818" s="213"/>
      <c r="E818" s="213"/>
      <c r="F818" s="216" t="s">
        <v>143</v>
      </c>
      <c r="G818" s="219">
        <f>H821+H828+H834+H838</f>
        <v>12989.8</v>
      </c>
    </row>
    <row r="819" spans="1:8" ht="14.25" customHeight="1">
      <c r="A819" s="214" t="s">
        <v>145</v>
      </c>
      <c r="C819" s="213"/>
      <c r="D819" s="213"/>
      <c r="E819" s="213"/>
      <c r="F819" s="213"/>
    </row>
    <row r="820" spans="1:8" ht="14.25" customHeight="1">
      <c r="A820" s="456" t="s">
        <v>147</v>
      </c>
      <c r="B820" s="457"/>
      <c r="C820" s="221" t="s">
        <v>148</v>
      </c>
      <c r="D820" s="221"/>
      <c r="E820" s="221" t="s">
        <v>149</v>
      </c>
      <c r="F820" s="221" t="s">
        <v>150</v>
      </c>
      <c r="G820" s="222" t="s">
        <v>151</v>
      </c>
      <c r="H820" s="223" t="s">
        <v>152</v>
      </c>
    </row>
    <row r="821" spans="1:8" ht="14.25" customHeight="1">
      <c r="A821" s="459" t="s">
        <v>271</v>
      </c>
      <c r="B821" s="451"/>
      <c r="C821" s="224"/>
      <c r="D821" s="224"/>
      <c r="E821" s="225">
        <f>2500</f>
        <v>2500</v>
      </c>
      <c r="F821" s="224">
        <f>0.2</f>
        <v>0.2</v>
      </c>
      <c r="G821" s="226">
        <f t="shared" ref="G821:G824" si="131">E821*F821</f>
        <v>500</v>
      </c>
      <c r="H821" s="449">
        <f>SUM(G821:G824)</f>
        <v>500</v>
      </c>
    </row>
    <row r="822" spans="1:8" ht="14.25" customHeight="1">
      <c r="A822" s="227" t="s">
        <v>154</v>
      </c>
      <c r="B822" s="228"/>
      <c r="C822" s="224"/>
      <c r="D822" s="224"/>
      <c r="E822" s="225">
        <f>20110/8</f>
        <v>2513.75</v>
      </c>
      <c r="F822" s="224">
        <f>0</f>
        <v>0</v>
      </c>
      <c r="G822" s="226">
        <f t="shared" si="131"/>
        <v>0</v>
      </c>
      <c r="H822" s="447"/>
    </row>
    <row r="823" spans="1:8" ht="14.25" customHeight="1">
      <c r="A823" s="227" t="s">
        <v>155</v>
      </c>
      <c r="B823" s="228"/>
      <c r="C823" s="224"/>
      <c r="D823" s="224"/>
      <c r="E823" s="225">
        <f>60000/8</f>
        <v>7500</v>
      </c>
      <c r="F823" s="224">
        <f>8*0</f>
        <v>0</v>
      </c>
      <c r="G823" s="226">
        <f t="shared" si="131"/>
        <v>0</v>
      </c>
      <c r="H823" s="447"/>
    </row>
    <row r="824" spans="1:8" ht="14.25" customHeight="1">
      <c r="A824" s="460" t="s">
        <v>156</v>
      </c>
      <c r="B824" s="454"/>
      <c r="C824" s="229"/>
      <c r="D824" s="229"/>
      <c r="E824" s="230">
        <f>2500</f>
        <v>2500</v>
      </c>
      <c r="F824" s="231">
        <f>0</f>
        <v>0</v>
      </c>
      <c r="G824" s="232">
        <f t="shared" si="131"/>
        <v>0</v>
      </c>
      <c r="H824" s="448"/>
    </row>
    <row r="825" spans="1:8" ht="14.25" customHeight="1">
      <c r="C825" s="213"/>
      <c r="D825" s="213"/>
      <c r="E825" s="213"/>
      <c r="F825" s="213"/>
    </row>
    <row r="826" spans="1:8" ht="14.25" customHeight="1">
      <c r="A826" s="254" t="s">
        <v>157</v>
      </c>
      <c r="B826" s="222"/>
      <c r="C826" s="221"/>
      <c r="D826" s="221"/>
      <c r="E826" s="221"/>
      <c r="F826" s="221"/>
      <c r="G826" s="222"/>
      <c r="H826" s="223"/>
    </row>
    <row r="827" spans="1:8" ht="14.25" customHeight="1">
      <c r="A827" s="227" t="s">
        <v>147</v>
      </c>
      <c r="B827" s="228"/>
      <c r="C827" s="224" t="s">
        <v>158</v>
      </c>
      <c r="D827" s="224"/>
      <c r="E827" s="224" t="s">
        <v>159</v>
      </c>
      <c r="F827" s="224" t="s">
        <v>160</v>
      </c>
      <c r="G827" s="228" t="s">
        <v>161</v>
      </c>
      <c r="H827" s="255" t="s">
        <v>152</v>
      </c>
    </row>
    <row r="828" spans="1:8" ht="14.25" customHeight="1">
      <c r="A828" s="450" t="s">
        <v>318</v>
      </c>
      <c r="B828" s="451"/>
      <c r="C828" s="247" t="s">
        <v>228</v>
      </c>
      <c r="D828" s="224"/>
      <c r="E828" s="248">
        <f>280000/3.5</f>
        <v>80000</v>
      </c>
      <c r="F828" s="252">
        <f>0.02684</f>
        <v>2.6839999999999999E-2</v>
      </c>
      <c r="G828" s="250">
        <f t="shared" ref="G828:G830" si="132">E828*F828</f>
        <v>2147.1999999999998</v>
      </c>
      <c r="H828" s="449">
        <f>SUM(G828:G830)</f>
        <v>5489.7999999999993</v>
      </c>
    </row>
    <row r="829" spans="1:8" ht="14.25" customHeight="1">
      <c r="A829" s="450" t="s">
        <v>231</v>
      </c>
      <c r="B829" s="451"/>
      <c r="C829" s="247" t="s">
        <v>158</v>
      </c>
      <c r="D829" s="247"/>
      <c r="E829" s="251">
        <f>8142</f>
        <v>8142</v>
      </c>
      <c r="F829" s="249">
        <f t="shared" ref="F829:F830" si="133">0.3</f>
        <v>0.3</v>
      </c>
      <c r="G829" s="250">
        <f t="shared" si="132"/>
        <v>2442.6</v>
      </c>
      <c r="H829" s="447"/>
    </row>
    <row r="830" spans="1:8" ht="14.25" customHeight="1">
      <c r="A830" s="453" t="s">
        <v>232</v>
      </c>
      <c r="B830" s="454"/>
      <c r="C830" s="256" t="s">
        <v>158</v>
      </c>
      <c r="D830" s="256"/>
      <c r="E830" s="257">
        <f>3000</f>
        <v>3000</v>
      </c>
      <c r="F830" s="258">
        <f t="shared" si="133"/>
        <v>0.3</v>
      </c>
      <c r="G830" s="259">
        <f t="shared" si="132"/>
        <v>900</v>
      </c>
      <c r="H830" s="448"/>
    </row>
    <row r="831" spans="1:8" ht="14.25" customHeight="1">
      <c r="A831" s="455"/>
      <c r="B831" s="430"/>
      <c r="C831" s="213"/>
      <c r="D831" s="213"/>
      <c r="E831" s="213"/>
      <c r="F831" s="213"/>
    </row>
    <row r="832" spans="1:8" ht="14.25" customHeight="1">
      <c r="A832" s="214" t="s">
        <v>165</v>
      </c>
      <c r="C832" s="213"/>
      <c r="D832" s="213"/>
      <c r="E832" s="213"/>
      <c r="F832" s="213"/>
    </row>
    <row r="833" spans="1:8" ht="14.25" customHeight="1">
      <c r="A833" s="456" t="s">
        <v>147</v>
      </c>
      <c r="B833" s="457"/>
      <c r="C833" s="221" t="s">
        <v>166</v>
      </c>
      <c r="D833" s="221" t="s">
        <v>167</v>
      </c>
      <c r="E833" s="221" t="s">
        <v>168</v>
      </c>
      <c r="F833" s="221" t="s">
        <v>169</v>
      </c>
      <c r="G833" s="221" t="s">
        <v>170</v>
      </c>
      <c r="H833" s="240" t="s">
        <v>152</v>
      </c>
    </row>
    <row r="834" spans="1:8" ht="14.25" customHeight="1">
      <c r="A834" s="458" t="s">
        <v>171</v>
      </c>
      <c r="B834" s="454"/>
      <c r="C834" s="229">
        <f>1</f>
        <v>1</v>
      </c>
      <c r="D834" s="231">
        <f>27.504</f>
        <v>27.504000000000001</v>
      </c>
      <c r="E834" s="241">
        <f>369.3</f>
        <v>369.3</v>
      </c>
      <c r="F834" s="229">
        <f>2.5</f>
        <v>2.5</v>
      </c>
      <c r="G834" s="232">
        <f>E834*D834*F834*0</f>
        <v>0</v>
      </c>
      <c r="H834" s="242">
        <f>+G834</f>
        <v>0</v>
      </c>
    </row>
    <row r="835" spans="1:8" ht="14.25" customHeight="1">
      <c r="C835" s="213"/>
      <c r="D835" s="213"/>
      <c r="E835" s="213"/>
      <c r="F835" s="213"/>
    </row>
    <row r="836" spans="1:8" ht="14.25" customHeight="1">
      <c r="A836" s="214" t="s">
        <v>172</v>
      </c>
      <c r="C836" s="213"/>
      <c r="D836" s="213"/>
      <c r="E836" s="213"/>
      <c r="F836" s="213"/>
    </row>
    <row r="837" spans="1:8" ht="14.25" customHeight="1">
      <c r="A837" s="233" t="s">
        <v>147</v>
      </c>
      <c r="B837" s="222"/>
      <c r="C837" s="221" t="s">
        <v>173</v>
      </c>
      <c r="D837" s="221" t="s">
        <v>174</v>
      </c>
      <c r="E837" s="221" t="s">
        <v>175</v>
      </c>
      <c r="F837" s="221" t="s">
        <v>150</v>
      </c>
      <c r="G837" s="243" t="s">
        <v>176</v>
      </c>
      <c r="H837" s="223" t="s">
        <v>152</v>
      </c>
    </row>
    <row r="838" spans="1:8" ht="14.25" customHeight="1">
      <c r="A838" s="459" t="s">
        <v>177</v>
      </c>
      <c r="B838" s="451"/>
      <c r="C838" s="225">
        <v>55000</v>
      </c>
      <c r="D838" s="224">
        <v>0</v>
      </c>
      <c r="E838" s="225">
        <f t="shared" ref="E838:E839" si="134">C838</f>
        <v>55000</v>
      </c>
      <c r="F838" s="244">
        <f>0%</f>
        <v>0</v>
      </c>
      <c r="G838" s="226">
        <f t="shared" ref="G838:G839" si="135">E838*F838</f>
        <v>0</v>
      </c>
      <c r="H838" s="449">
        <f>G838+G839</f>
        <v>7000</v>
      </c>
    </row>
    <row r="839" spans="1:8" ht="14.25" customHeight="1">
      <c r="A839" s="460" t="s">
        <v>178</v>
      </c>
      <c r="B839" s="454"/>
      <c r="C839" s="230">
        <v>35000</v>
      </c>
      <c r="D839" s="229">
        <v>0</v>
      </c>
      <c r="E839" s="230">
        <f t="shared" si="134"/>
        <v>35000</v>
      </c>
      <c r="F839" s="245">
        <f>20%</f>
        <v>0.2</v>
      </c>
      <c r="G839" s="232">
        <f t="shared" si="135"/>
        <v>7000</v>
      </c>
      <c r="H839" s="448"/>
    </row>
    <row r="840" spans="1:8" ht="14.25" customHeight="1">
      <c r="C840" s="213"/>
      <c r="D840" s="213"/>
      <c r="F840" s="213"/>
    </row>
    <row r="841" spans="1:8" ht="14.25" customHeight="1">
      <c r="C841" s="213"/>
      <c r="D841" s="213"/>
      <c r="F841" s="213"/>
    </row>
    <row r="842" spans="1:8" ht="14.25" customHeight="1">
      <c r="C842" s="213"/>
      <c r="D842" s="213"/>
      <c r="F842" s="213"/>
    </row>
    <row r="843" spans="1:8" ht="14.25" customHeight="1">
      <c r="C843" s="213"/>
      <c r="D843" s="213"/>
      <c r="F843" s="213"/>
    </row>
    <row r="844" spans="1:8" ht="14.25" customHeight="1">
      <c r="C844" s="213"/>
      <c r="D844" s="213"/>
      <c r="F844" s="213"/>
    </row>
    <row r="845" spans="1:8" ht="14.25" customHeight="1">
      <c r="C845" s="213"/>
      <c r="D845" s="213"/>
      <c r="F845" s="213"/>
    </row>
    <row r="846" spans="1:8" ht="14.25" customHeight="1">
      <c r="C846" s="213"/>
      <c r="D846" s="213"/>
      <c r="F846" s="213"/>
    </row>
    <row r="847" spans="1:8" ht="32.25" customHeight="1">
      <c r="A847" s="217" t="s">
        <v>139</v>
      </c>
      <c r="B847" s="472" t="s">
        <v>319</v>
      </c>
      <c r="C847" s="430"/>
      <c r="D847" s="430"/>
      <c r="E847" s="430"/>
      <c r="F847" s="430"/>
      <c r="G847" s="218" t="s">
        <v>140</v>
      </c>
      <c r="H847" s="217" t="s">
        <v>320</v>
      </c>
    </row>
    <row r="848" spans="1:8" ht="14.25" customHeight="1">
      <c r="A848" s="214" t="s">
        <v>142</v>
      </c>
      <c r="B848" s="213" t="s">
        <v>26</v>
      </c>
      <c r="C848" s="213"/>
      <c r="D848" s="213"/>
      <c r="E848" s="213"/>
      <c r="F848" s="216" t="s">
        <v>143</v>
      </c>
      <c r="G848" s="219">
        <f>H851+H858+H864+H868</f>
        <v>19978.53</v>
      </c>
    </row>
    <row r="849" spans="1:8" ht="14.25" customHeight="1">
      <c r="A849" s="214" t="s">
        <v>145</v>
      </c>
      <c r="C849" s="213"/>
      <c r="D849" s="213"/>
      <c r="E849" s="213"/>
      <c r="F849" s="213"/>
    </row>
    <row r="850" spans="1:8" ht="14.25" customHeight="1">
      <c r="A850" s="456" t="s">
        <v>147</v>
      </c>
      <c r="B850" s="457"/>
      <c r="C850" s="221" t="s">
        <v>148</v>
      </c>
      <c r="D850" s="221"/>
      <c r="E850" s="221" t="s">
        <v>149</v>
      </c>
      <c r="F850" s="221" t="s">
        <v>150</v>
      </c>
      <c r="G850" s="222" t="s">
        <v>151</v>
      </c>
      <c r="H850" s="223" t="s">
        <v>152</v>
      </c>
    </row>
    <row r="851" spans="1:8" ht="14.25" customHeight="1">
      <c r="A851" s="459" t="s">
        <v>271</v>
      </c>
      <c r="B851" s="451"/>
      <c r="C851" s="224"/>
      <c r="D851" s="224"/>
      <c r="E851" s="225">
        <f>2500</f>
        <v>2500</v>
      </c>
      <c r="F851" s="224">
        <f>0.2</f>
        <v>0.2</v>
      </c>
      <c r="G851" s="226">
        <f t="shared" ref="G851:G854" si="136">E851*F851</f>
        <v>500</v>
      </c>
      <c r="H851" s="449">
        <f>SUM(G851:G854)</f>
        <v>500</v>
      </c>
    </row>
    <row r="852" spans="1:8" ht="14.25" customHeight="1">
      <c r="A852" s="227" t="s">
        <v>154</v>
      </c>
      <c r="B852" s="228"/>
      <c r="C852" s="224"/>
      <c r="D852" s="224"/>
      <c r="E852" s="225">
        <f>20110/8</f>
        <v>2513.75</v>
      </c>
      <c r="F852" s="224">
        <f>0</f>
        <v>0</v>
      </c>
      <c r="G852" s="226">
        <f t="shared" si="136"/>
        <v>0</v>
      </c>
      <c r="H852" s="447"/>
    </row>
    <row r="853" spans="1:8" ht="14.25" customHeight="1">
      <c r="A853" s="227" t="s">
        <v>155</v>
      </c>
      <c r="B853" s="228"/>
      <c r="C853" s="224"/>
      <c r="D853" s="224"/>
      <c r="E853" s="225">
        <f>60000/8</f>
        <v>7500</v>
      </c>
      <c r="F853" s="224">
        <f>8*0</f>
        <v>0</v>
      </c>
      <c r="G853" s="226">
        <f t="shared" si="136"/>
        <v>0</v>
      </c>
      <c r="H853" s="447"/>
    </row>
    <row r="854" spans="1:8" ht="14.25" customHeight="1">
      <c r="A854" s="460" t="s">
        <v>156</v>
      </c>
      <c r="B854" s="454"/>
      <c r="C854" s="229"/>
      <c r="D854" s="229"/>
      <c r="E854" s="230">
        <f>2500</f>
        <v>2500</v>
      </c>
      <c r="F854" s="231">
        <f>0</f>
        <v>0</v>
      </c>
      <c r="G854" s="232">
        <f t="shared" si="136"/>
        <v>0</v>
      </c>
      <c r="H854" s="448"/>
    </row>
    <row r="855" spans="1:8" ht="14.25" customHeight="1">
      <c r="C855" s="213"/>
      <c r="D855" s="213"/>
      <c r="E855" s="213"/>
      <c r="F855" s="213"/>
    </row>
    <row r="856" spans="1:8" ht="14.25" customHeight="1">
      <c r="A856" s="254" t="s">
        <v>157</v>
      </c>
      <c r="B856" s="222"/>
      <c r="C856" s="221"/>
      <c r="D856" s="221"/>
      <c r="E856" s="221"/>
      <c r="F856" s="221"/>
      <c r="G856" s="222"/>
      <c r="H856" s="223"/>
    </row>
    <row r="857" spans="1:8" ht="14.25" customHeight="1">
      <c r="A857" s="227" t="s">
        <v>147</v>
      </c>
      <c r="B857" s="228"/>
      <c r="C857" s="224" t="s">
        <v>158</v>
      </c>
      <c r="D857" s="224"/>
      <c r="E857" s="224" t="s">
        <v>159</v>
      </c>
      <c r="F857" s="224" t="s">
        <v>160</v>
      </c>
      <c r="G857" s="228" t="s">
        <v>161</v>
      </c>
      <c r="H857" s="255" t="s">
        <v>152</v>
      </c>
    </row>
    <row r="858" spans="1:8" ht="14.25" customHeight="1">
      <c r="A858" s="450" t="s">
        <v>321</v>
      </c>
      <c r="B858" s="451"/>
      <c r="C858" s="247" t="s">
        <v>228</v>
      </c>
      <c r="D858" s="224"/>
      <c r="E858" s="248">
        <f>83500</f>
        <v>83500</v>
      </c>
      <c r="F858" s="252">
        <f>0.02558</f>
        <v>2.5579999999999999E-2</v>
      </c>
      <c r="G858" s="250">
        <f t="shared" ref="G858:G860" si="137">E858*F858</f>
        <v>2135.9299999999998</v>
      </c>
      <c r="H858" s="449">
        <f>SUM(G858:G860)</f>
        <v>5478.53</v>
      </c>
    </row>
    <row r="859" spans="1:8" ht="14.25" customHeight="1">
      <c r="A859" s="450" t="s">
        <v>231</v>
      </c>
      <c r="B859" s="451"/>
      <c r="C859" s="247" t="s">
        <v>158</v>
      </c>
      <c r="D859" s="247"/>
      <c r="E859" s="251">
        <f>8142</f>
        <v>8142</v>
      </c>
      <c r="F859" s="249">
        <f t="shared" ref="F859:F860" si="138">0.3</f>
        <v>0.3</v>
      </c>
      <c r="G859" s="250">
        <f t="shared" si="137"/>
        <v>2442.6</v>
      </c>
      <c r="H859" s="447"/>
    </row>
    <row r="860" spans="1:8" ht="14.25" customHeight="1">
      <c r="A860" s="453" t="s">
        <v>232</v>
      </c>
      <c r="B860" s="454"/>
      <c r="C860" s="256" t="s">
        <v>158</v>
      </c>
      <c r="D860" s="256"/>
      <c r="E860" s="257">
        <f>3000</f>
        <v>3000</v>
      </c>
      <c r="F860" s="258">
        <f t="shared" si="138"/>
        <v>0.3</v>
      </c>
      <c r="G860" s="259">
        <f t="shared" si="137"/>
        <v>900</v>
      </c>
      <c r="H860" s="448"/>
    </row>
    <row r="861" spans="1:8" ht="14.25" customHeight="1">
      <c r="A861" s="455"/>
      <c r="B861" s="430"/>
      <c r="C861" s="213"/>
      <c r="D861" s="213"/>
      <c r="E861" s="213"/>
      <c r="F861" s="213"/>
    </row>
    <row r="862" spans="1:8" ht="14.25" customHeight="1">
      <c r="A862" s="214" t="s">
        <v>165</v>
      </c>
      <c r="C862" s="213"/>
      <c r="D862" s="213"/>
      <c r="E862" s="213"/>
      <c r="F862" s="213"/>
    </row>
    <row r="863" spans="1:8" ht="14.25" customHeight="1">
      <c r="A863" s="456" t="s">
        <v>147</v>
      </c>
      <c r="B863" s="457"/>
      <c r="C863" s="221" t="s">
        <v>166</v>
      </c>
      <c r="D863" s="221" t="s">
        <v>167</v>
      </c>
      <c r="E863" s="221" t="s">
        <v>168</v>
      </c>
      <c r="F863" s="221" t="s">
        <v>169</v>
      </c>
      <c r="G863" s="221" t="s">
        <v>170</v>
      </c>
      <c r="H863" s="240" t="s">
        <v>152</v>
      </c>
    </row>
    <row r="864" spans="1:8" ht="14.25" customHeight="1">
      <c r="A864" s="458" t="s">
        <v>171</v>
      </c>
      <c r="B864" s="454"/>
      <c r="C864" s="229">
        <f>1</f>
        <v>1</v>
      </c>
      <c r="D864" s="231">
        <f>27.504</f>
        <v>27.504000000000001</v>
      </c>
      <c r="E864" s="241">
        <f>369.3</f>
        <v>369.3</v>
      </c>
      <c r="F864" s="229">
        <f>2.5</f>
        <v>2.5</v>
      </c>
      <c r="G864" s="232">
        <f>E864*D864*F864*0</f>
        <v>0</v>
      </c>
      <c r="H864" s="242">
        <f>+G864</f>
        <v>0</v>
      </c>
    </row>
    <row r="865" spans="1:8" ht="14.25" customHeight="1">
      <c r="C865" s="213"/>
      <c r="D865" s="213"/>
      <c r="E865" s="213"/>
      <c r="F865" s="213"/>
    </row>
    <row r="866" spans="1:8" ht="14.25" customHeight="1">
      <c r="A866" s="214" t="s">
        <v>172</v>
      </c>
      <c r="C866" s="213"/>
      <c r="D866" s="213"/>
      <c r="E866" s="213"/>
      <c r="F866" s="213"/>
    </row>
    <row r="867" spans="1:8" ht="14.25" customHeight="1">
      <c r="A867" s="233" t="s">
        <v>147</v>
      </c>
      <c r="B867" s="222"/>
      <c r="C867" s="221" t="s">
        <v>173</v>
      </c>
      <c r="D867" s="221" t="s">
        <v>174</v>
      </c>
      <c r="E867" s="221" t="s">
        <v>175</v>
      </c>
      <c r="F867" s="221" t="s">
        <v>150</v>
      </c>
      <c r="G867" s="243" t="s">
        <v>176</v>
      </c>
      <c r="H867" s="223" t="s">
        <v>152</v>
      </c>
    </row>
    <row r="868" spans="1:8" ht="14.25" customHeight="1">
      <c r="A868" s="459" t="s">
        <v>177</v>
      </c>
      <c r="B868" s="451"/>
      <c r="C868" s="225">
        <v>55000</v>
      </c>
      <c r="D868" s="224">
        <v>0</v>
      </c>
      <c r="E868" s="225">
        <f>C868</f>
        <v>55000</v>
      </c>
      <c r="F868" s="244">
        <f>0%</f>
        <v>0</v>
      </c>
      <c r="G868" s="226">
        <f t="shared" ref="G868:G869" si="139">E868*F868</f>
        <v>0</v>
      </c>
      <c r="H868" s="449">
        <f>G868+G869</f>
        <v>14000</v>
      </c>
    </row>
    <row r="869" spans="1:8" ht="14.25" customHeight="1">
      <c r="A869" s="460" t="s">
        <v>188</v>
      </c>
      <c r="B869" s="454"/>
      <c r="C869" s="230">
        <v>35000</v>
      </c>
      <c r="D869" s="229">
        <v>0</v>
      </c>
      <c r="E869" s="230">
        <f>C869*2</f>
        <v>70000</v>
      </c>
      <c r="F869" s="245">
        <f>20%</f>
        <v>0.2</v>
      </c>
      <c r="G869" s="232">
        <f t="shared" si="139"/>
        <v>14000</v>
      </c>
      <c r="H869" s="448"/>
    </row>
    <row r="870" spans="1:8" ht="14.25" customHeight="1">
      <c r="C870" s="213"/>
      <c r="D870" s="213"/>
      <c r="F870" s="213"/>
    </row>
    <row r="871" spans="1:8" ht="14.25" customHeight="1">
      <c r="C871" s="213"/>
      <c r="D871" s="213"/>
      <c r="F871" s="213"/>
    </row>
    <row r="872" spans="1:8" ht="14.25" customHeight="1">
      <c r="C872" s="213"/>
      <c r="D872" s="213"/>
      <c r="F872" s="213"/>
    </row>
    <row r="873" spans="1:8" ht="14.25" customHeight="1">
      <c r="C873" s="213"/>
      <c r="D873" s="213"/>
      <c r="F873" s="213"/>
    </row>
    <row r="874" spans="1:8" ht="14.25" customHeight="1">
      <c r="C874" s="213"/>
      <c r="D874" s="213"/>
      <c r="F874" s="213"/>
    </row>
    <row r="875" spans="1:8" ht="14.25" customHeight="1">
      <c r="C875" s="213"/>
      <c r="D875" s="213"/>
      <c r="F875" s="213"/>
    </row>
    <row r="876" spans="1:8" ht="14.25" customHeight="1">
      <c r="C876" s="213"/>
      <c r="D876" s="213"/>
      <c r="F876" s="213"/>
    </row>
    <row r="877" spans="1:8" ht="14.25" customHeight="1">
      <c r="A877" s="214" t="s">
        <v>137</v>
      </c>
      <c r="C877" s="213"/>
      <c r="D877" s="471" t="s">
        <v>322</v>
      </c>
      <c r="E877" s="430"/>
      <c r="F877" s="430"/>
      <c r="G877" s="430"/>
    </row>
    <row r="878" spans="1:8" ht="14.25" customHeight="1">
      <c r="C878" s="213"/>
      <c r="D878" s="213"/>
      <c r="E878" s="213"/>
      <c r="F878" s="213"/>
    </row>
    <row r="879" spans="1:8" ht="14.25" customHeight="1">
      <c r="A879" s="217" t="s">
        <v>139</v>
      </c>
      <c r="B879" s="472" t="s">
        <v>323</v>
      </c>
      <c r="C879" s="430"/>
      <c r="D879" s="430"/>
      <c r="E879" s="430"/>
      <c r="F879" s="430"/>
      <c r="G879" s="218" t="s">
        <v>140</v>
      </c>
      <c r="H879" s="217" t="s">
        <v>324</v>
      </c>
    </row>
    <row r="880" spans="1:8" ht="14.25" customHeight="1">
      <c r="A880" s="214" t="s">
        <v>142</v>
      </c>
      <c r="B880" s="213" t="s">
        <v>26</v>
      </c>
      <c r="C880" s="213"/>
      <c r="D880" s="213"/>
      <c r="E880" s="213"/>
      <c r="F880" s="216" t="s">
        <v>143</v>
      </c>
      <c r="G880" s="219">
        <f>H883+H890+H897+H901</f>
        <v>74934.200000000012</v>
      </c>
    </row>
    <row r="881" spans="1:8" ht="14.25" customHeight="1">
      <c r="A881" s="214" t="s">
        <v>145</v>
      </c>
      <c r="C881" s="213"/>
      <c r="D881" s="213"/>
      <c r="E881" s="213"/>
      <c r="F881" s="213"/>
    </row>
    <row r="882" spans="1:8" ht="14.25" customHeight="1">
      <c r="A882" s="456" t="s">
        <v>147</v>
      </c>
      <c r="B882" s="457"/>
      <c r="C882" s="221" t="s">
        <v>148</v>
      </c>
      <c r="D882" s="221"/>
      <c r="E882" s="221" t="s">
        <v>149</v>
      </c>
      <c r="F882" s="221" t="s">
        <v>150</v>
      </c>
      <c r="G882" s="222" t="s">
        <v>151</v>
      </c>
      <c r="H882" s="223" t="s">
        <v>152</v>
      </c>
    </row>
    <row r="883" spans="1:8" ht="14.25" customHeight="1">
      <c r="A883" s="227" t="s">
        <v>325</v>
      </c>
      <c r="B883" s="228"/>
      <c r="C883" s="224"/>
      <c r="D883" s="224"/>
      <c r="E883" s="225">
        <f>2500*0</f>
        <v>0</v>
      </c>
      <c r="F883" s="224">
        <f t="shared" ref="F883:F885" si="140">5</f>
        <v>5</v>
      </c>
      <c r="G883" s="226">
        <f t="shared" ref="G883:G886" si="141">E883*F883</f>
        <v>0</v>
      </c>
      <c r="H883" s="449">
        <f>SUM(G883:G886)</f>
        <v>354</v>
      </c>
    </row>
    <row r="884" spans="1:8" ht="14.25" customHeight="1">
      <c r="A884" s="227" t="s">
        <v>154</v>
      </c>
      <c r="B884" s="228"/>
      <c r="C884" s="224"/>
      <c r="D884" s="224"/>
      <c r="E884" s="225">
        <f>20110/8*0</f>
        <v>0</v>
      </c>
      <c r="F884" s="224">
        <f t="shared" si="140"/>
        <v>5</v>
      </c>
      <c r="G884" s="226">
        <f t="shared" si="141"/>
        <v>0</v>
      </c>
      <c r="H884" s="447"/>
    </row>
    <row r="885" spans="1:8" ht="14.25" customHeight="1">
      <c r="A885" s="227" t="s">
        <v>326</v>
      </c>
      <c r="B885" s="228"/>
      <c r="C885" s="224"/>
      <c r="D885" s="224"/>
      <c r="E885" s="225">
        <f>20207/8*0</f>
        <v>0</v>
      </c>
      <c r="F885" s="224">
        <f t="shared" si="140"/>
        <v>5</v>
      </c>
      <c r="G885" s="226">
        <f t="shared" si="141"/>
        <v>0</v>
      </c>
      <c r="H885" s="447"/>
    </row>
    <row r="886" spans="1:8" ht="14.25" customHeight="1">
      <c r="A886" s="267" t="s">
        <v>156</v>
      </c>
      <c r="B886" s="260"/>
      <c r="C886" s="229"/>
      <c r="D886" s="229"/>
      <c r="E886" s="230">
        <f>354</f>
        <v>354</v>
      </c>
      <c r="F886" s="231">
        <f>1</f>
        <v>1</v>
      </c>
      <c r="G886" s="232">
        <f t="shared" si="141"/>
        <v>354</v>
      </c>
      <c r="H886" s="448"/>
    </row>
    <row r="887" spans="1:8" ht="14.25" customHeight="1">
      <c r="C887" s="213"/>
      <c r="D887" s="213"/>
      <c r="E887" s="213"/>
      <c r="F887" s="213"/>
    </row>
    <row r="888" spans="1:8" ht="14.25" customHeight="1">
      <c r="A888" s="214" t="s">
        <v>157</v>
      </c>
      <c r="C888" s="213"/>
      <c r="D888" s="213"/>
      <c r="E888" s="213"/>
      <c r="F888" s="213"/>
    </row>
    <row r="889" spans="1:8" ht="14.25" customHeight="1">
      <c r="A889" s="233" t="s">
        <v>147</v>
      </c>
      <c r="B889" s="222"/>
      <c r="C889" s="221" t="s">
        <v>158</v>
      </c>
      <c r="D889" s="221"/>
      <c r="E889" s="221" t="s">
        <v>159</v>
      </c>
      <c r="F889" s="221" t="s">
        <v>160</v>
      </c>
      <c r="G889" s="222" t="s">
        <v>161</v>
      </c>
      <c r="H889" s="223" t="s">
        <v>152</v>
      </c>
    </row>
    <row r="890" spans="1:8" ht="14.25" customHeight="1">
      <c r="A890" s="465" t="s">
        <v>327</v>
      </c>
      <c r="B890" s="451"/>
      <c r="C890" s="247" t="s">
        <v>49</v>
      </c>
      <c r="D890" s="224"/>
      <c r="E890" s="248">
        <f>4531</f>
        <v>4531</v>
      </c>
      <c r="F890" s="247">
        <f>1</f>
        <v>1</v>
      </c>
      <c r="G890" s="250">
        <f t="shared" ref="G890:G892" si="142">E890*F890</f>
        <v>4531</v>
      </c>
      <c r="H890" s="449">
        <f>SUM(G890:G893)</f>
        <v>65580.200000000012</v>
      </c>
    </row>
    <row r="891" spans="1:8" ht="14.25" customHeight="1">
      <c r="A891" s="474" t="s">
        <v>183</v>
      </c>
      <c r="B891" s="451"/>
      <c r="C891" s="247" t="s">
        <v>28</v>
      </c>
      <c r="D891" s="247"/>
      <c r="E891" s="251">
        <f>763115</f>
        <v>763115</v>
      </c>
      <c r="F891" s="224">
        <f>0.08</f>
        <v>0.08</v>
      </c>
      <c r="G891" s="226">
        <f t="shared" si="142"/>
        <v>61049.200000000004</v>
      </c>
      <c r="H891" s="447"/>
    </row>
    <row r="892" spans="1:8" ht="14.25" customHeight="1">
      <c r="A892" s="459" t="s">
        <v>328</v>
      </c>
      <c r="B892" s="451"/>
      <c r="C892" s="224" t="s">
        <v>308</v>
      </c>
      <c r="D892" s="224"/>
      <c r="E892" s="225">
        <f>450</f>
        <v>450</v>
      </c>
      <c r="F892" s="224">
        <f>0</f>
        <v>0</v>
      </c>
      <c r="G892" s="226">
        <f t="shared" si="142"/>
        <v>0</v>
      </c>
      <c r="H892" s="447"/>
    </row>
    <row r="893" spans="1:8" ht="14.25" customHeight="1">
      <c r="A893" s="458"/>
      <c r="B893" s="454"/>
      <c r="C893" s="229"/>
      <c r="D893" s="229"/>
      <c r="E893" s="230"/>
      <c r="F893" s="229"/>
      <c r="G893" s="232">
        <f>250*0</f>
        <v>0</v>
      </c>
      <c r="H893" s="448"/>
    </row>
    <row r="894" spans="1:8" ht="14.25" customHeight="1">
      <c r="C894" s="213"/>
      <c r="D894" s="213"/>
      <c r="E894" s="213"/>
      <c r="F894" s="213"/>
    </row>
    <row r="895" spans="1:8" ht="14.25" customHeight="1">
      <c r="A895" s="214" t="s">
        <v>165</v>
      </c>
      <c r="C895" s="213"/>
      <c r="D895" s="213"/>
      <c r="E895" s="213"/>
      <c r="F895" s="213"/>
    </row>
    <row r="896" spans="1:8" ht="14.25" customHeight="1">
      <c r="A896" s="456" t="s">
        <v>147</v>
      </c>
      <c r="B896" s="457"/>
      <c r="C896" s="221" t="s">
        <v>166</v>
      </c>
      <c r="D896" s="221" t="s">
        <v>167</v>
      </c>
      <c r="E896" s="221" t="s">
        <v>168</v>
      </c>
      <c r="F896" s="221" t="s">
        <v>169</v>
      </c>
      <c r="G896" s="221" t="s">
        <v>170</v>
      </c>
      <c r="H896" s="240" t="s">
        <v>152</v>
      </c>
    </row>
    <row r="897" spans="1:8" ht="14.25" customHeight="1">
      <c r="A897" s="267" t="s">
        <v>282</v>
      </c>
      <c r="B897" s="260"/>
      <c r="C897" s="229">
        <f>0</f>
        <v>0</v>
      </c>
      <c r="D897" s="231">
        <f>27.504*0</f>
        <v>0</v>
      </c>
      <c r="E897" s="241">
        <f>369.3*0</f>
        <v>0</v>
      </c>
      <c r="F897" s="229">
        <f>1</f>
        <v>1</v>
      </c>
      <c r="G897" s="232">
        <f>E897*D897*F897</f>
        <v>0</v>
      </c>
      <c r="H897" s="242">
        <f>+G897</f>
        <v>0</v>
      </c>
    </row>
    <row r="898" spans="1:8" ht="14.25" customHeight="1">
      <c r="C898" s="213"/>
      <c r="D898" s="213"/>
      <c r="E898" s="213"/>
      <c r="F898" s="213"/>
    </row>
    <row r="899" spans="1:8" ht="14.25" customHeight="1">
      <c r="A899" s="214" t="s">
        <v>172</v>
      </c>
      <c r="C899" s="213"/>
      <c r="D899" s="213"/>
      <c r="E899" s="213"/>
      <c r="F899" s="213"/>
    </row>
    <row r="900" spans="1:8" ht="14.25" customHeight="1">
      <c r="A900" s="233" t="s">
        <v>147</v>
      </c>
      <c r="B900" s="222"/>
      <c r="C900" s="221" t="s">
        <v>173</v>
      </c>
      <c r="D900" s="221" t="s">
        <v>174</v>
      </c>
      <c r="E900" s="221" t="s">
        <v>175</v>
      </c>
      <c r="F900" s="221" t="s">
        <v>150</v>
      </c>
      <c r="G900" s="222" t="s">
        <v>176</v>
      </c>
      <c r="H900" s="223" t="s">
        <v>152</v>
      </c>
    </row>
    <row r="901" spans="1:8" ht="14.25" customHeight="1">
      <c r="A901" s="459" t="s">
        <v>177</v>
      </c>
      <c r="B901" s="451"/>
      <c r="C901" s="225">
        <v>55000</v>
      </c>
      <c r="D901" s="224">
        <v>0</v>
      </c>
      <c r="E901" s="225">
        <f t="shared" ref="E901:E902" si="143">C901</f>
        <v>55000</v>
      </c>
      <c r="F901" s="244">
        <f t="shared" ref="F901:F902" si="144">10%</f>
        <v>0.1</v>
      </c>
      <c r="G901" s="226">
        <f t="shared" ref="G901:G902" si="145">E901*F901</f>
        <v>5500</v>
      </c>
      <c r="H901" s="449">
        <f>G901+G902</f>
        <v>9000</v>
      </c>
    </row>
    <row r="902" spans="1:8" ht="14.25" customHeight="1">
      <c r="A902" s="460" t="s">
        <v>178</v>
      </c>
      <c r="B902" s="454"/>
      <c r="C902" s="230">
        <v>35000</v>
      </c>
      <c r="D902" s="229">
        <v>0</v>
      </c>
      <c r="E902" s="230">
        <f t="shared" si="143"/>
        <v>35000</v>
      </c>
      <c r="F902" s="245">
        <f t="shared" si="144"/>
        <v>0.1</v>
      </c>
      <c r="G902" s="232">
        <f t="shared" si="145"/>
        <v>3500</v>
      </c>
      <c r="H902" s="448"/>
    </row>
    <row r="903" spans="1:8" ht="14.25" customHeight="1">
      <c r="C903" s="213"/>
      <c r="D903" s="213"/>
      <c r="F903" s="213"/>
    </row>
    <row r="904" spans="1:8" ht="14.25" customHeight="1">
      <c r="C904" s="213"/>
      <c r="D904" s="213"/>
      <c r="F904" s="213"/>
    </row>
    <row r="905" spans="1:8" ht="14.25" customHeight="1">
      <c r="C905" s="213"/>
      <c r="D905" s="213"/>
      <c r="F905" s="213"/>
    </row>
    <row r="906" spans="1:8" ht="14.25" customHeight="1">
      <c r="C906" s="213"/>
      <c r="D906" s="213"/>
      <c r="F906" s="213"/>
    </row>
    <row r="907" spans="1:8" ht="14.25" customHeight="1">
      <c r="C907" s="213"/>
      <c r="D907" s="213"/>
      <c r="F907" s="213"/>
    </row>
    <row r="908" spans="1:8" ht="14.25" customHeight="1">
      <c r="C908" s="213"/>
      <c r="D908" s="213"/>
      <c r="F908" s="213"/>
    </row>
    <row r="909" spans="1:8" ht="14.25" customHeight="1">
      <c r="A909" s="214" t="s">
        <v>137</v>
      </c>
      <c r="C909" s="213"/>
      <c r="D909" s="471" t="s">
        <v>329</v>
      </c>
      <c r="E909" s="430"/>
      <c r="F909" s="430"/>
      <c r="G909" s="430"/>
    </row>
    <row r="910" spans="1:8" ht="14.25" customHeight="1">
      <c r="A910" s="214"/>
      <c r="C910" s="213"/>
      <c r="D910" s="216"/>
      <c r="E910" s="215"/>
      <c r="F910" s="216"/>
      <c r="G910" s="215"/>
    </row>
    <row r="911" spans="1:8" ht="14.25" customHeight="1">
      <c r="A911" s="217" t="s">
        <v>139</v>
      </c>
      <c r="B911" s="472" t="s">
        <v>330</v>
      </c>
      <c r="C911" s="430"/>
      <c r="D911" s="430"/>
      <c r="E911" s="430"/>
      <c r="F911" s="430"/>
      <c r="G911" s="218" t="s">
        <v>140</v>
      </c>
      <c r="H911" s="217" t="s">
        <v>331</v>
      </c>
    </row>
    <row r="912" spans="1:8" ht="14.25" customHeight="1">
      <c r="A912" s="214" t="s">
        <v>142</v>
      </c>
      <c r="B912" s="213" t="s">
        <v>26</v>
      </c>
      <c r="C912" s="213"/>
      <c r="D912" s="213"/>
      <c r="E912" s="213"/>
      <c r="F912" s="216" t="s">
        <v>143</v>
      </c>
      <c r="G912" s="219">
        <f>H915+H922+H927+H931</f>
        <v>4895.7227199999998</v>
      </c>
    </row>
    <row r="913" spans="1:8" ht="14.25" customHeight="1">
      <c r="A913" s="214" t="s">
        <v>145</v>
      </c>
      <c r="C913" s="213"/>
      <c r="D913" s="213"/>
      <c r="E913" s="213"/>
      <c r="F913" s="213"/>
    </row>
    <row r="914" spans="1:8" ht="14.25" customHeight="1">
      <c r="A914" s="456" t="s">
        <v>147</v>
      </c>
      <c r="B914" s="457"/>
      <c r="C914" s="221" t="s">
        <v>148</v>
      </c>
      <c r="D914" s="221"/>
      <c r="E914" s="221" t="s">
        <v>149</v>
      </c>
      <c r="F914" s="221" t="s">
        <v>150</v>
      </c>
      <c r="G914" s="222" t="s">
        <v>151</v>
      </c>
      <c r="H914" s="223" t="s">
        <v>152</v>
      </c>
    </row>
    <row r="915" spans="1:8" ht="14.25" customHeight="1">
      <c r="A915" s="459" t="s">
        <v>153</v>
      </c>
      <c r="B915" s="451"/>
      <c r="C915" s="224"/>
      <c r="D915" s="224"/>
      <c r="E915" s="225">
        <f>7500</f>
        <v>7500</v>
      </c>
      <c r="F915" s="224">
        <f t="shared" ref="F915:F916" si="146">0</f>
        <v>0</v>
      </c>
      <c r="G915" s="226">
        <f t="shared" ref="G915:G918" si="147">E915*F915</f>
        <v>0</v>
      </c>
      <c r="H915" s="449">
        <f>SUM(G915:G918)</f>
        <v>1080</v>
      </c>
    </row>
    <row r="916" spans="1:8" ht="14.25" customHeight="1">
      <c r="A916" s="227" t="s">
        <v>154</v>
      </c>
      <c r="B916" s="228"/>
      <c r="C916" s="224"/>
      <c r="D916" s="224"/>
      <c r="E916" s="225">
        <f>20110/8</f>
        <v>2513.75</v>
      </c>
      <c r="F916" s="224">
        <f t="shared" si="146"/>
        <v>0</v>
      </c>
      <c r="G916" s="226">
        <f t="shared" si="147"/>
        <v>0</v>
      </c>
      <c r="H916" s="447"/>
    </row>
    <row r="917" spans="1:8" ht="14.25" customHeight="1">
      <c r="A917" s="227" t="s">
        <v>155</v>
      </c>
      <c r="B917" s="228"/>
      <c r="C917" s="224"/>
      <c r="D917" s="224"/>
      <c r="E917" s="225">
        <f>60000/8</f>
        <v>7500</v>
      </c>
      <c r="F917" s="224">
        <f>8*0</f>
        <v>0</v>
      </c>
      <c r="G917" s="226">
        <f t="shared" si="147"/>
        <v>0</v>
      </c>
      <c r="H917" s="447"/>
    </row>
    <row r="918" spans="1:8" ht="14.25" customHeight="1">
      <c r="A918" s="460" t="s">
        <v>156</v>
      </c>
      <c r="B918" s="454"/>
      <c r="C918" s="229"/>
      <c r="D918" s="229"/>
      <c r="E918" s="230">
        <f>2500</f>
        <v>2500</v>
      </c>
      <c r="F918" s="231">
        <f>0.432</f>
        <v>0.432</v>
      </c>
      <c r="G918" s="232">
        <f t="shared" si="147"/>
        <v>1080</v>
      </c>
      <c r="H918" s="448"/>
    </row>
    <row r="919" spans="1:8" ht="14.25" customHeight="1">
      <c r="C919" s="213"/>
      <c r="D919" s="213"/>
      <c r="E919" s="213"/>
      <c r="F919" s="213"/>
    </row>
    <row r="920" spans="1:8" ht="14.25" customHeight="1">
      <c r="A920" s="214" t="s">
        <v>157</v>
      </c>
      <c r="C920" s="213"/>
      <c r="D920" s="213"/>
      <c r="E920" s="213"/>
      <c r="F920" s="213"/>
    </row>
    <row r="921" spans="1:8" ht="14.25" customHeight="1">
      <c r="A921" s="233" t="s">
        <v>147</v>
      </c>
      <c r="B921" s="222"/>
      <c r="C921" s="221" t="s">
        <v>158</v>
      </c>
      <c r="D921" s="221"/>
      <c r="E921" s="221" t="s">
        <v>159</v>
      </c>
      <c r="F921" s="221" t="s">
        <v>160</v>
      </c>
      <c r="G921" s="222" t="s">
        <v>161</v>
      </c>
      <c r="H921" s="223" t="s">
        <v>152</v>
      </c>
    </row>
    <row r="922" spans="1:8" ht="14.25" customHeight="1">
      <c r="A922" s="450"/>
      <c r="B922" s="451"/>
      <c r="C922" s="234" t="s">
        <v>52</v>
      </c>
      <c r="D922" s="234"/>
      <c r="E922" s="235">
        <f>3700</f>
        <v>3700</v>
      </c>
      <c r="F922" s="236">
        <f>0</f>
        <v>0</v>
      </c>
      <c r="G922" s="237">
        <f t="shared" ref="G922:G923" si="148">E922*F922</f>
        <v>0</v>
      </c>
      <c r="H922" s="467">
        <f>SUM(G922:G923)</f>
        <v>0</v>
      </c>
    </row>
    <row r="923" spans="1:8" ht="14.25" customHeight="1">
      <c r="A923" s="450"/>
      <c r="B923" s="451"/>
      <c r="C923" s="234" t="s">
        <v>52</v>
      </c>
      <c r="D923" s="234"/>
      <c r="E923" s="239">
        <f t="shared" ref="E923:F923" si="149">0</f>
        <v>0</v>
      </c>
      <c r="F923" s="234">
        <f t="shared" si="149"/>
        <v>0</v>
      </c>
      <c r="G923" s="237">
        <f t="shared" si="148"/>
        <v>0</v>
      </c>
      <c r="H923" s="469"/>
    </row>
    <row r="924" spans="1:8" ht="14.25" customHeight="1">
      <c r="C924" s="213"/>
      <c r="D924" s="213"/>
      <c r="E924" s="213"/>
      <c r="F924" s="213"/>
    </row>
    <row r="925" spans="1:8" ht="14.25" customHeight="1">
      <c r="A925" s="214" t="s">
        <v>165</v>
      </c>
      <c r="C925" s="213"/>
      <c r="D925" s="213"/>
      <c r="E925" s="213"/>
      <c r="F925" s="213"/>
    </row>
    <row r="926" spans="1:8" ht="14.25" customHeight="1">
      <c r="A926" s="456" t="s">
        <v>147</v>
      </c>
      <c r="B926" s="457"/>
      <c r="C926" s="221" t="s">
        <v>166</v>
      </c>
      <c r="D926" s="221" t="s">
        <v>167</v>
      </c>
      <c r="E926" s="221" t="s">
        <v>168</v>
      </c>
      <c r="F926" s="221" t="s">
        <v>169</v>
      </c>
      <c r="G926" s="221" t="s">
        <v>170</v>
      </c>
      <c r="H926" s="240" t="s">
        <v>152</v>
      </c>
    </row>
    <row r="927" spans="1:8" ht="14.25" customHeight="1">
      <c r="A927" s="458" t="s">
        <v>171</v>
      </c>
      <c r="B927" s="454"/>
      <c r="C927" s="229">
        <f>1</f>
        <v>1</v>
      </c>
      <c r="D927" s="231">
        <f>27.504</f>
        <v>27.504000000000001</v>
      </c>
      <c r="E927" s="241">
        <f>369.3</f>
        <v>369.3</v>
      </c>
      <c r="F927" s="229">
        <f>0.1</f>
        <v>0.1</v>
      </c>
      <c r="G927" s="232">
        <f>E927*D927*F927</f>
        <v>1015.7227200000002</v>
      </c>
      <c r="H927" s="242">
        <f>+G927</f>
        <v>1015.7227200000002</v>
      </c>
    </row>
    <row r="928" spans="1:8" ht="14.25" customHeight="1">
      <c r="C928" s="213"/>
      <c r="D928" s="213"/>
      <c r="E928" s="213"/>
      <c r="F928" s="213"/>
    </row>
    <row r="929" spans="1:8" ht="14.25" customHeight="1">
      <c r="A929" s="214" t="s">
        <v>172</v>
      </c>
      <c r="C929" s="213"/>
      <c r="D929" s="213"/>
      <c r="E929" s="213"/>
      <c r="F929" s="213"/>
    </row>
    <row r="930" spans="1:8" ht="14.25" customHeight="1">
      <c r="A930" s="233" t="s">
        <v>147</v>
      </c>
      <c r="B930" s="222"/>
      <c r="C930" s="221" t="s">
        <v>173</v>
      </c>
      <c r="D930" s="221" t="s">
        <v>174</v>
      </c>
      <c r="E930" s="221" t="s">
        <v>175</v>
      </c>
      <c r="F930" s="221" t="s">
        <v>150</v>
      </c>
      <c r="G930" s="243" t="s">
        <v>176</v>
      </c>
      <c r="H930" s="223" t="s">
        <v>152</v>
      </c>
    </row>
    <row r="931" spans="1:8" ht="14.25" customHeight="1">
      <c r="A931" s="459" t="s">
        <v>177</v>
      </c>
      <c r="B931" s="451"/>
      <c r="C931" s="225">
        <v>55000</v>
      </c>
      <c r="D931" s="224">
        <v>0</v>
      </c>
      <c r="E931" s="225">
        <f t="shared" ref="E931:E932" si="150">C931</f>
        <v>55000</v>
      </c>
      <c r="F931" s="244">
        <f>0</f>
        <v>0</v>
      </c>
      <c r="G931" s="226">
        <f t="shared" ref="G931:G932" si="151">E931*F931</f>
        <v>0</v>
      </c>
      <c r="H931" s="449">
        <f>G931+G932</f>
        <v>2800</v>
      </c>
    </row>
    <row r="932" spans="1:8" ht="14.25" customHeight="1">
      <c r="A932" s="460" t="s">
        <v>178</v>
      </c>
      <c r="B932" s="454"/>
      <c r="C932" s="230">
        <v>35000</v>
      </c>
      <c r="D932" s="229">
        <v>0</v>
      </c>
      <c r="E932" s="230">
        <f t="shared" si="150"/>
        <v>35000</v>
      </c>
      <c r="F932" s="245">
        <f>8%</f>
        <v>0.08</v>
      </c>
      <c r="G932" s="232">
        <f t="shared" si="151"/>
        <v>2800</v>
      </c>
      <c r="H932" s="448"/>
    </row>
    <row r="933" spans="1:8" ht="14.25" customHeight="1">
      <c r="C933" s="213"/>
      <c r="D933" s="213"/>
      <c r="F933" s="213"/>
    </row>
    <row r="934" spans="1:8" ht="14.25" customHeight="1">
      <c r="C934" s="213"/>
      <c r="D934" s="213"/>
      <c r="F934" s="213"/>
    </row>
    <row r="935" spans="1:8" ht="14.25" customHeight="1">
      <c r="C935" s="213"/>
      <c r="D935" s="213"/>
      <c r="F935" s="213"/>
    </row>
    <row r="936" spans="1:8" ht="14.25" customHeight="1">
      <c r="C936" s="213"/>
      <c r="D936" s="213"/>
      <c r="F936" s="213"/>
    </row>
    <row r="937" spans="1:8" ht="14.25" customHeight="1">
      <c r="C937" s="213"/>
      <c r="D937" s="213"/>
      <c r="F937" s="213"/>
    </row>
    <row r="938" spans="1:8" ht="14.25" customHeight="1">
      <c r="C938" s="213"/>
      <c r="D938" s="213"/>
      <c r="F938" s="213"/>
    </row>
    <row r="939" spans="1:8" ht="45.75" customHeight="1">
      <c r="A939" s="217" t="s">
        <v>139</v>
      </c>
      <c r="B939" s="472" t="s">
        <v>111</v>
      </c>
      <c r="C939" s="430"/>
      <c r="D939" s="430"/>
      <c r="E939" s="430"/>
      <c r="F939" s="430"/>
      <c r="G939" s="218" t="s">
        <v>140</v>
      </c>
      <c r="H939" s="217" t="s">
        <v>332</v>
      </c>
    </row>
    <row r="940" spans="1:8" ht="14.25" customHeight="1">
      <c r="A940" s="214" t="s">
        <v>142</v>
      </c>
      <c r="B940" s="213" t="s">
        <v>26</v>
      </c>
      <c r="C940" s="213"/>
      <c r="D940" s="213"/>
      <c r="E940" s="213"/>
      <c r="F940" s="216" t="s">
        <v>143</v>
      </c>
      <c r="G940" s="219">
        <f>H943+H950+H959+H963</f>
        <v>150702.25</v>
      </c>
    </row>
    <row r="941" spans="1:8" ht="14.25" customHeight="1">
      <c r="A941" s="214" t="s">
        <v>145</v>
      </c>
      <c r="C941" s="213"/>
      <c r="D941" s="213"/>
      <c r="E941" s="213"/>
      <c r="F941" s="213"/>
    </row>
    <row r="942" spans="1:8" ht="14.25" customHeight="1">
      <c r="A942" s="456" t="s">
        <v>147</v>
      </c>
      <c r="B942" s="457"/>
      <c r="C942" s="221" t="s">
        <v>148</v>
      </c>
      <c r="D942" s="221"/>
      <c r="E942" s="221" t="s">
        <v>149</v>
      </c>
      <c r="F942" s="221" t="s">
        <v>150</v>
      </c>
      <c r="G942" s="222" t="s">
        <v>151</v>
      </c>
      <c r="H942" s="223" t="s">
        <v>152</v>
      </c>
    </row>
    <row r="943" spans="1:8" ht="14.25" customHeight="1">
      <c r="A943" s="459" t="s">
        <v>271</v>
      </c>
      <c r="B943" s="451"/>
      <c r="C943" s="224"/>
      <c r="D943" s="224"/>
      <c r="E943" s="225">
        <f>2500</f>
        <v>2500</v>
      </c>
      <c r="F943" s="224">
        <f>0.2</f>
        <v>0.2</v>
      </c>
      <c r="G943" s="226">
        <f t="shared" ref="G943:G946" si="152">E943*F943</f>
        <v>500</v>
      </c>
      <c r="H943" s="449">
        <f>SUM(G943:G946)</f>
        <v>7688.2500000000009</v>
      </c>
    </row>
    <row r="944" spans="1:8" ht="14.25" customHeight="1">
      <c r="A944" s="227" t="s">
        <v>154</v>
      </c>
      <c r="B944" s="228"/>
      <c r="C944" s="224"/>
      <c r="D944" s="224"/>
      <c r="E944" s="225">
        <f>20110/8</f>
        <v>2513.75</v>
      </c>
      <c r="F944" s="224">
        <f>0</f>
        <v>0</v>
      </c>
      <c r="G944" s="226">
        <f t="shared" si="152"/>
        <v>0</v>
      </c>
      <c r="H944" s="447"/>
    </row>
    <row r="945" spans="1:8" ht="14.25" customHeight="1">
      <c r="A945" s="227" t="s">
        <v>155</v>
      </c>
      <c r="B945" s="228"/>
      <c r="C945" s="224"/>
      <c r="D945" s="224"/>
      <c r="E945" s="225">
        <f>60000/8</f>
        <v>7500</v>
      </c>
      <c r="F945" s="224">
        <f>8*0</f>
        <v>0</v>
      </c>
      <c r="G945" s="226">
        <f t="shared" si="152"/>
        <v>0</v>
      </c>
      <c r="H945" s="447"/>
    </row>
    <row r="946" spans="1:8" ht="14.25" customHeight="1">
      <c r="A946" s="460" t="s">
        <v>156</v>
      </c>
      <c r="B946" s="454"/>
      <c r="C946" s="229"/>
      <c r="D946" s="229"/>
      <c r="E946" s="230">
        <f>2500</f>
        <v>2500</v>
      </c>
      <c r="F946" s="231">
        <f>2.8753</f>
        <v>2.8753000000000002</v>
      </c>
      <c r="G946" s="232">
        <f t="shared" si="152"/>
        <v>7188.2500000000009</v>
      </c>
      <c r="H946" s="448"/>
    </row>
    <row r="947" spans="1:8" ht="14.25" customHeight="1">
      <c r="C947" s="213"/>
      <c r="D947" s="213"/>
      <c r="E947" s="213"/>
      <c r="F947" s="213"/>
    </row>
    <row r="948" spans="1:8" ht="14.25" customHeight="1">
      <c r="A948" s="254" t="s">
        <v>157</v>
      </c>
      <c r="B948" s="222"/>
      <c r="C948" s="221"/>
      <c r="D948" s="221"/>
      <c r="E948" s="221"/>
      <c r="F948" s="221"/>
      <c r="G948" s="222"/>
      <c r="H948" s="223"/>
    </row>
    <row r="949" spans="1:8" ht="14.25" customHeight="1">
      <c r="A949" s="227" t="s">
        <v>147</v>
      </c>
      <c r="B949" s="228"/>
      <c r="C949" s="224" t="s">
        <v>158</v>
      </c>
      <c r="D949" s="224"/>
      <c r="E949" s="224" t="s">
        <v>159</v>
      </c>
      <c r="F949" s="224" t="s">
        <v>160</v>
      </c>
      <c r="G949" s="228" t="s">
        <v>161</v>
      </c>
      <c r="H949" s="255" t="s">
        <v>152</v>
      </c>
    </row>
    <row r="950" spans="1:8" ht="14.25" customHeight="1">
      <c r="A950" s="459" t="s">
        <v>333</v>
      </c>
      <c r="B950" s="451"/>
      <c r="C950" s="224" t="s">
        <v>49</v>
      </c>
      <c r="D950" s="224"/>
      <c r="E950" s="224">
        <f>15800</f>
        <v>15800</v>
      </c>
      <c r="F950" s="224">
        <f>1</f>
        <v>1</v>
      </c>
      <c r="G950" s="228">
        <f t="shared" ref="G950:G953" si="153">E950*F950</f>
        <v>15800</v>
      </c>
      <c r="H950" s="449">
        <f>SUM(G950:G955)</f>
        <v>35014</v>
      </c>
    </row>
    <row r="951" spans="1:8" ht="14.25" customHeight="1">
      <c r="A951" s="459" t="s">
        <v>334</v>
      </c>
      <c r="B951" s="451"/>
      <c r="C951" s="224" t="s">
        <v>158</v>
      </c>
      <c r="D951" s="224"/>
      <c r="E951" s="224">
        <f>1500</f>
        <v>1500</v>
      </c>
      <c r="F951" s="224">
        <f>2</f>
        <v>2</v>
      </c>
      <c r="G951" s="228">
        <f t="shared" si="153"/>
        <v>3000</v>
      </c>
      <c r="H951" s="447"/>
    </row>
    <row r="952" spans="1:8" ht="14.25" customHeight="1">
      <c r="A952" s="450" t="s">
        <v>335</v>
      </c>
      <c r="B952" s="451"/>
      <c r="C952" s="247" t="s">
        <v>228</v>
      </c>
      <c r="D952" s="224"/>
      <c r="E952" s="248">
        <f>53900</f>
        <v>53900</v>
      </c>
      <c r="F952" s="252">
        <f>0.03</f>
        <v>0.03</v>
      </c>
      <c r="G952" s="250">
        <f t="shared" si="153"/>
        <v>1617</v>
      </c>
      <c r="H952" s="447"/>
    </row>
    <row r="953" spans="1:8" ht="14.25" customHeight="1">
      <c r="A953" s="450" t="s">
        <v>336</v>
      </c>
      <c r="B953" s="451"/>
      <c r="C953" s="247" t="s">
        <v>158</v>
      </c>
      <c r="D953" s="224"/>
      <c r="E953" s="248">
        <v>16900</v>
      </c>
      <c r="F953" s="252">
        <v>0.03</v>
      </c>
      <c r="G953" s="250">
        <f t="shared" si="153"/>
        <v>507</v>
      </c>
      <c r="H953" s="447"/>
    </row>
    <row r="954" spans="1:8" ht="14.25" customHeight="1">
      <c r="A954" s="452" t="s">
        <v>337</v>
      </c>
      <c r="B954" s="451"/>
      <c r="C954" s="247" t="s">
        <v>158</v>
      </c>
      <c r="D954" s="247"/>
      <c r="E954" s="251">
        <f>140900</f>
        <v>140900</v>
      </c>
      <c r="F954" s="248">
        <f>1</f>
        <v>1</v>
      </c>
      <c r="G954" s="250">
        <f>E954*F954/10</f>
        <v>14090</v>
      </c>
      <c r="H954" s="447"/>
    </row>
    <row r="955" spans="1:8" ht="14.25" customHeight="1">
      <c r="A955" s="453" t="s">
        <v>232</v>
      </c>
      <c r="B955" s="454"/>
      <c r="C955" s="256" t="s">
        <v>158</v>
      </c>
      <c r="D955" s="256"/>
      <c r="E955" s="257">
        <f>0</f>
        <v>0</v>
      </c>
      <c r="F955" s="258">
        <f>0.3</f>
        <v>0.3</v>
      </c>
      <c r="G955" s="259">
        <f>E955*F955</f>
        <v>0</v>
      </c>
      <c r="H955" s="448"/>
    </row>
    <row r="956" spans="1:8" ht="14.25" customHeight="1">
      <c r="A956" s="455"/>
      <c r="B956" s="430"/>
      <c r="C956" s="213"/>
      <c r="D956" s="213"/>
      <c r="E956" s="213"/>
      <c r="F956" s="213"/>
    </row>
    <row r="957" spans="1:8" ht="14.25" customHeight="1">
      <c r="A957" s="214" t="s">
        <v>165</v>
      </c>
      <c r="C957" s="213"/>
      <c r="D957" s="213"/>
      <c r="E957" s="213"/>
      <c r="F957" s="213"/>
    </row>
    <row r="958" spans="1:8" ht="14.25" customHeight="1">
      <c r="A958" s="456" t="s">
        <v>147</v>
      </c>
      <c r="B958" s="457"/>
      <c r="C958" s="221" t="s">
        <v>166</v>
      </c>
      <c r="D958" s="221" t="s">
        <v>167</v>
      </c>
      <c r="E958" s="221" t="s">
        <v>168</v>
      </c>
      <c r="F958" s="221" t="s">
        <v>169</v>
      </c>
      <c r="G958" s="221" t="s">
        <v>170</v>
      </c>
      <c r="H958" s="240" t="s">
        <v>152</v>
      </c>
    </row>
    <row r="959" spans="1:8" ht="14.25" customHeight="1">
      <c r="A959" s="458" t="s">
        <v>171</v>
      </c>
      <c r="B959" s="454"/>
      <c r="C959" s="229">
        <f>1</f>
        <v>1</v>
      </c>
      <c r="D959" s="231">
        <f>27.504</f>
        <v>27.504000000000001</v>
      </c>
      <c r="E959" s="241">
        <f>369.3</f>
        <v>369.3</v>
      </c>
      <c r="F959" s="229">
        <f>2.5</f>
        <v>2.5</v>
      </c>
      <c r="G959" s="232">
        <f>E959*D959*F959*0</f>
        <v>0</v>
      </c>
      <c r="H959" s="242">
        <f>+G959</f>
        <v>0</v>
      </c>
    </row>
    <row r="960" spans="1:8" ht="14.25" customHeight="1">
      <c r="C960" s="213"/>
      <c r="D960" s="213"/>
      <c r="E960" s="213"/>
      <c r="F960" s="213"/>
    </row>
    <row r="961" spans="1:9" ht="14.25" customHeight="1">
      <c r="A961" s="214" t="s">
        <v>172</v>
      </c>
      <c r="C961" s="213"/>
      <c r="D961" s="213"/>
      <c r="E961" s="213"/>
      <c r="F961" s="213"/>
    </row>
    <row r="962" spans="1:9" ht="14.25" customHeight="1">
      <c r="A962" s="233" t="s">
        <v>147</v>
      </c>
      <c r="B962" s="222"/>
      <c r="C962" s="221" t="s">
        <v>173</v>
      </c>
      <c r="D962" s="221" t="s">
        <v>174</v>
      </c>
      <c r="E962" s="221" t="s">
        <v>175</v>
      </c>
      <c r="F962" s="221" t="s">
        <v>150</v>
      </c>
      <c r="G962" s="243" t="s">
        <v>176</v>
      </c>
      <c r="H962" s="223" t="s">
        <v>152</v>
      </c>
    </row>
    <row r="963" spans="1:9" ht="14.25" customHeight="1">
      <c r="A963" s="459" t="s">
        <v>177</v>
      </c>
      <c r="B963" s="451"/>
      <c r="C963" s="225">
        <v>55000</v>
      </c>
      <c r="D963" s="224">
        <v>0</v>
      </c>
      <c r="E963" s="225">
        <f t="shared" ref="E963:E964" si="154">C963</f>
        <v>55000</v>
      </c>
      <c r="F963" s="244">
        <f t="shared" ref="F963:F964" si="155">120%</f>
        <v>1.2</v>
      </c>
      <c r="G963" s="226">
        <f t="shared" ref="G963:G964" si="156">E963*F963</f>
        <v>66000</v>
      </c>
      <c r="H963" s="449">
        <f>G963+G964</f>
        <v>108000</v>
      </c>
    </row>
    <row r="964" spans="1:9" ht="14.25" customHeight="1">
      <c r="A964" s="460" t="s">
        <v>178</v>
      </c>
      <c r="B964" s="454"/>
      <c r="C964" s="230">
        <v>35000</v>
      </c>
      <c r="D964" s="229">
        <v>0</v>
      </c>
      <c r="E964" s="230">
        <f t="shared" si="154"/>
        <v>35000</v>
      </c>
      <c r="F964" s="245">
        <f t="shared" si="155"/>
        <v>1.2</v>
      </c>
      <c r="G964" s="232">
        <f t="shared" si="156"/>
        <v>42000</v>
      </c>
      <c r="H964" s="448"/>
    </row>
    <row r="965" spans="1:9" ht="14.25" customHeight="1">
      <c r="C965" s="213"/>
      <c r="D965" s="213"/>
      <c r="F965" s="213"/>
    </row>
    <row r="966" spans="1:9" ht="14.25" customHeight="1">
      <c r="C966" s="213"/>
      <c r="D966" s="213"/>
      <c r="F966" s="213"/>
    </row>
    <row r="967" spans="1:9" ht="14.25" customHeight="1">
      <c r="C967" s="213"/>
      <c r="D967" s="213"/>
      <c r="F967" s="213"/>
    </row>
    <row r="968" spans="1:9" ht="14.25" customHeight="1">
      <c r="C968" s="213"/>
      <c r="D968" s="213"/>
      <c r="F968" s="213"/>
    </row>
    <row r="969" spans="1:9" ht="14.25" customHeight="1">
      <c r="C969" s="213"/>
      <c r="D969" s="213"/>
      <c r="F969" s="213"/>
    </row>
    <row r="970" spans="1:9" ht="14.25" customHeight="1">
      <c r="C970" s="213"/>
      <c r="D970" s="213"/>
      <c r="F970" s="213"/>
    </row>
    <row r="971" spans="1:9" ht="14.25" customHeight="1">
      <c r="A971" s="214" t="s">
        <v>137</v>
      </c>
      <c r="C971" s="213"/>
      <c r="D971" s="214" t="s">
        <v>338</v>
      </c>
      <c r="E971" s="214"/>
      <c r="F971" s="216"/>
      <c r="G971" s="214"/>
    </row>
    <row r="972" spans="1:9" ht="14.25" customHeight="1">
      <c r="C972" s="213"/>
      <c r="D972" s="213"/>
      <c r="E972" s="213"/>
      <c r="F972" s="213"/>
    </row>
    <row r="973" spans="1:9" ht="14.25" customHeight="1">
      <c r="A973" s="217" t="s">
        <v>139</v>
      </c>
      <c r="B973" s="472" t="s">
        <v>339</v>
      </c>
      <c r="C973" s="430"/>
      <c r="D973" s="430"/>
      <c r="E973" s="430"/>
      <c r="F973" s="430"/>
      <c r="G973" s="218" t="s">
        <v>140</v>
      </c>
      <c r="H973" s="217" t="s">
        <v>340</v>
      </c>
    </row>
    <row r="974" spans="1:9" ht="14.25" customHeight="1">
      <c r="A974" s="214" t="s">
        <v>142</v>
      </c>
      <c r="B974" s="213" t="s">
        <v>26</v>
      </c>
      <c r="C974" s="213"/>
      <c r="D974" s="213"/>
      <c r="E974" s="213"/>
      <c r="F974" s="216" t="s">
        <v>143</v>
      </c>
      <c r="G974" s="219">
        <f>H977+H984+H996+H1000</f>
        <v>78621.736666666664</v>
      </c>
      <c r="I974">
        <f>98400</f>
        <v>98400</v>
      </c>
    </row>
    <row r="975" spans="1:9" ht="14.25" customHeight="1">
      <c r="A975" s="214" t="s">
        <v>145</v>
      </c>
      <c r="C975" s="213"/>
      <c r="D975" s="213"/>
      <c r="E975" s="213"/>
      <c r="F975" s="213"/>
    </row>
    <row r="976" spans="1:9" ht="14.25" customHeight="1">
      <c r="A976" s="456" t="s">
        <v>147</v>
      </c>
      <c r="B976" s="457"/>
      <c r="C976" s="221" t="s">
        <v>148</v>
      </c>
      <c r="D976" s="221"/>
      <c r="E976" s="221" t="s">
        <v>149</v>
      </c>
      <c r="F976" s="221" t="s">
        <v>150</v>
      </c>
      <c r="G976" s="222" t="s">
        <v>151</v>
      </c>
      <c r="H976" s="223" t="s">
        <v>152</v>
      </c>
    </row>
    <row r="977" spans="1:9" ht="14.25" customHeight="1">
      <c r="A977" s="272" t="s">
        <v>269</v>
      </c>
      <c r="B977" s="224"/>
      <c r="C977" s="224"/>
      <c r="D977" s="224"/>
      <c r="E977" s="225">
        <f>7500</f>
        <v>7500</v>
      </c>
      <c r="F977" s="224">
        <f>0.025</f>
        <v>2.5000000000000001E-2</v>
      </c>
      <c r="G977" s="226">
        <f t="shared" ref="G977:G980" si="157">E977*F977</f>
        <v>187.5</v>
      </c>
      <c r="H977" s="449">
        <f>SUM(G977:G980)</f>
        <v>3419.87</v>
      </c>
    </row>
    <row r="978" spans="1:9" ht="14.25" customHeight="1">
      <c r="A978" s="227" t="s">
        <v>154</v>
      </c>
      <c r="B978" s="228"/>
      <c r="C978" s="224"/>
      <c r="D978" s="224"/>
      <c r="E978" s="225">
        <f>20110/8</f>
        <v>2513.75</v>
      </c>
      <c r="F978" s="224">
        <f>1</f>
        <v>1</v>
      </c>
      <c r="G978" s="226">
        <f t="shared" si="157"/>
        <v>2513.75</v>
      </c>
      <c r="H978" s="447"/>
    </row>
    <row r="979" spans="1:9" ht="14.25" customHeight="1">
      <c r="A979" s="227" t="s">
        <v>155</v>
      </c>
      <c r="B979" s="228"/>
      <c r="C979" s="224"/>
      <c r="D979" s="224"/>
      <c r="E979" s="225">
        <f>60000/8</f>
        <v>7500</v>
      </c>
      <c r="F979" s="224">
        <f>0</f>
        <v>0</v>
      </c>
      <c r="G979" s="226">
        <f t="shared" si="157"/>
        <v>0</v>
      </c>
      <c r="H979" s="447"/>
    </row>
    <row r="980" spans="1:9" ht="14.25" customHeight="1">
      <c r="A980" s="267" t="s">
        <v>156</v>
      </c>
      <c r="B980" s="260"/>
      <c r="C980" s="229"/>
      <c r="D980" s="229"/>
      <c r="E980" s="230">
        <f>354</f>
        <v>354</v>
      </c>
      <c r="F980" s="231">
        <f>2.03</f>
        <v>2.0299999999999998</v>
      </c>
      <c r="G980" s="232">
        <f t="shared" si="157"/>
        <v>718.61999999999989</v>
      </c>
      <c r="H980" s="448"/>
    </row>
    <row r="981" spans="1:9" ht="14.25" customHeight="1">
      <c r="C981" s="213"/>
      <c r="D981" s="213"/>
      <c r="E981" s="213"/>
      <c r="F981" s="213"/>
    </row>
    <row r="982" spans="1:9" ht="14.25" customHeight="1">
      <c r="A982" s="214" t="s">
        <v>157</v>
      </c>
      <c r="C982" s="213"/>
      <c r="D982" s="213"/>
      <c r="E982" s="213"/>
      <c r="F982" s="213"/>
    </row>
    <row r="983" spans="1:9" ht="14.25" customHeight="1">
      <c r="A983" s="233" t="s">
        <v>147</v>
      </c>
      <c r="B983" s="222"/>
      <c r="C983" s="221" t="s">
        <v>158</v>
      </c>
      <c r="D983" s="221"/>
      <c r="E983" s="221" t="s">
        <v>159</v>
      </c>
      <c r="F983" s="221" t="s">
        <v>160</v>
      </c>
      <c r="G983" s="222" t="s">
        <v>161</v>
      </c>
      <c r="H983" s="223" t="s">
        <v>152</v>
      </c>
    </row>
    <row r="984" spans="1:9" ht="14.25" customHeight="1">
      <c r="A984" s="465" t="s">
        <v>272</v>
      </c>
      <c r="B984" s="451"/>
      <c r="C984" s="247" t="s">
        <v>19</v>
      </c>
      <c r="D984" s="224"/>
      <c r="E984" s="248">
        <f>1600/2.4</f>
        <v>666.66666666666674</v>
      </c>
      <c r="F984" s="247">
        <f>7</f>
        <v>7</v>
      </c>
      <c r="G984" s="250">
        <f t="shared" ref="G984:G992" si="158">E984*F984</f>
        <v>4666.666666666667</v>
      </c>
      <c r="H984" s="449">
        <f>SUM(G984:G992)</f>
        <v>48201.866666666669</v>
      </c>
    </row>
    <row r="985" spans="1:9" ht="14.25" customHeight="1">
      <c r="A985" s="475" t="s">
        <v>273</v>
      </c>
      <c r="B985" s="451"/>
      <c r="C985" s="247" t="s">
        <v>24</v>
      </c>
      <c r="D985" s="224"/>
      <c r="E985" s="248">
        <f>2600/2.4</f>
        <v>1083.3333333333335</v>
      </c>
      <c r="F985" s="247">
        <f>1.5</f>
        <v>1.5</v>
      </c>
      <c r="G985" s="250">
        <f t="shared" si="158"/>
        <v>1625.0000000000002</v>
      </c>
      <c r="H985" s="447"/>
    </row>
    <row r="986" spans="1:9" ht="14.25" customHeight="1">
      <c r="A986" s="475" t="s">
        <v>274</v>
      </c>
      <c r="B986" s="451"/>
      <c r="C986" s="247" t="s">
        <v>158</v>
      </c>
      <c r="D986" s="224"/>
      <c r="E986" s="248">
        <f t="shared" ref="E986:E987" si="159">20</f>
        <v>20</v>
      </c>
      <c r="F986" s="247">
        <f t="shared" ref="F986:F987" si="160">30</f>
        <v>30</v>
      </c>
      <c r="G986" s="250">
        <f t="shared" si="158"/>
        <v>600</v>
      </c>
      <c r="H986" s="447"/>
      <c r="I986" s="220">
        <f>I974-G974</f>
        <v>19778.263333333336</v>
      </c>
    </row>
    <row r="987" spans="1:9" ht="14.25" customHeight="1">
      <c r="A987" s="465" t="s">
        <v>275</v>
      </c>
      <c r="B987" s="451"/>
      <c r="C987" s="247" t="s">
        <v>52</v>
      </c>
      <c r="D987" s="224"/>
      <c r="E987" s="248">
        <f t="shared" si="159"/>
        <v>20</v>
      </c>
      <c r="F987" s="273">
        <f t="shared" si="160"/>
        <v>30</v>
      </c>
      <c r="G987" s="250">
        <f t="shared" si="158"/>
        <v>600</v>
      </c>
      <c r="H987" s="447"/>
    </row>
    <row r="988" spans="1:9" ht="14.25" customHeight="1">
      <c r="A988" s="459" t="s">
        <v>276</v>
      </c>
      <c r="B988" s="451"/>
      <c r="C988" s="224" t="s">
        <v>49</v>
      </c>
      <c r="D988" s="224"/>
      <c r="E988" s="225">
        <f>75000/3</f>
        <v>25000</v>
      </c>
      <c r="F988" s="274">
        <f>1</f>
        <v>1</v>
      </c>
      <c r="G988" s="226">
        <f t="shared" si="158"/>
        <v>25000</v>
      </c>
      <c r="H988" s="447"/>
    </row>
    <row r="989" spans="1:9" ht="14.25" customHeight="1">
      <c r="A989" s="459" t="s">
        <v>277</v>
      </c>
      <c r="B989" s="451"/>
      <c r="C989" s="224" t="s">
        <v>19</v>
      </c>
      <c r="D989" s="224"/>
      <c r="E989" s="225">
        <f>2600/2.4</f>
        <v>1083.3333333333335</v>
      </c>
      <c r="F989" s="224">
        <f>1.5</f>
        <v>1.5</v>
      </c>
      <c r="G989" s="226">
        <f t="shared" si="158"/>
        <v>1625.0000000000002</v>
      </c>
      <c r="H989" s="447"/>
    </row>
    <row r="990" spans="1:9" ht="14.25" customHeight="1">
      <c r="A990" s="460" t="s">
        <v>278</v>
      </c>
      <c r="B990" s="454"/>
      <c r="C990" s="275" t="s">
        <v>279</v>
      </c>
      <c r="D990" s="275"/>
      <c r="E990" s="276">
        <f>12000/50</f>
        <v>240</v>
      </c>
      <c r="F990" s="275">
        <f>3</f>
        <v>3</v>
      </c>
      <c r="G990" s="226">
        <f t="shared" si="158"/>
        <v>720</v>
      </c>
      <c r="H990" s="447"/>
    </row>
    <row r="991" spans="1:9" ht="14.25" customHeight="1">
      <c r="A991" s="459" t="s">
        <v>280</v>
      </c>
      <c r="B991" s="451"/>
      <c r="C991" s="275" t="s">
        <v>279</v>
      </c>
      <c r="D991" s="275"/>
      <c r="E991" s="276">
        <f>62090</f>
        <v>62090</v>
      </c>
      <c r="F991" s="275">
        <f>0.03</f>
        <v>0.03</v>
      </c>
      <c r="G991" s="226">
        <f t="shared" si="158"/>
        <v>1862.6999999999998</v>
      </c>
      <c r="H991" s="447"/>
    </row>
    <row r="992" spans="1:9" ht="14.25" customHeight="1">
      <c r="A992" s="460" t="s">
        <v>281</v>
      </c>
      <c r="B992" s="454"/>
      <c r="C992" s="229" t="s">
        <v>279</v>
      </c>
      <c r="D992" s="229"/>
      <c r="E992" s="230">
        <f>230050</f>
        <v>230050</v>
      </c>
      <c r="F992" s="229">
        <f>0.05</f>
        <v>0.05</v>
      </c>
      <c r="G992" s="232">
        <f t="shared" si="158"/>
        <v>11502.5</v>
      </c>
      <c r="H992" s="448"/>
    </row>
    <row r="993" spans="1:8" ht="14.25" customHeight="1">
      <c r="C993" s="213"/>
      <c r="D993" s="213"/>
      <c r="E993" s="213"/>
      <c r="F993" s="213"/>
    </row>
    <row r="994" spans="1:8" ht="14.25" customHeight="1">
      <c r="A994" s="214" t="s">
        <v>165</v>
      </c>
      <c r="C994" s="213"/>
      <c r="D994" s="213"/>
      <c r="E994" s="213"/>
      <c r="F994" s="213"/>
    </row>
    <row r="995" spans="1:8" ht="14.25" customHeight="1">
      <c r="A995" s="456" t="s">
        <v>147</v>
      </c>
      <c r="B995" s="457"/>
      <c r="C995" s="221" t="s">
        <v>166</v>
      </c>
      <c r="D995" s="221" t="s">
        <v>167</v>
      </c>
      <c r="E995" s="221" t="s">
        <v>168</v>
      </c>
      <c r="F995" s="221" t="s">
        <v>169</v>
      </c>
      <c r="G995" s="221" t="s">
        <v>170</v>
      </c>
      <c r="H995" s="240" t="s">
        <v>152</v>
      </c>
    </row>
    <row r="996" spans="1:8" ht="14.25" customHeight="1">
      <c r="A996" s="267" t="s">
        <v>282</v>
      </c>
      <c r="B996" s="260"/>
      <c r="C996" s="229">
        <f>0</f>
        <v>0</v>
      </c>
      <c r="D996" s="231">
        <f>27.504*0</f>
        <v>0</v>
      </c>
      <c r="E996" s="241">
        <f>369.3*0</f>
        <v>0</v>
      </c>
      <c r="F996" s="229">
        <f>1</f>
        <v>1</v>
      </c>
      <c r="G996" s="232">
        <f>E996*D996*F996</f>
        <v>0</v>
      </c>
      <c r="H996" s="242">
        <f>+G996</f>
        <v>0</v>
      </c>
    </row>
    <row r="997" spans="1:8" ht="14.25" customHeight="1">
      <c r="C997" s="213"/>
      <c r="D997" s="213"/>
      <c r="E997" s="213"/>
      <c r="F997" s="213"/>
    </row>
    <row r="998" spans="1:8" ht="14.25" customHeight="1">
      <c r="A998" s="214" t="s">
        <v>172</v>
      </c>
      <c r="C998" s="213"/>
      <c r="D998" s="213"/>
      <c r="E998" s="213"/>
      <c r="F998" s="213"/>
    </row>
    <row r="999" spans="1:8" ht="14.25" customHeight="1">
      <c r="A999" s="233" t="s">
        <v>147</v>
      </c>
      <c r="B999" s="222"/>
      <c r="C999" s="221" t="s">
        <v>173</v>
      </c>
      <c r="D999" s="221" t="s">
        <v>174</v>
      </c>
      <c r="E999" s="221" t="s">
        <v>175</v>
      </c>
      <c r="F999" s="221" t="s">
        <v>150</v>
      </c>
      <c r="G999" s="222" t="s">
        <v>176</v>
      </c>
      <c r="H999" s="223" t="s">
        <v>152</v>
      </c>
    </row>
    <row r="1000" spans="1:8" ht="14.25" customHeight="1">
      <c r="A1000" s="459" t="s">
        <v>177</v>
      </c>
      <c r="B1000" s="451"/>
      <c r="C1000" s="225">
        <v>55000</v>
      </c>
      <c r="D1000" s="224">
        <v>0</v>
      </c>
      <c r="E1000" s="225">
        <f t="shared" ref="E1000:E1001" si="161">C1000</f>
        <v>55000</v>
      </c>
      <c r="F1000" s="244">
        <f t="shared" ref="F1000:F1001" si="162">30%</f>
        <v>0.3</v>
      </c>
      <c r="G1000" s="226">
        <f t="shared" ref="G1000:G1001" si="163">E1000*F1000</f>
        <v>16500</v>
      </c>
      <c r="H1000" s="449">
        <f>G1000+G1001</f>
        <v>27000</v>
      </c>
    </row>
    <row r="1001" spans="1:8" ht="14.25" customHeight="1">
      <c r="A1001" s="460" t="s">
        <v>188</v>
      </c>
      <c r="B1001" s="454"/>
      <c r="C1001" s="230">
        <v>35000</v>
      </c>
      <c r="D1001" s="229">
        <v>0</v>
      </c>
      <c r="E1001" s="230">
        <f t="shared" si="161"/>
        <v>35000</v>
      </c>
      <c r="F1001" s="245">
        <f t="shared" si="162"/>
        <v>0.3</v>
      </c>
      <c r="G1001" s="232">
        <f t="shared" si="163"/>
        <v>10500</v>
      </c>
      <c r="H1001" s="448"/>
    </row>
    <row r="1002" spans="1:8" ht="14.25" customHeight="1">
      <c r="C1002" s="213"/>
      <c r="D1002" s="213"/>
      <c r="F1002" s="213"/>
    </row>
    <row r="1003" spans="1:8" ht="14.25" customHeight="1">
      <c r="C1003" s="213"/>
      <c r="D1003" s="213"/>
      <c r="F1003" s="213"/>
    </row>
    <row r="1004" spans="1:8" ht="14.25" customHeight="1">
      <c r="C1004" s="213"/>
      <c r="D1004" s="213"/>
      <c r="F1004" s="213"/>
    </row>
    <row r="1005" spans="1:8" ht="14.25" customHeight="1">
      <c r="C1005" s="213"/>
      <c r="D1005" s="213"/>
      <c r="F1005" s="213"/>
    </row>
    <row r="1006" spans="1:8" ht="14.25" customHeight="1">
      <c r="C1006" s="213"/>
      <c r="D1006" s="213"/>
      <c r="F1006" s="213"/>
    </row>
    <row r="1007" spans="1:8" ht="14.25" customHeight="1">
      <c r="C1007" s="213"/>
      <c r="D1007" s="213"/>
      <c r="F1007" s="213"/>
    </row>
    <row r="1008" spans="1:8" ht="14.25" customHeight="1">
      <c r="A1008" s="463" t="s">
        <v>137</v>
      </c>
      <c r="B1008" s="430"/>
      <c r="C1008" s="430"/>
      <c r="D1008" s="487" t="s">
        <v>341</v>
      </c>
      <c r="E1008" s="430"/>
      <c r="F1008" s="430"/>
      <c r="G1008" s="430"/>
      <c r="H1008" s="430"/>
    </row>
    <row r="1009" spans="1:8" ht="14.25" customHeight="1">
      <c r="C1009" s="213"/>
      <c r="D1009" s="213"/>
      <c r="F1009" s="213"/>
    </row>
    <row r="1010" spans="1:8" ht="14.25" customHeight="1">
      <c r="A1010" s="261" t="s">
        <v>139</v>
      </c>
      <c r="B1010" s="261" t="s">
        <v>342</v>
      </c>
      <c r="C1010" s="213"/>
      <c r="D1010" s="213"/>
      <c r="E1010" s="261"/>
      <c r="F1010" s="216"/>
      <c r="G1010" s="216" t="s">
        <v>140</v>
      </c>
      <c r="H1010" s="216" t="s">
        <v>343</v>
      </c>
    </row>
    <row r="1011" spans="1:8" ht="14.25" customHeight="1">
      <c r="A1011" s="261" t="s">
        <v>142</v>
      </c>
      <c r="B1011" s="261" t="s">
        <v>26</v>
      </c>
      <c r="C1011" s="213"/>
      <c r="D1011" s="213"/>
      <c r="E1011" s="261"/>
      <c r="F1011" s="216" t="s">
        <v>143</v>
      </c>
      <c r="G1011" s="279">
        <f>+H1014+H1021+H1029+H1033</f>
        <v>145790</v>
      </c>
      <c r="H1011" s="214"/>
    </row>
    <row r="1012" spans="1:8" ht="14.25" customHeight="1">
      <c r="A1012" s="488" t="s">
        <v>145</v>
      </c>
      <c r="B1012" s="430"/>
      <c r="C1012" s="213"/>
      <c r="D1012" s="213"/>
      <c r="E1012" s="261"/>
      <c r="F1012" s="213"/>
      <c r="G1012" s="261"/>
      <c r="H1012" s="261"/>
    </row>
    <row r="1013" spans="1:8" ht="14.25" customHeight="1">
      <c r="A1013" s="233" t="s">
        <v>147</v>
      </c>
      <c r="B1013" s="222"/>
      <c r="C1013" s="221" t="s">
        <v>148</v>
      </c>
      <c r="D1013" s="221"/>
      <c r="E1013" s="222" t="s">
        <v>149</v>
      </c>
      <c r="F1013" s="221" t="s">
        <v>150</v>
      </c>
      <c r="G1013" s="222" t="s">
        <v>151</v>
      </c>
      <c r="H1013" s="223" t="s">
        <v>152</v>
      </c>
    </row>
    <row r="1014" spans="1:8" ht="14.25" customHeight="1">
      <c r="A1014" s="459" t="s">
        <v>269</v>
      </c>
      <c r="B1014" s="451"/>
      <c r="C1014" s="224"/>
      <c r="D1014" s="224"/>
      <c r="E1014" s="226">
        <v>0</v>
      </c>
      <c r="F1014" s="224">
        <v>0</v>
      </c>
      <c r="G1014" s="226">
        <f t="shared" ref="G1014:G1017" si="164">E1014*F1014</f>
        <v>0</v>
      </c>
      <c r="H1014" s="449">
        <f>SUM(G1014:G1017)</f>
        <v>6687</v>
      </c>
    </row>
    <row r="1015" spans="1:8" ht="14.25" customHeight="1">
      <c r="A1015" s="459" t="s">
        <v>154</v>
      </c>
      <c r="B1015" s="451"/>
      <c r="C1015" s="224"/>
      <c r="D1015" s="224"/>
      <c r="E1015" s="226">
        <v>2513.75</v>
      </c>
      <c r="F1015" s="224">
        <v>0</v>
      </c>
      <c r="G1015" s="226">
        <f t="shared" si="164"/>
        <v>0</v>
      </c>
      <c r="H1015" s="447"/>
    </row>
    <row r="1016" spans="1:8" ht="14.25" customHeight="1">
      <c r="A1016" s="459" t="s">
        <v>155</v>
      </c>
      <c r="B1016" s="451"/>
      <c r="C1016" s="224" t="s">
        <v>344</v>
      </c>
      <c r="D1016" s="224"/>
      <c r="E1016" s="226">
        <f>45000/8</f>
        <v>5625</v>
      </c>
      <c r="F1016" s="224">
        <f>1</f>
        <v>1</v>
      </c>
      <c r="G1016" s="226">
        <f t="shared" si="164"/>
        <v>5625</v>
      </c>
      <c r="H1016" s="447"/>
    </row>
    <row r="1017" spans="1:8" ht="14.25" customHeight="1">
      <c r="A1017" s="460" t="s">
        <v>156</v>
      </c>
      <c r="B1017" s="454"/>
      <c r="C1017" s="229" t="s">
        <v>191</v>
      </c>
      <c r="D1017" s="229"/>
      <c r="E1017" s="232">
        <v>354</v>
      </c>
      <c r="F1017" s="229">
        <v>3</v>
      </c>
      <c r="G1017" s="232">
        <f t="shared" si="164"/>
        <v>1062</v>
      </c>
      <c r="H1017" s="448"/>
    </row>
    <row r="1018" spans="1:8" ht="14.25" customHeight="1">
      <c r="C1018" s="213"/>
      <c r="D1018" s="213"/>
      <c r="F1018" s="213"/>
    </row>
    <row r="1019" spans="1:8" ht="14.25" customHeight="1">
      <c r="A1019" s="214" t="s">
        <v>157</v>
      </c>
      <c r="C1019" s="213"/>
      <c r="D1019" s="213"/>
      <c r="F1019" s="213"/>
    </row>
    <row r="1020" spans="1:8" ht="14.25" customHeight="1">
      <c r="A1020" s="228" t="s">
        <v>147</v>
      </c>
      <c r="B1020" s="228"/>
      <c r="C1020" s="224" t="s">
        <v>158</v>
      </c>
      <c r="D1020" s="224"/>
      <c r="E1020" s="228" t="s">
        <v>159</v>
      </c>
      <c r="F1020" s="224" t="s">
        <v>160</v>
      </c>
      <c r="G1020" s="228" t="s">
        <v>161</v>
      </c>
      <c r="H1020" s="228" t="s">
        <v>152</v>
      </c>
    </row>
    <row r="1021" spans="1:8" ht="30.75" customHeight="1">
      <c r="A1021" s="461" t="s">
        <v>345</v>
      </c>
      <c r="B1021" s="451"/>
      <c r="C1021" s="224" t="s">
        <v>24</v>
      </c>
      <c r="D1021" s="224"/>
      <c r="E1021" s="250">
        <v>14590</v>
      </c>
      <c r="F1021" s="224">
        <v>1.2</v>
      </c>
      <c r="G1021" s="226">
        <f t="shared" ref="G1021:G1025" si="165">E1021*F1021</f>
        <v>17508</v>
      </c>
      <c r="H1021" s="467">
        <f>SUM(G1021:G1025)</f>
        <v>64102.999999999993</v>
      </c>
    </row>
    <row r="1022" spans="1:8" ht="29.25" customHeight="1">
      <c r="A1022" s="461" t="s">
        <v>346</v>
      </c>
      <c r="B1022" s="451"/>
      <c r="C1022" s="224" t="s">
        <v>24</v>
      </c>
      <c r="D1022" s="224"/>
      <c r="E1022" s="250">
        <v>11650</v>
      </c>
      <c r="F1022" s="224">
        <v>2.2999999999999998</v>
      </c>
      <c r="G1022" s="226">
        <f t="shared" si="165"/>
        <v>26794.999999999996</v>
      </c>
      <c r="H1022" s="468"/>
    </row>
    <row r="1023" spans="1:8" ht="33" customHeight="1">
      <c r="A1023" s="461" t="s">
        <v>347</v>
      </c>
      <c r="B1023" s="451"/>
      <c r="C1023" s="224" t="s">
        <v>24</v>
      </c>
      <c r="D1023" s="224"/>
      <c r="E1023" s="250">
        <v>7333.3333333333303</v>
      </c>
      <c r="F1023" s="247">
        <v>1.8</v>
      </c>
      <c r="G1023" s="250">
        <f t="shared" si="165"/>
        <v>13199.999999999995</v>
      </c>
      <c r="H1023" s="468"/>
    </row>
    <row r="1024" spans="1:8" ht="15.75" customHeight="1">
      <c r="A1024" s="461" t="s">
        <v>348</v>
      </c>
      <c r="B1024" s="451"/>
      <c r="C1024" s="224" t="s">
        <v>308</v>
      </c>
      <c r="D1024" s="224"/>
      <c r="E1024" s="250">
        <v>12000</v>
      </c>
      <c r="F1024" s="224">
        <v>0.25</v>
      </c>
      <c r="G1024" s="226">
        <f t="shared" si="165"/>
        <v>3000</v>
      </c>
      <c r="H1024" s="468"/>
    </row>
    <row r="1025" spans="1:8" ht="14.25" customHeight="1">
      <c r="A1025" s="462" t="s">
        <v>349</v>
      </c>
      <c r="B1025" s="451"/>
      <c r="C1025" s="224" t="s">
        <v>24</v>
      </c>
      <c r="D1025" s="224"/>
      <c r="E1025" s="250">
        <v>1800</v>
      </c>
      <c r="F1025" s="224">
        <v>2</v>
      </c>
      <c r="G1025" s="226">
        <f t="shared" si="165"/>
        <v>3600</v>
      </c>
      <c r="H1025" s="469"/>
    </row>
    <row r="1026" spans="1:8" ht="14.25" customHeight="1">
      <c r="C1026" s="213"/>
      <c r="D1026" s="213"/>
      <c r="F1026" s="213"/>
    </row>
    <row r="1027" spans="1:8" ht="14.25" customHeight="1">
      <c r="A1027" s="214" t="s">
        <v>165</v>
      </c>
      <c r="C1027" s="213"/>
      <c r="D1027" s="213"/>
      <c r="F1027" s="213"/>
    </row>
    <row r="1028" spans="1:8" ht="14.25" customHeight="1">
      <c r="A1028" s="233" t="s">
        <v>147</v>
      </c>
      <c r="B1028" s="222"/>
      <c r="C1028" s="221" t="s">
        <v>166</v>
      </c>
      <c r="D1028" s="221" t="s">
        <v>167</v>
      </c>
      <c r="E1028" s="222" t="s">
        <v>168</v>
      </c>
      <c r="F1028" s="221" t="s">
        <v>169</v>
      </c>
      <c r="G1028" s="222" t="s">
        <v>170</v>
      </c>
      <c r="H1028" s="223" t="s">
        <v>152</v>
      </c>
    </row>
    <row r="1029" spans="1:8" ht="14.25" customHeight="1">
      <c r="A1029" s="267" t="s">
        <v>282</v>
      </c>
      <c r="B1029" s="260"/>
      <c r="C1029" s="229">
        <v>0</v>
      </c>
      <c r="D1029" s="229">
        <v>0</v>
      </c>
      <c r="E1029" s="260">
        <v>0</v>
      </c>
      <c r="F1029" s="229">
        <v>1</v>
      </c>
      <c r="G1029" s="260">
        <v>0</v>
      </c>
      <c r="H1029" s="280">
        <v>0</v>
      </c>
    </row>
    <row r="1030" spans="1:8" ht="14.25" customHeight="1">
      <c r="C1030" s="213"/>
      <c r="D1030" s="213"/>
      <c r="F1030" s="213"/>
    </row>
    <row r="1031" spans="1:8" ht="14.25" customHeight="1">
      <c r="A1031" s="214" t="s">
        <v>172</v>
      </c>
      <c r="C1031" s="213"/>
      <c r="D1031" s="213"/>
      <c r="F1031" s="213"/>
    </row>
    <row r="1032" spans="1:8" ht="14.25" customHeight="1">
      <c r="A1032" s="233" t="s">
        <v>147</v>
      </c>
      <c r="B1032" s="222"/>
      <c r="C1032" s="221" t="s">
        <v>173</v>
      </c>
      <c r="D1032" s="221" t="s">
        <v>174</v>
      </c>
      <c r="E1032" s="222" t="s">
        <v>175</v>
      </c>
      <c r="F1032" s="221" t="s">
        <v>150</v>
      </c>
      <c r="G1032" s="222" t="s">
        <v>176</v>
      </c>
      <c r="H1032" s="223" t="s">
        <v>152</v>
      </c>
    </row>
    <row r="1033" spans="1:8" ht="14.25" customHeight="1">
      <c r="A1033" s="459" t="s">
        <v>177</v>
      </c>
      <c r="B1033" s="451"/>
      <c r="C1033" s="225">
        <f>L9</f>
        <v>55000</v>
      </c>
      <c r="D1033" s="224">
        <v>0</v>
      </c>
      <c r="E1033" s="226">
        <v>55000</v>
      </c>
      <c r="F1033" s="281">
        <v>0.6</v>
      </c>
      <c r="G1033" s="226">
        <f t="shared" ref="G1033:G1034" si="166">E1033*F1033</f>
        <v>33000</v>
      </c>
      <c r="H1033" s="449">
        <f>G1033+G1034</f>
        <v>75000</v>
      </c>
    </row>
    <row r="1034" spans="1:8" ht="14.25" customHeight="1">
      <c r="A1034" s="267" t="s">
        <v>188</v>
      </c>
      <c r="B1034" s="260"/>
      <c r="C1034" s="230">
        <f>L8</f>
        <v>35000</v>
      </c>
      <c r="D1034" s="229">
        <v>0</v>
      </c>
      <c r="E1034" s="232">
        <f>35000*2</f>
        <v>70000</v>
      </c>
      <c r="F1034" s="282">
        <v>0.6</v>
      </c>
      <c r="G1034" s="232">
        <f t="shared" si="166"/>
        <v>42000</v>
      </c>
      <c r="H1034" s="448"/>
    </row>
    <row r="1035" spans="1:8" ht="14.25" customHeight="1">
      <c r="C1035" s="213"/>
      <c r="D1035" s="213"/>
      <c r="F1035" s="213"/>
    </row>
    <row r="1036" spans="1:8" ht="14.25" customHeight="1">
      <c r="C1036" s="213"/>
      <c r="D1036" s="213"/>
      <c r="F1036" s="213"/>
    </row>
    <row r="1037" spans="1:8" ht="14.25" customHeight="1">
      <c r="C1037" s="213"/>
      <c r="D1037" s="213"/>
      <c r="F1037" s="213"/>
    </row>
    <row r="1038" spans="1:8" ht="14.25" customHeight="1">
      <c r="C1038" s="213"/>
      <c r="D1038" s="213"/>
      <c r="F1038" s="213"/>
    </row>
    <row r="1039" spans="1:8" ht="14.25" customHeight="1">
      <c r="C1039" s="213"/>
      <c r="D1039" s="213"/>
      <c r="F1039" s="213"/>
    </row>
    <row r="1040" spans="1:8" ht="14.25" customHeight="1">
      <c r="C1040" s="213"/>
      <c r="D1040" s="213"/>
      <c r="F1040" s="213"/>
    </row>
    <row r="1041" spans="1:8" ht="14.25" customHeight="1">
      <c r="A1041" s="463" t="s">
        <v>137</v>
      </c>
      <c r="B1041" s="430"/>
      <c r="C1041" s="463" t="s">
        <v>350</v>
      </c>
      <c r="D1041" s="430"/>
      <c r="E1041" s="430"/>
      <c r="F1041" s="430"/>
      <c r="G1041" s="430"/>
      <c r="H1041" s="430"/>
    </row>
    <row r="1042" spans="1:8" ht="14.25" customHeight="1">
      <c r="C1042" s="213"/>
      <c r="D1042" s="213"/>
      <c r="F1042" s="213"/>
    </row>
    <row r="1043" spans="1:8" ht="14.25" customHeight="1">
      <c r="A1043" t="s">
        <v>139</v>
      </c>
      <c r="B1043" t="s">
        <v>70</v>
      </c>
      <c r="C1043" s="213"/>
      <c r="D1043" s="213"/>
      <c r="F1043" s="213"/>
      <c r="G1043" s="216" t="s">
        <v>140</v>
      </c>
      <c r="H1043" s="216" t="s">
        <v>351</v>
      </c>
    </row>
    <row r="1044" spans="1:8" ht="14.25" customHeight="1">
      <c r="A1044" t="s">
        <v>142</v>
      </c>
      <c r="B1044" t="s">
        <v>26</v>
      </c>
      <c r="C1044" s="213"/>
      <c r="D1044" s="213"/>
      <c r="F1044" s="213" t="s">
        <v>143</v>
      </c>
      <c r="G1044" s="220">
        <f>+H1047+H1054+H1062+H1066</f>
        <v>26040</v>
      </c>
    </row>
    <row r="1045" spans="1:8" ht="14.25" customHeight="1">
      <c r="A1045" s="214" t="s">
        <v>145</v>
      </c>
      <c r="C1045" s="213"/>
      <c r="D1045" s="213"/>
      <c r="F1045" s="213"/>
    </row>
    <row r="1046" spans="1:8" ht="14.25" customHeight="1">
      <c r="A1046" s="228" t="s">
        <v>147</v>
      </c>
      <c r="B1046" s="228"/>
      <c r="C1046" s="224" t="s">
        <v>148</v>
      </c>
      <c r="D1046" s="224"/>
      <c r="E1046" s="228" t="s">
        <v>149</v>
      </c>
      <c r="F1046" s="224" t="s">
        <v>150</v>
      </c>
      <c r="G1046" s="228" t="s">
        <v>151</v>
      </c>
      <c r="H1046" s="228" t="s">
        <v>152</v>
      </c>
    </row>
    <row r="1047" spans="1:8" ht="14.25" customHeight="1">
      <c r="A1047" s="470" t="s">
        <v>269</v>
      </c>
      <c r="B1047" s="451"/>
      <c r="C1047" s="224"/>
      <c r="D1047" s="224"/>
      <c r="E1047" s="226">
        <v>0</v>
      </c>
      <c r="F1047" s="225">
        <v>0</v>
      </c>
      <c r="G1047" s="226">
        <f t="shared" ref="G1047:G1050" si="167">E1047*F1047</f>
        <v>0</v>
      </c>
      <c r="H1047" s="467">
        <f>SUM(G1047:G1050)</f>
        <v>3540</v>
      </c>
    </row>
    <row r="1048" spans="1:8" ht="14.25" customHeight="1">
      <c r="A1048" s="228" t="s">
        <v>154</v>
      </c>
      <c r="B1048" s="228"/>
      <c r="C1048" s="224"/>
      <c r="D1048" s="224"/>
      <c r="E1048" s="226">
        <v>2513.75</v>
      </c>
      <c r="F1048" s="225">
        <v>0</v>
      </c>
      <c r="G1048" s="226">
        <f t="shared" si="167"/>
        <v>0</v>
      </c>
      <c r="H1048" s="468"/>
    </row>
    <row r="1049" spans="1:8" ht="14.25" customHeight="1">
      <c r="A1049" s="228" t="s">
        <v>155</v>
      </c>
      <c r="B1049" s="228"/>
      <c r="C1049" s="224" t="s">
        <v>344</v>
      </c>
      <c r="D1049" s="224"/>
      <c r="E1049" s="226">
        <f>45000/8</f>
        <v>5625</v>
      </c>
      <c r="F1049" s="225">
        <f>0</f>
        <v>0</v>
      </c>
      <c r="G1049" s="226">
        <f t="shared" si="167"/>
        <v>0</v>
      </c>
      <c r="H1049" s="468"/>
    </row>
    <row r="1050" spans="1:8" ht="14.25" customHeight="1">
      <c r="A1050" s="228" t="s">
        <v>156</v>
      </c>
      <c r="B1050" s="228"/>
      <c r="C1050" s="224" t="s">
        <v>191</v>
      </c>
      <c r="D1050" s="224"/>
      <c r="E1050" s="226">
        <v>354</v>
      </c>
      <c r="F1050" s="225">
        <v>10</v>
      </c>
      <c r="G1050" s="226">
        <f t="shared" si="167"/>
        <v>3540</v>
      </c>
      <c r="H1050" s="469"/>
    </row>
    <row r="1051" spans="1:8" ht="14.25" customHeight="1">
      <c r="C1051" s="213"/>
      <c r="D1051" s="213"/>
      <c r="E1051" s="220"/>
      <c r="F1051" s="270"/>
      <c r="G1051" s="220"/>
      <c r="H1051" s="220"/>
    </row>
    <row r="1052" spans="1:8" ht="14.25" customHeight="1">
      <c r="A1052" s="214" t="s">
        <v>157</v>
      </c>
      <c r="C1052" s="213"/>
      <c r="D1052" s="213"/>
      <c r="E1052" s="220"/>
      <c r="F1052" s="270"/>
      <c r="G1052" s="220"/>
      <c r="H1052" s="220"/>
    </row>
    <row r="1053" spans="1:8" ht="14.25" customHeight="1">
      <c r="A1053" s="233" t="s">
        <v>147</v>
      </c>
      <c r="B1053" s="222"/>
      <c r="C1053" s="221" t="s">
        <v>158</v>
      </c>
      <c r="D1053" s="221"/>
      <c r="E1053" s="283" t="s">
        <v>159</v>
      </c>
      <c r="F1053" s="284" t="s">
        <v>160</v>
      </c>
      <c r="G1053" s="283" t="s">
        <v>161</v>
      </c>
      <c r="H1053" s="285" t="s">
        <v>152</v>
      </c>
    </row>
    <row r="1054" spans="1:8" ht="14.25" customHeight="1">
      <c r="A1054" s="227">
        <f>0</f>
        <v>0</v>
      </c>
      <c r="B1054" s="228"/>
      <c r="C1054" s="224" t="s">
        <v>24</v>
      </c>
      <c r="D1054" s="224"/>
      <c r="E1054" s="226">
        <v>9590</v>
      </c>
      <c r="F1054" s="225">
        <v>0</v>
      </c>
      <c r="G1054" s="226">
        <f t="shared" ref="G1054:G1058" si="168">E1054*F1054</f>
        <v>0</v>
      </c>
      <c r="H1054" s="449">
        <f>SUM(G1054:G1058)</f>
        <v>0</v>
      </c>
    </row>
    <row r="1055" spans="1:8" ht="14.25" customHeight="1">
      <c r="A1055" s="227">
        <v>0</v>
      </c>
      <c r="B1055" s="228"/>
      <c r="C1055" s="224" t="s">
        <v>24</v>
      </c>
      <c r="D1055" s="224"/>
      <c r="E1055" s="226">
        <v>11650</v>
      </c>
      <c r="F1055" s="225">
        <v>0</v>
      </c>
      <c r="G1055" s="226">
        <f t="shared" si="168"/>
        <v>0</v>
      </c>
      <c r="H1055" s="447"/>
    </row>
    <row r="1056" spans="1:8" ht="14.25" customHeight="1">
      <c r="A1056" s="227">
        <v>0</v>
      </c>
      <c r="B1056" s="228"/>
      <c r="C1056" s="224" t="s">
        <v>24</v>
      </c>
      <c r="D1056" s="224"/>
      <c r="E1056" s="226">
        <v>7333.3333333333303</v>
      </c>
      <c r="F1056" s="225">
        <v>0</v>
      </c>
      <c r="G1056" s="226">
        <f t="shared" si="168"/>
        <v>0</v>
      </c>
      <c r="H1056" s="447"/>
    </row>
    <row r="1057" spans="1:8" ht="14.25" customHeight="1">
      <c r="A1057" s="227">
        <v>0</v>
      </c>
      <c r="B1057" s="228"/>
      <c r="C1057" s="224" t="s">
        <v>308</v>
      </c>
      <c r="D1057" s="224"/>
      <c r="E1057" s="226">
        <v>12000</v>
      </c>
      <c r="F1057" s="225">
        <v>0</v>
      </c>
      <c r="G1057" s="226">
        <f t="shared" si="168"/>
        <v>0</v>
      </c>
      <c r="H1057" s="447"/>
    </row>
    <row r="1058" spans="1:8" ht="14.25" customHeight="1">
      <c r="A1058" s="267">
        <v>0</v>
      </c>
      <c r="B1058" s="260"/>
      <c r="C1058" s="229" t="s">
        <v>24</v>
      </c>
      <c r="D1058" s="229"/>
      <c r="E1058" s="232">
        <v>1800</v>
      </c>
      <c r="F1058" s="230">
        <v>0</v>
      </c>
      <c r="G1058" s="232">
        <f t="shared" si="168"/>
        <v>0</v>
      </c>
      <c r="H1058" s="448"/>
    </row>
    <row r="1059" spans="1:8" ht="14.25" customHeight="1">
      <c r="C1059" s="213"/>
      <c r="D1059" s="213"/>
      <c r="E1059" s="220"/>
      <c r="F1059" s="270"/>
      <c r="G1059" s="220"/>
      <c r="H1059" s="220"/>
    </row>
    <row r="1060" spans="1:8" ht="14.25" customHeight="1">
      <c r="A1060" s="214" t="s">
        <v>165</v>
      </c>
      <c r="C1060" s="213"/>
      <c r="D1060" s="213"/>
      <c r="E1060" s="220"/>
      <c r="F1060" s="270"/>
      <c r="G1060" s="220"/>
      <c r="H1060" s="220"/>
    </row>
    <row r="1061" spans="1:8" ht="14.25" customHeight="1">
      <c r="A1061" s="233" t="s">
        <v>147</v>
      </c>
      <c r="B1061" s="222"/>
      <c r="C1061" s="221" t="s">
        <v>166</v>
      </c>
      <c r="D1061" s="221" t="s">
        <v>167</v>
      </c>
      <c r="E1061" s="283" t="s">
        <v>168</v>
      </c>
      <c r="F1061" s="284" t="s">
        <v>169</v>
      </c>
      <c r="G1061" s="283" t="s">
        <v>170</v>
      </c>
      <c r="H1061" s="285" t="s">
        <v>152</v>
      </c>
    </row>
    <row r="1062" spans="1:8" ht="14.25" customHeight="1">
      <c r="A1062" s="227" t="s">
        <v>282</v>
      </c>
      <c r="B1062" s="228"/>
      <c r="C1062" s="224">
        <v>5</v>
      </c>
      <c r="D1062" s="224">
        <v>10</v>
      </c>
      <c r="E1062" s="226">
        <v>100</v>
      </c>
      <c r="F1062" s="225">
        <v>1</v>
      </c>
      <c r="G1062" s="226">
        <f>C1062*E1062*D1062</f>
        <v>5000</v>
      </c>
      <c r="H1062" s="286">
        <f>G1062</f>
        <v>5000</v>
      </c>
    </row>
    <row r="1063" spans="1:8" ht="14.25" customHeight="1">
      <c r="A1063" s="227"/>
      <c r="B1063" s="228"/>
      <c r="C1063" s="224"/>
      <c r="D1063" s="224"/>
      <c r="E1063" s="226"/>
      <c r="F1063" s="225"/>
      <c r="G1063" s="226"/>
      <c r="H1063" s="286"/>
    </row>
    <row r="1064" spans="1:8" ht="14.25" customHeight="1">
      <c r="A1064" s="227" t="s">
        <v>172</v>
      </c>
      <c r="B1064" s="228"/>
      <c r="C1064" s="224"/>
      <c r="D1064" s="224"/>
      <c r="E1064" s="226"/>
      <c r="F1064" s="225"/>
      <c r="G1064" s="226"/>
      <c r="H1064" s="286"/>
    </row>
    <row r="1065" spans="1:8" ht="14.25" customHeight="1">
      <c r="A1065" s="227" t="s">
        <v>147</v>
      </c>
      <c r="B1065" s="228"/>
      <c r="C1065" s="224" t="s">
        <v>173</v>
      </c>
      <c r="D1065" s="224" t="s">
        <v>174</v>
      </c>
      <c r="E1065" s="226" t="s">
        <v>175</v>
      </c>
      <c r="F1065" s="225" t="s">
        <v>150</v>
      </c>
      <c r="G1065" s="226" t="s">
        <v>176</v>
      </c>
      <c r="H1065" s="286" t="s">
        <v>152</v>
      </c>
    </row>
    <row r="1066" spans="1:8" ht="14.25" customHeight="1">
      <c r="A1066" s="227" t="s">
        <v>177</v>
      </c>
      <c r="B1066" s="228"/>
      <c r="C1066" s="225">
        <f>L9</f>
        <v>55000</v>
      </c>
      <c r="D1066" s="224">
        <v>0</v>
      </c>
      <c r="E1066" s="226">
        <v>55000</v>
      </c>
      <c r="F1066" s="225">
        <v>0</v>
      </c>
      <c r="G1066" s="226">
        <f t="shared" ref="G1066:G1067" si="169">E1066*F1066</f>
        <v>0</v>
      </c>
      <c r="H1066" s="449">
        <f>G1066+G1067</f>
        <v>17500</v>
      </c>
    </row>
    <row r="1067" spans="1:8" ht="14.25" customHeight="1">
      <c r="A1067" s="267" t="s">
        <v>188</v>
      </c>
      <c r="B1067" s="260"/>
      <c r="C1067" s="230">
        <f>L8</f>
        <v>35000</v>
      </c>
      <c r="D1067" s="229">
        <v>0</v>
      </c>
      <c r="E1067" s="232">
        <f>35000*2</f>
        <v>70000</v>
      </c>
      <c r="F1067" s="282">
        <v>0.25</v>
      </c>
      <c r="G1067" s="232">
        <f t="shared" si="169"/>
        <v>17500</v>
      </c>
      <c r="H1067" s="448"/>
    </row>
    <row r="1068" spans="1:8" ht="14.25" customHeight="1">
      <c r="C1068" s="213"/>
      <c r="D1068" s="213"/>
      <c r="F1068" s="213"/>
    </row>
    <row r="1069" spans="1:8" ht="14.25" customHeight="1">
      <c r="C1069" s="213"/>
      <c r="D1069" s="213"/>
      <c r="F1069" s="213"/>
    </row>
    <row r="1070" spans="1:8" ht="14.25" customHeight="1">
      <c r="C1070" s="213"/>
      <c r="D1070" s="213"/>
      <c r="F1070" s="213"/>
    </row>
    <row r="1071" spans="1:8" ht="14.25" customHeight="1">
      <c r="C1071" s="213"/>
      <c r="D1071" s="213"/>
      <c r="F1071" s="213"/>
    </row>
    <row r="1072" spans="1:8" ht="14.25" customHeight="1">
      <c r="C1072" s="213"/>
      <c r="D1072" s="213"/>
      <c r="F1072" s="213"/>
    </row>
    <row r="1073" spans="1:8" ht="14.25" customHeight="1">
      <c r="A1073" s="463" t="s">
        <v>137</v>
      </c>
      <c r="B1073" s="430"/>
      <c r="C1073" s="463" t="s">
        <v>352</v>
      </c>
      <c r="D1073" s="430"/>
      <c r="E1073" s="430"/>
      <c r="F1073" s="430"/>
      <c r="G1073" s="430"/>
      <c r="H1073" s="430"/>
    </row>
    <row r="1074" spans="1:8" ht="14.25" customHeight="1">
      <c r="C1074" s="213"/>
      <c r="D1074" s="213"/>
      <c r="F1074" s="213"/>
    </row>
    <row r="1075" spans="1:8" ht="14.25" customHeight="1">
      <c r="A1075" t="s">
        <v>139</v>
      </c>
      <c r="B1075" t="s">
        <v>71</v>
      </c>
      <c r="C1075" s="213"/>
      <c r="D1075" s="213"/>
      <c r="F1075" s="213"/>
      <c r="G1075" s="216" t="s">
        <v>140</v>
      </c>
      <c r="H1075" s="216" t="s">
        <v>353</v>
      </c>
    </row>
    <row r="1076" spans="1:8" ht="14.25" customHeight="1">
      <c r="A1076" t="s">
        <v>142</v>
      </c>
      <c r="B1076" t="s">
        <v>26</v>
      </c>
      <c r="C1076" s="213"/>
      <c r="D1076" s="213"/>
      <c r="F1076" s="216" t="s">
        <v>143</v>
      </c>
      <c r="G1076" s="279">
        <f>H1079+H1086+H1094+H1098</f>
        <v>31479</v>
      </c>
    </row>
    <row r="1077" spans="1:8" ht="14.25" customHeight="1">
      <c r="A1077" s="214" t="s">
        <v>145</v>
      </c>
      <c r="C1077" s="213"/>
      <c r="D1077" s="213"/>
      <c r="F1077" s="213"/>
    </row>
    <row r="1078" spans="1:8" ht="14.25" customHeight="1">
      <c r="A1078" s="233" t="s">
        <v>147</v>
      </c>
      <c r="B1078" s="222"/>
      <c r="C1078" s="221" t="s">
        <v>148</v>
      </c>
      <c r="D1078" s="221"/>
      <c r="E1078" s="222" t="s">
        <v>149</v>
      </c>
      <c r="F1078" s="221" t="s">
        <v>150</v>
      </c>
      <c r="G1078" s="222" t="s">
        <v>151</v>
      </c>
      <c r="H1078" s="223" t="s">
        <v>152</v>
      </c>
    </row>
    <row r="1079" spans="1:8" ht="14.25" customHeight="1">
      <c r="A1079" s="459" t="s">
        <v>269</v>
      </c>
      <c r="B1079" s="451"/>
      <c r="C1079" s="224"/>
      <c r="D1079" s="224"/>
      <c r="E1079" s="228">
        <v>0</v>
      </c>
      <c r="F1079" s="287">
        <v>0</v>
      </c>
      <c r="G1079" s="228">
        <v>0</v>
      </c>
      <c r="H1079" s="449">
        <f>SUM(G1079:G1082)</f>
        <v>8479</v>
      </c>
    </row>
    <row r="1080" spans="1:8" ht="14.25" customHeight="1">
      <c r="A1080" s="227" t="s">
        <v>270</v>
      </c>
      <c r="B1080" s="228"/>
      <c r="C1080" s="224" t="s">
        <v>344</v>
      </c>
      <c r="D1080" s="224"/>
      <c r="E1080" s="226">
        <v>2500</v>
      </c>
      <c r="F1080" s="287">
        <v>1</v>
      </c>
      <c r="G1080" s="226">
        <f t="shared" ref="G1080:G1082" si="170">E1080*F1080</f>
        <v>2500</v>
      </c>
      <c r="H1080" s="447"/>
    </row>
    <row r="1081" spans="1:8" ht="14.25" customHeight="1">
      <c r="A1081" s="459" t="s">
        <v>354</v>
      </c>
      <c r="B1081" s="451"/>
      <c r="C1081" s="224" t="s">
        <v>344</v>
      </c>
      <c r="D1081" s="224"/>
      <c r="E1081" s="226">
        <v>5625</v>
      </c>
      <c r="F1081" s="287">
        <v>1</v>
      </c>
      <c r="G1081" s="226">
        <f t="shared" si="170"/>
        <v>5625</v>
      </c>
      <c r="H1081" s="447"/>
    </row>
    <row r="1082" spans="1:8" ht="14.25" customHeight="1">
      <c r="A1082" s="267" t="s">
        <v>156</v>
      </c>
      <c r="B1082" s="260"/>
      <c r="C1082" s="229" t="s">
        <v>191</v>
      </c>
      <c r="D1082" s="229"/>
      <c r="E1082" s="232">
        <v>354</v>
      </c>
      <c r="F1082" s="288">
        <v>1</v>
      </c>
      <c r="G1082" s="232">
        <f t="shared" si="170"/>
        <v>354</v>
      </c>
      <c r="H1082" s="448"/>
    </row>
    <row r="1083" spans="1:8" ht="14.25" customHeight="1">
      <c r="C1083" s="213"/>
      <c r="D1083" s="213"/>
      <c r="E1083" s="220"/>
      <c r="F1083" s="289"/>
      <c r="G1083" s="220"/>
      <c r="H1083" s="220"/>
    </row>
    <row r="1084" spans="1:8" ht="14.25" customHeight="1">
      <c r="A1084" s="214" t="s">
        <v>157</v>
      </c>
      <c r="C1084" s="213"/>
      <c r="D1084" s="213"/>
      <c r="E1084" s="220"/>
      <c r="F1084" s="289"/>
      <c r="G1084" s="220"/>
      <c r="H1084" s="220"/>
    </row>
    <row r="1085" spans="1:8" ht="14.25" customHeight="1">
      <c r="A1085" s="233" t="s">
        <v>147</v>
      </c>
      <c r="B1085" s="222"/>
      <c r="C1085" s="221" t="s">
        <v>158</v>
      </c>
      <c r="D1085" s="221"/>
      <c r="E1085" s="283" t="s">
        <v>159</v>
      </c>
      <c r="F1085" s="290" t="s">
        <v>160</v>
      </c>
      <c r="G1085" s="283" t="s">
        <v>161</v>
      </c>
      <c r="H1085" s="285" t="s">
        <v>152</v>
      </c>
    </row>
    <row r="1086" spans="1:8" ht="14.25" customHeight="1">
      <c r="A1086" s="473">
        <v>0</v>
      </c>
      <c r="B1086" s="451"/>
      <c r="C1086" s="224" t="s">
        <v>24</v>
      </c>
      <c r="D1086" s="224"/>
      <c r="E1086" s="226">
        <v>9590</v>
      </c>
      <c r="F1086" s="287">
        <v>0</v>
      </c>
      <c r="G1086" s="226">
        <v>0</v>
      </c>
      <c r="H1086" s="449">
        <v>0</v>
      </c>
    </row>
    <row r="1087" spans="1:8" ht="14.25" customHeight="1">
      <c r="A1087" s="473">
        <v>0</v>
      </c>
      <c r="B1087" s="451"/>
      <c r="C1087" s="224" t="s">
        <v>24</v>
      </c>
      <c r="D1087" s="224"/>
      <c r="E1087" s="226">
        <v>11650</v>
      </c>
      <c r="F1087" s="287">
        <v>0</v>
      </c>
      <c r="G1087" s="226">
        <v>0</v>
      </c>
      <c r="H1087" s="447"/>
    </row>
    <row r="1088" spans="1:8" ht="14.25" customHeight="1">
      <c r="A1088" s="473">
        <v>0</v>
      </c>
      <c r="B1088" s="451"/>
      <c r="C1088" s="224" t="s">
        <v>24</v>
      </c>
      <c r="D1088" s="224"/>
      <c r="E1088" s="226">
        <v>7333.3333333333303</v>
      </c>
      <c r="F1088" s="287">
        <v>0</v>
      </c>
      <c r="G1088" s="226">
        <v>0</v>
      </c>
      <c r="H1088" s="447"/>
    </row>
    <row r="1089" spans="1:8" ht="14.25" customHeight="1">
      <c r="A1089" s="473">
        <v>0</v>
      </c>
      <c r="B1089" s="451"/>
      <c r="C1089" s="224" t="s">
        <v>308</v>
      </c>
      <c r="D1089" s="224"/>
      <c r="E1089" s="226">
        <v>12000</v>
      </c>
      <c r="F1089" s="287">
        <v>0</v>
      </c>
      <c r="G1089" s="226">
        <v>0</v>
      </c>
      <c r="H1089" s="447"/>
    </row>
    <row r="1090" spans="1:8" ht="14.25" customHeight="1">
      <c r="A1090" s="458">
        <v>0</v>
      </c>
      <c r="B1090" s="454"/>
      <c r="C1090" s="229" t="s">
        <v>24</v>
      </c>
      <c r="D1090" s="229"/>
      <c r="E1090" s="232">
        <v>1800</v>
      </c>
      <c r="F1090" s="288">
        <v>0</v>
      </c>
      <c r="G1090" s="232">
        <v>0</v>
      </c>
      <c r="H1090" s="448"/>
    </row>
    <row r="1091" spans="1:8" ht="14.25" customHeight="1">
      <c r="C1091" s="213"/>
      <c r="D1091" s="213"/>
      <c r="E1091" s="220"/>
      <c r="F1091" s="289"/>
      <c r="G1091" s="220"/>
      <c r="H1091" s="220"/>
    </row>
    <row r="1092" spans="1:8" ht="14.25" customHeight="1">
      <c r="A1092" s="214" t="s">
        <v>165</v>
      </c>
      <c r="C1092" s="213"/>
      <c r="D1092" s="213"/>
      <c r="E1092" s="220"/>
      <c r="F1092" s="289"/>
      <c r="G1092" s="220"/>
      <c r="H1092" s="220"/>
    </row>
    <row r="1093" spans="1:8" ht="14.25" customHeight="1">
      <c r="A1093" s="233" t="s">
        <v>147</v>
      </c>
      <c r="B1093" s="222"/>
      <c r="C1093" s="221" t="s">
        <v>166</v>
      </c>
      <c r="D1093" s="221" t="s">
        <v>167</v>
      </c>
      <c r="E1093" s="283" t="s">
        <v>168</v>
      </c>
      <c r="F1093" s="290" t="s">
        <v>169</v>
      </c>
      <c r="G1093" s="283" t="s">
        <v>170</v>
      </c>
      <c r="H1093" s="285" t="s">
        <v>152</v>
      </c>
    </row>
    <row r="1094" spans="1:8" ht="14.25" customHeight="1">
      <c r="A1094" s="267" t="s">
        <v>282</v>
      </c>
      <c r="B1094" s="260"/>
      <c r="C1094" s="229">
        <v>5</v>
      </c>
      <c r="D1094" s="229">
        <v>10</v>
      </c>
      <c r="E1094" s="232">
        <v>100</v>
      </c>
      <c r="F1094" s="288">
        <v>1</v>
      </c>
      <c r="G1094" s="232">
        <v>5000</v>
      </c>
      <c r="H1094" s="242">
        <v>5000</v>
      </c>
    </row>
    <row r="1095" spans="1:8" ht="14.25" customHeight="1">
      <c r="C1095" s="213"/>
      <c r="D1095" s="213"/>
      <c r="E1095" s="220"/>
      <c r="F1095" s="289"/>
      <c r="G1095" s="220"/>
      <c r="H1095" s="220"/>
    </row>
    <row r="1096" spans="1:8" ht="14.25" customHeight="1">
      <c r="A1096" s="214" t="s">
        <v>172</v>
      </c>
      <c r="C1096" s="213"/>
      <c r="D1096" s="213"/>
      <c r="E1096" s="220"/>
      <c r="F1096" s="289"/>
      <c r="G1096" s="220"/>
      <c r="H1096" s="220"/>
    </row>
    <row r="1097" spans="1:8" ht="14.25" customHeight="1">
      <c r="A1097" s="228" t="s">
        <v>147</v>
      </c>
      <c r="B1097" s="228"/>
      <c r="C1097" s="224" t="s">
        <v>173</v>
      </c>
      <c r="D1097" s="224" t="s">
        <v>174</v>
      </c>
      <c r="E1097" s="226" t="s">
        <v>175</v>
      </c>
      <c r="F1097" s="287" t="s">
        <v>150</v>
      </c>
      <c r="G1097" s="226" t="s">
        <v>176</v>
      </c>
      <c r="H1097" s="226" t="s">
        <v>152</v>
      </c>
    </row>
    <row r="1098" spans="1:8" ht="14.25" customHeight="1">
      <c r="A1098" s="228" t="s">
        <v>177</v>
      </c>
      <c r="B1098" s="228"/>
      <c r="C1098" s="224">
        <v>55000</v>
      </c>
      <c r="D1098" s="224">
        <v>0</v>
      </c>
      <c r="E1098" s="226">
        <v>55000</v>
      </c>
      <c r="F1098" s="281">
        <v>0.2</v>
      </c>
      <c r="G1098" s="226">
        <f t="shared" ref="G1098:G1099" si="171">E1098*F1098</f>
        <v>11000</v>
      </c>
      <c r="H1098" s="467">
        <f>SUM(G1098:G1099)</f>
        <v>18000</v>
      </c>
    </row>
    <row r="1099" spans="1:8" ht="14.25" customHeight="1">
      <c r="A1099" s="228" t="s">
        <v>178</v>
      </c>
      <c r="B1099" s="228"/>
      <c r="C1099" s="224">
        <v>35000</v>
      </c>
      <c r="D1099" s="224">
        <v>0</v>
      </c>
      <c r="E1099" s="226">
        <v>35000</v>
      </c>
      <c r="F1099" s="281">
        <v>0.2</v>
      </c>
      <c r="G1099" s="226">
        <f t="shared" si="171"/>
        <v>7000</v>
      </c>
      <c r="H1099" s="469"/>
    </row>
    <row r="1100" spans="1:8" ht="14.25" customHeight="1">
      <c r="C1100" s="213"/>
      <c r="D1100" s="213"/>
      <c r="F1100" s="213"/>
    </row>
    <row r="1101" spans="1:8" ht="14.25" customHeight="1">
      <c r="C1101" s="213"/>
      <c r="D1101" s="213"/>
      <c r="F1101" s="213"/>
    </row>
    <row r="1102" spans="1:8" ht="14.25" customHeight="1">
      <c r="C1102" s="213"/>
      <c r="D1102" s="213"/>
      <c r="F1102" s="213"/>
    </row>
    <row r="1103" spans="1:8" ht="14.25" customHeight="1">
      <c r="C1103" s="213"/>
      <c r="D1103" s="213"/>
      <c r="F1103" s="213"/>
    </row>
    <row r="1104" spans="1:8" ht="14.25" customHeight="1">
      <c r="C1104" s="213"/>
      <c r="D1104" s="213"/>
      <c r="F1104" s="213"/>
    </row>
    <row r="1105" spans="1:8" ht="14.25" customHeight="1">
      <c r="C1105" s="213"/>
      <c r="D1105" s="213"/>
      <c r="F1105" s="213"/>
    </row>
    <row r="1106" spans="1:8" ht="14.25" customHeight="1">
      <c r="C1106" s="213"/>
      <c r="D1106" s="213"/>
      <c r="F1106" s="213"/>
    </row>
    <row r="1107" spans="1:8" ht="14.25" customHeight="1">
      <c r="C1107" s="213"/>
      <c r="D1107" s="213"/>
      <c r="F1107" s="213"/>
    </row>
    <row r="1108" spans="1:8" ht="14.25" customHeight="1">
      <c r="A1108" s="481" t="s">
        <v>137</v>
      </c>
      <c r="B1108" s="430"/>
      <c r="C1108" s="481" t="s">
        <v>355</v>
      </c>
      <c r="D1108" s="430"/>
      <c r="E1108" s="430"/>
      <c r="F1108" s="430"/>
      <c r="G1108" s="430"/>
      <c r="H1108" s="430"/>
    </row>
    <row r="1109" spans="1:8" ht="14.25" customHeight="1">
      <c r="A1109" s="220"/>
      <c r="B1109" s="220"/>
      <c r="C1109" s="270"/>
      <c r="D1109" s="270"/>
      <c r="E1109" s="220"/>
      <c r="F1109" s="270"/>
      <c r="G1109" s="220"/>
      <c r="H1109" s="220"/>
    </row>
    <row r="1110" spans="1:8" ht="14.25" customHeight="1">
      <c r="A1110" s="220" t="s">
        <v>139</v>
      </c>
      <c r="B1110" s="220" t="s">
        <v>72</v>
      </c>
      <c r="C1110" s="270"/>
      <c r="D1110" s="270"/>
      <c r="E1110" s="220"/>
      <c r="F1110" s="270"/>
      <c r="G1110" s="291" t="s">
        <v>140</v>
      </c>
      <c r="H1110" s="291" t="s">
        <v>353</v>
      </c>
    </row>
    <row r="1111" spans="1:8" ht="14.25" customHeight="1">
      <c r="A1111" s="220" t="s">
        <v>142</v>
      </c>
      <c r="B1111" s="220" t="s">
        <v>26</v>
      </c>
      <c r="C1111" s="270"/>
      <c r="D1111" s="270"/>
      <c r="E1111" s="220"/>
      <c r="F1111" s="291" t="s">
        <v>143</v>
      </c>
      <c r="G1111" s="279">
        <f>H1114+H1121+H1129+H1133</f>
        <v>26540</v>
      </c>
      <c r="H1111" s="220"/>
    </row>
    <row r="1112" spans="1:8" ht="14.25" customHeight="1">
      <c r="A1112" s="279" t="s">
        <v>145</v>
      </c>
      <c r="B1112" s="220"/>
      <c r="C1112" s="270"/>
      <c r="D1112" s="270"/>
      <c r="E1112" s="220"/>
      <c r="F1112" s="270"/>
      <c r="G1112" s="220"/>
      <c r="H1112" s="220"/>
    </row>
    <row r="1113" spans="1:8" ht="14.25" customHeight="1">
      <c r="A1113" s="292" t="s">
        <v>147</v>
      </c>
      <c r="B1113" s="283"/>
      <c r="C1113" s="284" t="s">
        <v>148</v>
      </c>
      <c r="D1113" s="284"/>
      <c r="E1113" s="283" t="s">
        <v>149</v>
      </c>
      <c r="F1113" s="284" t="s">
        <v>150</v>
      </c>
      <c r="G1113" s="283" t="s">
        <v>151</v>
      </c>
      <c r="H1113" s="285" t="s">
        <v>152</v>
      </c>
    </row>
    <row r="1114" spans="1:8" ht="14.25" customHeight="1">
      <c r="A1114" s="293" t="s">
        <v>269</v>
      </c>
      <c r="B1114" s="226"/>
      <c r="C1114" s="225"/>
      <c r="D1114" s="225"/>
      <c r="E1114" s="226">
        <v>0</v>
      </c>
      <c r="F1114" s="225">
        <v>0</v>
      </c>
      <c r="G1114" s="226">
        <f t="shared" ref="G1114:G1117" si="172">E1114*F1114</f>
        <v>0</v>
      </c>
      <c r="H1114" s="449">
        <f>SUM(G1114:G1117)</f>
        <v>3540</v>
      </c>
    </row>
    <row r="1115" spans="1:8" ht="14.25" customHeight="1">
      <c r="A1115" s="293" t="s">
        <v>154</v>
      </c>
      <c r="B1115" s="226"/>
      <c r="C1115" s="225"/>
      <c r="D1115" s="225"/>
      <c r="E1115" s="226">
        <v>2513.75</v>
      </c>
      <c r="F1115" s="225">
        <v>0</v>
      </c>
      <c r="G1115" s="226">
        <f t="shared" si="172"/>
        <v>0</v>
      </c>
      <c r="H1115" s="447"/>
    </row>
    <row r="1116" spans="1:8" ht="14.25" customHeight="1">
      <c r="A1116" s="293" t="s">
        <v>155</v>
      </c>
      <c r="B1116" s="226"/>
      <c r="C1116" s="225" t="s">
        <v>344</v>
      </c>
      <c r="D1116" s="225"/>
      <c r="E1116" s="226">
        <v>5625</v>
      </c>
      <c r="F1116" s="225">
        <v>0</v>
      </c>
      <c r="G1116" s="226">
        <f t="shared" si="172"/>
        <v>0</v>
      </c>
      <c r="H1116" s="447"/>
    </row>
    <row r="1117" spans="1:8" ht="14.25" customHeight="1">
      <c r="A1117" s="294" t="s">
        <v>156</v>
      </c>
      <c r="B1117" s="232"/>
      <c r="C1117" s="230" t="s">
        <v>191</v>
      </c>
      <c r="D1117" s="230"/>
      <c r="E1117" s="232">
        <v>354</v>
      </c>
      <c r="F1117" s="230">
        <v>10</v>
      </c>
      <c r="G1117" s="232">
        <f t="shared" si="172"/>
        <v>3540</v>
      </c>
      <c r="H1117" s="448"/>
    </row>
    <row r="1118" spans="1:8" ht="14.25" customHeight="1">
      <c r="A1118" s="220"/>
      <c r="B1118" s="220"/>
      <c r="C1118" s="270"/>
      <c r="D1118" s="270"/>
      <c r="E1118" s="220"/>
      <c r="F1118" s="270"/>
      <c r="G1118" s="220"/>
      <c r="H1118" s="220"/>
    </row>
    <row r="1119" spans="1:8" ht="14.25" customHeight="1">
      <c r="A1119" s="279" t="s">
        <v>157</v>
      </c>
      <c r="B1119" s="220"/>
      <c r="C1119" s="270"/>
      <c r="D1119" s="270"/>
      <c r="E1119" s="220"/>
      <c r="F1119" s="270"/>
      <c r="G1119" s="220"/>
      <c r="H1119" s="220"/>
    </row>
    <row r="1120" spans="1:8" ht="14.25" customHeight="1">
      <c r="A1120" s="292" t="s">
        <v>147</v>
      </c>
      <c r="B1120" s="283"/>
      <c r="C1120" s="284" t="s">
        <v>158</v>
      </c>
      <c r="D1120" s="284"/>
      <c r="E1120" s="283" t="s">
        <v>159</v>
      </c>
      <c r="F1120" s="284" t="s">
        <v>160</v>
      </c>
      <c r="G1120" s="283" t="s">
        <v>161</v>
      </c>
      <c r="H1120" s="285" t="s">
        <v>152</v>
      </c>
    </row>
    <row r="1121" spans="1:8" ht="14.25" customHeight="1">
      <c r="A1121" s="293">
        <v>0</v>
      </c>
      <c r="B1121" s="226"/>
      <c r="C1121" s="225" t="s">
        <v>24</v>
      </c>
      <c r="D1121" s="225"/>
      <c r="E1121" s="226">
        <v>9590</v>
      </c>
      <c r="F1121" s="225">
        <v>0</v>
      </c>
      <c r="G1121" s="226">
        <f t="shared" ref="G1121:G1125" si="173">E1121*F1121</f>
        <v>0</v>
      </c>
      <c r="H1121" s="449">
        <v>0</v>
      </c>
    </row>
    <row r="1122" spans="1:8" ht="14.25" customHeight="1">
      <c r="A1122" s="293">
        <v>0</v>
      </c>
      <c r="B1122" s="226"/>
      <c r="C1122" s="225" t="s">
        <v>24</v>
      </c>
      <c r="D1122" s="225"/>
      <c r="E1122" s="226">
        <v>11650</v>
      </c>
      <c r="F1122" s="225">
        <v>0</v>
      </c>
      <c r="G1122" s="226">
        <f t="shared" si="173"/>
        <v>0</v>
      </c>
      <c r="H1122" s="447"/>
    </row>
    <row r="1123" spans="1:8" ht="14.25" customHeight="1">
      <c r="A1123" s="293">
        <v>0</v>
      </c>
      <c r="B1123" s="226"/>
      <c r="C1123" s="225" t="s">
        <v>24</v>
      </c>
      <c r="D1123" s="225"/>
      <c r="E1123" s="226">
        <v>7333.3333333333303</v>
      </c>
      <c r="F1123" s="225">
        <v>0</v>
      </c>
      <c r="G1123" s="226">
        <f t="shared" si="173"/>
        <v>0</v>
      </c>
      <c r="H1123" s="447"/>
    </row>
    <row r="1124" spans="1:8" ht="14.25" customHeight="1">
      <c r="A1124" s="293">
        <v>0</v>
      </c>
      <c r="B1124" s="226"/>
      <c r="C1124" s="225" t="s">
        <v>308</v>
      </c>
      <c r="D1124" s="225"/>
      <c r="E1124" s="226">
        <v>12000</v>
      </c>
      <c r="F1124" s="225">
        <v>0</v>
      </c>
      <c r="G1124" s="226">
        <f t="shared" si="173"/>
        <v>0</v>
      </c>
      <c r="H1124" s="447"/>
    </row>
    <row r="1125" spans="1:8" ht="14.25" customHeight="1">
      <c r="A1125" s="294">
        <v>0</v>
      </c>
      <c r="B1125" s="232"/>
      <c r="C1125" s="230" t="s">
        <v>24</v>
      </c>
      <c r="D1125" s="230"/>
      <c r="E1125" s="232">
        <v>1800</v>
      </c>
      <c r="F1125" s="230">
        <v>0</v>
      </c>
      <c r="G1125" s="232">
        <f t="shared" si="173"/>
        <v>0</v>
      </c>
      <c r="H1125" s="448"/>
    </row>
    <row r="1126" spans="1:8" ht="14.25" customHeight="1">
      <c r="A1126" s="220"/>
      <c r="B1126" s="220"/>
      <c r="C1126" s="270"/>
      <c r="D1126" s="270"/>
      <c r="E1126" s="220"/>
      <c r="F1126" s="270"/>
      <c r="G1126" s="220"/>
      <c r="H1126" s="220"/>
    </row>
    <row r="1127" spans="1:8" ht="14.25" customHeight="1">
      <c r="A1127" s="279" t="s">
        <v>165</v>
      </c>
      <c r="B1127" s="220"/>
      <c r="C1127" s="270"/>
      <c r="D1127" s="270"/>
      <c r="E1127" s="220"/>
      <c r="F1127" s="270"/>
      <c r="G1127" s="220"/>
      <c r="H1127" s="220"/>
    </row>
    <row r="1128" spans="1:8" ht="14.25" customHeight="1">
      <c r="A1128" s="292" t="s">
        <v>147</v>
      </c>
      <c r="B1128" s="283"/>
      <c r="C1128" s="284" t="s">
        <v>166</v>
      </c>
      <c r="D1128" s="284" t="s">
        <v>167</v>
      </c>
      <c r="E1128" s="283" t="s">
        <v>168</v>
      </c>
      <c r="F1128" s="284" t="s">
        <v>169</v>
      </c>
      <c r="G1128" s="283" t="s">
        <v>170</v>
      </c>
      <c r="H1128" s="285" t="s">
        <v>152</v>
      </c>
    </row>
    <row r="1129" spans="1:8" ht="14.25" customHeight="1">
      <c r="A1129" s="294" t="s">
        <v>282</v>
      </c>
      <c r="B1129" s="232"/>
      <c r="C1129" s="230">
        <v>5</v>
      </c>
      <c r="D1129" s="230">
        <v>10</v>
      </c>
      <c r="E1129" s="232">
        <v>100</v>
      </c>
      <c r="F1129" s="230">
        <v>1</v>
      </c>
      <c r="G1129" s="232">
        <v>5000</v>
      </c>
      <c r="H1129" s="242">
        <v>5000</v>
      </c>
    </row>
    <row r="1130" spans="1:8" ht="14.25" customHeight="1">
      <c r="A1130" s="220"/>
      <c r="B1130" s="220"/>
      <c r="C1130" s="270"/>
      <c r="D1130" s="270"/>
      <c r="E1130" s="220"/>
      <c r="F1130" s="270"/>
      <c r="G1130" s="220"/>
      <c r="H1130" s="220"/>
    </row>
    <row r="1131" spans="1:8" ht="14.25" customHeight="1">
      <c r="A1131" s="279" t="s">
        <v>172</v>
      </c>
      <c r="B1131" s="220"/>
      <c r="C1131" s="270"/>
      <c r="D1131" s="270"/>
      <c r="E1131" s="220"/>
      <c r="F1131" s="270"/>
      <c r="G1131" s="220"/>
      <c r="H1131" s="220"/>
    </row>
    <row r="1132" spans="1:8" ht="14.25" customHeight="1">
      <c r="A1132" s="292" t="s">
        <v>147</v>
      </c>
      <c r="B1132" s="283"/>
      <c r="C1132" s="284" t="s">
        <v>173</v>
      </c>
      <c r="D1132" s="284" t="s">
        <v>174</v>
      </c>
      <c r="E1132" s="283" t="s">
        <v>175</v>
      </c>
      <c r="F1132" s="284" t="s">
        <v>150</v>
      </c>
      <c r="G1132" s="283" t="s">
        <v>176</v>
      </c>
      <c r="H1132" s="285" t="s">
        <v>152</v>
      </c>
    </row>
    <row r="1133" spans="1:8" ht="14.25" customHeight="1">
      <c r="A1133" s="293" t="s">
        <v>177</v>
      </c>
      <c r="B1133" s="226"/>
      <c r="C1133" s="225">
        <v>55000</v>
      </c>
      <c r="D1133" s="225">
        <v>0</v>
      </c>
      <c r="E1133" s="226">
        <v>55000</v>
      </c>
      <c r="F1133" s="244">
        <v>0.2</v>
      </c>
      <c r="G1133" s="226">
        <f t="shared" ref="G1133:G1134" si="174">E1133*F1133</f>
        <v>11000</v>
      </c>
      <c r="H1133" s="449">
        <f>SUM(G1133:G1134)</f>
        <v>18000</v>
      </c>
    </row>
    <row r="1134" spans="1:8" ht="14.25" customHeight="1">
      <c r="A1134" s="294" t="s">
        <v>178</v>
      </c>
      <c r="B1134" s="232"/>
      <c r="C1134" s="230">
        <v>35000</v>
      </c>
      <c r="D1134" s="230">
        <v>0</v>
      </c>
      <c r="E1134" s="232">
        <v>35000</v>
      </c>
      <c r="F1134" s="245">
        <v>0.2</v>
      </c>
      <c r="G1134" s="232">
        <f t="shared" si="174"/>
        <v>7000</v>
      </c>
      <c r="H1134" s="448"/>
    </row>
    <row r="1135" spans="1:8" ht="14.25" customHeight="1">
      <c r="C1135" s="213"/>
      <c r="D1135" s="213"/>
      <c r="F1135" s="213"/>
    </row>
    <row r="1136" spans="1:8" ht="14.25" customHeight="1">
      <c r="C1136" s="213"/>
      <c r="D1136" s="213"/>
      <c r="F1136" s="213"/>
    </row>
    <row r="1137" spans="1:8" ht="14.25" customHeight="1">
      <c r="C1137" s="213"/>
      <c r="D1137" s="213"/>
      <c r="F1137" s="213"/>
    </row>
    <row r="1138" spans="1:8" ht="14.25" customHeight="1">
      <c r="C1138" s="213"/>
      <c r="D1138" s="213"/>
      <c r="F1138" s="213"/>
    </row>
    <row r="1139" spans="1:8" ht="14.25" customHeight="1">
      <c r="C1139" s="213"/>
      <c r="D1139" s="213"/>
      <c r="F1139" s="213"/>
    </row>
    <row r="1140" spans="1:8" ht="14.25" customHeight="1">
      <c r="A1140" s="463" t="s">
        <v>137</v>
      </c>
      <c r="B1140" s="430"/>
      <c r="C1140" s="455" t="s">
        <v>356</v>
      </c>
      <c r="D1140" s="430"/>
      <c r="E1140" s="430"/>
      <c r="F1140" s="430"/>
      <c r="G1140" s="430"/>
      <c r="H1140" s="430"/>
    </row>
    <row r="1141" spans="1:8" ht="14.25" customHeight="1">
      <c r="A1141" t="s">
        <v>139</v>
      </c>
      <c r="B1141" s="487" t="s">
        <v>357</v>
      </c>
      <c r="C1141" s="430"/>
      <c r="D1141" s="430"/>
      <c r="E1141" s="430"/>
      <c r="F1141" s="430"/>
      <c r="G1141" s="216" t="s">
        <v>140</v>
      </c>
      <c r="H1141" s="216" t="s">
        <v>358</v>
      </c>
    </row>
    <row r="1142" spans="1:8" ht="14.25" customHeight="1">
      <c r="A1142" t="s">
        <v>142</v>
      </c>
      <c r="B1142" t="s">
        <v>26</v>
      </c>
      <c r="C1142" s="213"/>
      <c r="D1142" s="213"/>
      <c r="F1142" s="216" t="s">
        <v>143</v>
      </c>
      <c r="G1142" s="279">
        <f>H1145+H1152+H1160+H1164</f>
        <v>35575.75</v>
      </c>
    </row>
    <row r="1143" spans="1:8" ht="14.25" customHeight="1">
      <c r="A1143" t="s">
        <v>145</v>
      </c>
      <c r="C1143" s="213"/>
      <c r="D1143" s="213"/>
      <c r="F1143" s="213"/>
    </row>
    <row r="1144" spans="1:8" ht="14.25" customHeight="1">
      <c r="A1144" s="233" t="s">
        <v>147</v>
      </c>
      <c r="B1144" s="222"/>
      <c r="C1144" s="221" t="s">
        <v>148</v>
      </c>
      <c r="D1144" s="221"/>
      <c r="E1144" s="222" t="s">
        <v>149</v>
      </c>
      <c r="F1144" s="221" t="s">
        <v>150</v>
      </c>
      <c r="G1144" s="222" t="s">
        <v>151</v>
      </c>
      <c r="H1144" s="223" t="s">
        <v>152</v>
      </c>
    </row>
    <row r="1145" spans="1:8" ht="14.25" customHeight="1">
      <c r="A1145" s="459" t="s">
        <v>269</v>
      </c>
      <c r="B1145" s="451"/>
      <c r="C1145" s="224"/>
      <c r="D1145" s="224"/>
      <c r="E1145" s="226">
        <v>0</v>
      </c>
      <c r="F1145" s="224">
        <v>0</v>
      </c>
      <c r="G1145" s="226">
        <f t="shared" ref="G1145:G1148" si="175">E1145*F1145</f>
        <v>0</v>
      </c>
      <c r="H1145" s="449">
        <f>SUM(G1145:G1148)</f>
        <v>4575.75</v>
      </c>
    </row>
    <row r="1146" spans="1:8" ht="14.25" customHeight="1">
      <c r="A1146" s="227" t="s">
        <v>154</v>
      </c>
      <c r="B1146" s="228"/>
      <c r="C1146" s="224"/>
      <c r="D1146" s="224"/>
      <c r="E1146" s="226">
        <v>3513.75</v>
      </c>
      <c r="F1146" s="224">
        <v>1</v>
      </c>
      <c r="G1146" s="226">
        <f t="shared" si="175"/>
        <v>3513.75</v>
      </c>
      <c r="H1146" s="447"/>
    </row>
    <row r="1147" spans="1:8" ht="14.25" customHeight="1">
      <c r="A1147" s="227" t="s">
        <v>155</v>
      </c>
      <c r="B1147" s="228"/>
      <c r="C1147" s="224" t="s">
        <v>344</v>
      </c>
      <c r="D1147" s="224"/>
      <c r="E1147" s="226">
        <v>5625</v>
      </c>
      <c r="F1147" s="224">
        <v>0</v>
      </c>
      <c r="G1147" s="226">
        <f t="shared" si="175"/>
        <v>0</v>
      </c>
      <c r="H1147" s="447"/>
    </row>
    <row r="1148" spans="1:8" ht="14.25" customHeight="1">
      <c r="A1148" s="267" t="s">
        <v>156</v>
      </c>
      <c r="B1148" s="260"/>
      <c r="C1148" s="229" t="s">
        <v>191</v>
      </c>
      <c r="D1148" s="229"/>
      <c r="E1148" s="232">
        <v>354</v>
      </c>
      <c r="F1148" s="229">
        <v>3</v>
      </c>
      <c r="G1148" s="232">
        <f t="shared" si="175"/>
        <v>1062</v>
      </c>
      <c r="H1148" s="448"/>
    </row>
    <row r="1149" spans="1:8" ht="14.25" customHeight="1">
      <c r="C1149" s="213"/>
      <c r="D1149" s="213"/>
      <c r="F1149" s="213"/>
      <c r="H1149" s="220"/>
    </row>
    <row r="1150" spans="1:8" ht="14.25" customHeight="1">
      <c r="A1150" s="214" t="s">
        <v>157</v>
      </c>
      <c r="C1150" s="213"/>
      <c r="D1150" s="213"/>
      <c r="F1150" s="213"/>
      <c r="H1150" s="220"/>
    </row>
    <row r="1151" spans="1:8" ht="14.25" customHeight="1">
      <c r="A1151" s="233" t="s">
        <v>147</v>
      </c>
      <c r="B1151" s="222"/>
      <c r="C1151" s="221" t="s">
        <v>158</v>
      </c>
      <c r="D1151" s="221"/>
      <c r="E1151" s="222" t="s">
        <v>159</v>
      </c>
      <c r="F1151" s="221" t="s">
        <v>160</v>
      </c>
      <c r="G1151" s="222" t="s">
        <v>161</v>
      </c>
      <c r="H1151" s="285" t="s">
        <v>152</v>
      </c>
    </row>
    <row r="1152" spans="1:8" ht="14.25" customHeight="1">
      <c r="A1152" s="459">
        <v>0</v>
      </c>
      <c r="B1152" s="451"/>
      <c r="C1152" s="224" t="s">
        <v>24</v>
      </c>
      <c r="D1152" s="224"/>
      <c r="E1152" s="226">
        <v>9590</v>
      </c>
      <c r="F1152" s="224">
        <v>0</v>
      </c>
      <c r="G1152" s="228">
        <f t="shared" ref="G1152:G1156" si="176">E1152*F1152</f>
        <v>0</v>
      </c>
      <c r="H1152" s="449">
        <v>0</v>
      </c>
    </row>
    <row r="1153" spans="1:8" ht="14.25" customHeight="1">
      <c r="A1153" s="459">
        <v>0</v>
      </c>
      <c r="B1153" s="451"/>
      <c r="C1153" s="224" t="s">
        <v>24</v>
      </c>
      <c r="D1153" s="224"/>
      <c r="E1153" s="226">
        <v>11650</v>
      </c>
      <c r="F1153" s="224">
        <v>0</v>
      </c>
      <c r="G1153" s="228">
        <f t="shared" si="176"/>
        <v>0</v>
      </c>
      <c r="H1153" s="447"/>
    </row>
    <row r="1154" spans="1:8" ht="14.25" customHeight="1">
      <c r="A1154" s="459">
        <v>0</v>
      </c>
      <c r="B1154" s="451"/>
      <c r="C1154" s="224" t="s">
        <v>24</v>
      </c>
      <c r="D1154" s="224"/>
      <c r="E1154" s="226">
        <v>7333.3333333333303</v>
      </c>
      <c r="F1154" s="224">
        <v>0</v>
      </c>
      <c r="G1154" s="228">
        <f t="shared" si="176"/>
        <v>0</v>
      </c>
      <c r="H1154" s="447"/>
    </row>
    <row r="1155" spans="1:8" ht="14.25" customHeight="1">
      <c r="A1155" s="459">
        <v>0</v>
      </c>
      <c r="B1155" s="451"/>
      <c r="C1155" s="224" t="s">
        <v>308</v>
      </c>
      <c r="D1155" s="224"/>
      <c r="E1155" s="226">
        <v>12000</v>
      </c>
      <c r="F1155" s="224">
        <v>0</v>
      </c>
      <c r="G1155" s="228">
        <f t="shared" si="176"/>
        <v>0</v>
      </c>
      <c r="H1155" s="447"/>
    </row>
    <row r="1156" spans="1:8" ht="14.25" customHeight="1">
      <c r="A1156" s="460">
        <v>0</v>
      </c>
      <c r="B1156" s="454"/>
      <c r="C1156" s="229" t="s">
        <v>24</v>
      </c>
      <c r="D1156" s="229"/>
      <c r="E1156" s="232">
        <v>1800</v>
      </c>
      <c r="F1156" s="229">
        <v>0</v>
      </c>
      <c r="G1156" s="260">
        <f t="shared" si="176"/>
        <v>0</v>
      </c>
      <c r="H1156" s="448"/>
    </row>
    <row r="1157" spans="1:8" ht="14.25" customHeight="1">
      <c r="C1157" s="213"/>
      <c r="D1157" s="213"/>
      <c r="F1157" s="213"/>
      <c r="H1157" s="220"/>
    </row>
    <row r="1158" spans="1:8" ht="14.25" customHeight="1">
      <c r="A1158" s="214" t="s">
        <v>165</v>
      </c>
      <c r="C1158" s="213"/>
      <c r="D1158" s="213"/>
      <c r="F1158" s="213"/>
      <c r="H1158" s="220"/>
    </row>
    <row r="1159" spans="1:8" ht="14.25" customHeight="1">
      <c r="A1159" s="233" t="s">
        <v>147</v>
      </c>
      <c r="B1159" s="222"/>
      <c r="C1159" s="221" t="s">
        <v>166</v>
      </c>
      <c r="D1159" s="221" t="s">
        <v>167</v>
      </c>
      <c r="E1159" s="222" t="s">
        <v>168</v>
      </c>
      <c r="F1159" s="221" t="s">
        <v>169</v>
      </c>
      <c r="G1159" s="222" t="s">
        <v>170</v>
      </c>
      <c r="H1159" s="285" t="s">
        <v>152</v>
      </c>
    </row>
    <row r="1160" spans="1:8" ht="14.25" customHeight="1">
      <c r="A1160" s="267" t="s">
        <v>282</v>
      </c>
      <c r="B1160" s="260"/>
      <c r="C1160" s="229">
        <v>10</v>
      </c>
      <c r="D1160" s="229">
        <v>10</v>
      </c>
      <c r="E1160" s="260">
        <v>100</v>
      </c>
      <c r="F1160" s="229">
        <v>1</v>
      </c>
      <c r="G1160" s="232">
        <f>C1160*F1160*E1160*D1160</f>
        <v>10000</v>
      </c>
      <c r="H1160" s="295">
        <f>G1160</f>
        <v>10000</v>
      </c>
    </row>
    <row r="1161" spans="1:8" ht="14.25" customHeight="1">
      <c r="C1161" s="213"/>
      <c r="D1161" s="213"/>
      <c r="F1161" s="213"/>
      <c r="H1161" s="220"/>
    </row>
    <row r="1162" spans="1:8" ht="14.25" customHeight="1">
      <c r="A1162" s="214" t="s">
        <v>172</v>
      </c>
      <c r="C1162" s="213"/>
      <c r="D1162" s="213"/>
      <c r="F1162" s="213"/>
      <c r="H1162" s="220"/>
    </row>
    <row r="1163" spans="1:8" ht="14.25" customHeight="1">
      <c r="A1163" s="233" t="s">
        <v>147</v>
      </c>
      <c r="B1163" s="222"/>
      <c r="C1163" s="221" t="s">
        <v>173</v>
      </c>
      <c r="D1163" s="221" t="s">
        <v>174</v>
      </c>
      <c r="E1163" s="222" t="s">
        <v>175</v>
      </c>
      <c r="F1163" s="221" t="s">
        <v>150</v>
      </c>
      <c r="G1163" s="222" t="s">
        <v>176</v>
      </c>
      <c r="H1163" s="285" t="s">
        <v>152</v>
      </c>
    </row>
    <row r="1164" spans="1:8" ht="14.25" customHeight="1">
      <c r="A1164" s="227" t="s">
        <v>177</v>
      </c>
      <c r="B1164" s="228"/>
      <c r="C1164" s="296">
        <v>55000</v>
      </c>
      <c r="D1164" s="224">
        <v>0</v>
      </c>
      <c r="E1164" s="226">
        <v>55000</v>
      </c>
      <c r="F1164" s="281">
        <v>0</v>
      </c>
      <c r="G1164" s="226">
        <f t="shared" ref="G1164:G1165" si="177">E1164*F1164</f>
        <v>0</v>
      </c>
      <c r="H1164" s="449">
        <f>SUM(G1164:G1165)</f>
        <v>21000</v>
      </c>
    </row>
    <row r="1165" spans="1:8" ht="14.25" customHeight="1">
      <c r="A1165" s="267" t="s">
        <v>188</v>
      </c>
      <c r="B1165" s="260"/>
      <c r="C1165" s="297">
        <v>35000</v>
      </c>
      <c r="D1165" s="229">
        <v>0</v>
      </c>
      <c r="E1165" s="232">
        <f>35000*2</f>
        <v>70000</v>
      </c>
      <c r="F1165" s="282">
        <v>0.3</v>
      </c>
      <c r="G1165" s="232">
        <f t="shared" si="177"/>
        <v>21000</v>
      </c>
      <c r="H1165" s="448"/>
    </row>
    <row r="1166" spans="1:8" ht="14.25" customHeight="1">
      <c r="C1166" s="213"/>
      <c r="D1166" s="213"/>
      <c r="F1166" s="213"/>
    </row>
    <row r="1167" spans="1:8" ht="14.25" customHeight="1">
      <c r="C1167" s="213"/>
      <c r="D1167" s="213"/>
      <c r="F1167" s="213"/>
    </row>
    <row r="1168" spans="1:8" ht="14.25" customHeight="1">
      <c r="C1168" s="213"/>
      <c r="D1168" s="213"/>
      <c r="F1168" s="213"/>
    </row>
    <row r="1169" spans="1:8" ht="14.25" customHeight="1">
      <c r="C1169" s="213"/>
      <c r="D1169" s="213"/>
      <c r="F1169" s="213"/>
    </row>
    <row r="1170" spans="1:8" ht="14.25" customHeight="1">
      <c r="C1170" s="213"/>
      <c r="D1170" s="213"/>
      <c r="F1170" s="213"/>
    </row>
    <row r="1171" spans="1:8" ht="14.25" customHeight="1">
      <c r="C1171" s="213"/>
      <c r="D1171" s="213"/>
      <c r="F1171" s="213"/>
    </row>
    <row r="1172" spans="1:8" ht="14.25" customHeight="1">
      <c r="C1172" s="213"/>
      <c r="D1172" s="213"/>
      <c r="F1172" s="213"/>
    </row>
    <row r="1173" spans="1:8" ht="14.25" customHeight="1">
      <c r="A1173" s="463" t="s">
        <v>137</v>
      </c>
      <c r="B1173" s="430"/>
      <c r="C1173" s="463" t="s">
        <v>359</v>
      </c>
      <c r="D1173" s="430"/>
      <c r="E1173" s="430"/>
      <c r="F1173" s="430"/>
      <c r="G1173" s="430"/>
      <c r="H1173" s="430"/>
    </row>
    <row r="1174" spans="1:8" ht="26.25" customHeight="1">
      <c r="A1174" t="s">
        <v>139</v>
      </c>
      <c r="B1174" s="464" t="s">
        <v>79</v>
      </c>
      <c r="C1174" s="430"/>
      <c r="D1174" s="430"/>
      <c r="E1174" s="430"/>
      <c r="F1174" s="430"/>
      <c r="G1174" s="216" t="s">
        <v>140</v>
      </c>
      <c r="H1174" s="216" t="s">
        <v>360</v>
      </c>
    </row>
    <row r="1175" spans="1:8" ht="14.25" customHeight="1">
      <c r="A1175" t="s">
        <v>142</v>
      </c>
      <c r="B1175" t="s">
        <v>26</v>
      </c>
      <c r="C1175" s="213"/>
      <c r="D1175" s="213"/>
      <c r="F1175" s="216" t="s">
        <v>143</v>
      </c>
      <c r="G1175" s="279">
        <f>H1178+H1185+H1191+H1195</f>
        <v>23727.279000000002</v>
      </c>
      <c r="H1175" s="220"/>
    </row>
    <row r="1176" spans="1:8" ht="14.25" customHeight="1">
      <c r="A1176" s="214" t="s">
        <v>145</v>
      </c>
      <c r="C1176" s="213"/>
      <c r="D1176" s="213"/>
      <c r="F1176" s="213"/>
      <c r="G1176" s="220"/>
      <c r="H1176" s="220"/>
    </row>
    <row r="1177" spans="1:8" ht="14.25" customHeight="1">
      <c r="A1177" s="233" t="s">
        <v>147</v>
      </c>
      <c r="B1177" s="222"/>
      <c r="C1177" s="221" t="s">
        <v>148</v>
      </c>
      <c r="D1177" s="221"/>
      <c r="E1177" s="222" t="s">
        <v>149</v>
      </c>
      <c r="F1177" s="221" t="s">
        <v>150</v>
      </c>
      <c r="G1177" s="283" t="s">
        <v>151</v>
      </c>
      <c r="H1177" s="285" t="s">
        <v>152</v>
      </c>
    </row>
    <row r="1178" spans="1:8" ht="14.25" customHeight="1">
      <c r="A1178" s="227" t="s">
        <v>271</v>
      </c>
      <c r="B1178" s="228"/>
      <c r="C1178" s="224"/>
      <c r="D1178" s="224"/>
      <c r="E1178" s="226">
        <f>2500</f>
        <v>2500</v>
      </c>
      <c r="F1178" s="224">
        <f>0.2</f>
        <v>0.2</v>
      </c>
      <c r="G1178" s="226">
        <f t="shared" ref="G1178:G1181" si="178">E1178*F1178</f>
        <v>500</v>
      </c>
      <c r="H1178" s="449">
        <f>SUM(G1178:G1181)</f>
        <v>500</v>
      </c>
    </row>
    <row r="1179" spans="1:8" ht="14.25" customHeight="1">
      <c r="A1179" s="227" t="s">
        <v>154</v>
      </c>
      <c r="B1179" s="228"/>
      <c r="C1179" s="224"/>
      <c r="D1179" s="224"/>
      <c r="E1179" s="226">
        <f>20110/8</f>
        <v>2513.75</v>
      </c>
      <c r="F1179" s="224">
        <f>0</f>
        <v>0</v>
      </c>
      <c r="G1179" s="226">
        <f t="shared" si="178"/>
        <v>0</v>
      </c>
      <c r="H1179" s="447"/>
    </row>
    <row r="1180" spans="1:8" ht="14.25" customHeight="1">
      <c r="A1180" s="227" t="s">
        <v>155</v>
      </c>
      <c r="B1180" s="228"/>
      <c r="C1180" s="224"/>
      <c r="D1180" s="224"/>
      <c r="E1180" s="226">
        <f>60000/8</f>
        <v>7500</v>
      </c>
      <c r="F1180" s="224">
        <f>8*0</f>
        <v>0</v>
      </c>
      <c r="G1180" s="226">
        <f t="shared" si="178"/>
        <v>0</v>
      </c>
      <c r="H1180" s="447"/>
    </row>
    <row r="1181" spans="1:8" ht="14.25" customHeight="1">
      <c r="A1181" s="267" t="s">
        <v>156</v>
      </c>
      <c r="B1181" s="260"/>
      <c r="C1181" s="229"/>
      <c r="D1181" s="229"/>
      <c r="E1181" s="232">
        <f>2500</f>
        <v>2500</v>
      </c>
      <c r="F1181" s="229">
        <f>0</f>
        <v>0</v>
      </c>
      <c r="G1181" s="232">
        <f t="shared" si="178"/>
        <v>0</v>
      </c>
      <c r="H1181" s="448"/>
    </row>
    <row r="1182" spans="1:8" ht="14.25" customHeight="1">
      <c r="C1182" s="213"/>
      <c r="D1182" s="213"/>
      <c r="E1182" s="220"/>
      <c r="F1182" s="213"/>
      <c r="G1182" s="220"/>
      <c r="H1182" s="220"/>
    </row>
    <row r="1183" spans="1:8" ht="14.25" customHeight="1">
      <c r="A1183" s="214" t="s">
        <v>157</v>
      </c>
      <c r="C1183" s="213"/>
      <c r="D1183" s="213"/>
      <c r="E1183" s="220"/>
      <c r="F1183" s="213"/>
      <c r="G1183" s="220"/>
      <c r="H1183" s="220"/>
    </row>
    <row r="1184" spans="1:8" ht="14.25" customHeight="1">
      <c r="A1184" s="233" t="s">
        <v>147</v>
      </c>
      <c r="B1184" s="222"/>
      <c r="C1184" s="221" t="s">
        <v>158</v>
      </c>
      <c r="D1184" s="221"/>
      <c r="E1184" s="283" t="s">
        <v>159</v>
      </c>
      <c r="F1184" s="221" t="s">
        <v>160</v>
      </c>
      <c r="G1184" s="283" t="s">
        <v>161</v>
      </c>
      <c r="H1184" s="285" t="s">
        <v>152</v>
      </c>
    </row>
    <row r="1185" spans="1:8" ht="14.25" customHeight="1">
      <c r="A1185" s="227" t="s">
        <v>361</v>
      </c>
      <c r="B1185" s="228"/>
      <c r="C1185" s="224" t="s">
        <v>228</v>
      </c>
      <c r="D1185" s="224"/>
      <c r="E1185" s="226">
        <f>230050</f>
        <v>230050</v>
      </c>
      <c r="F1185" s="298">
        <f>0.02558</f>
        <v>2.5579999999999999E-2</v>
      </c>
      <c r="G1185" s="226">
        <f t="shared" ref="G1185:G1187" si="179">E1185*F1185</f>
        <v>5884.6790000000001</v>
      </c>
      <c r="H1185" s="449">
        <f>SUM(G1185:G1187)</f>
        <v>9227.2790000000005</v>
      </c>
    </row>
    <row r="1186" spans="1:8" ht="14.25" customHeight="1">
      <c r="A1186" s="227" t="s">
        <v>231</v>
      </c>
      <c r="B1186" s="228"/>
      <c r="C1186" s="224" t="s">
        <v>158</v>
      </c>
      <c r="D1186" s="224"/>
      <c r="E1186" s="226">
        <f>8142</f>
        <v>8142</v>
      </c>
      <c r="F1186" s="224">
        <f t="shared" ref="F1186:F1187" si="180">0.3</f>
        <v>0.3</v>
      </c>
      <c r="G1186" s="226">
        <f t="shared" si="179"/>
        <v>2442.6</v>
      </c>
      <c r="H1186" s="447"/>
    </row>
    <row r="1187" spans="1:8" ht="14.25" customHeight="1">
      <c r="A1187" s="267" t="s">
        <v>232</v>
      </c>
      <c r="B1187" s="260"/>
      <c r="C1187" s="229" t="s">
        <v>158</v>
      </c>
      <c r="D1187" s="229"/>
      <c r="E1187" s="232">
        <f>3000</f>
        <v>3000</v>
      </c>
      <c r="F1187" s="229">
        <f t="shared" si="180"/>
        <v>0.3</v>
      </c>
      <c r="G1187" s="232">
        <f t="shared" si="179"/>
        <v>900</v>
      </c>
      <c r="H1187" s="448"/>
    </row>
    <row r="1188" spans="1:8" ht="14.25" customHeight="1">
      <c r="C1188" s="213"/>
      <c r="D1188" s="213"/>
      <c r="E1188" s="220"/>
      <c r="F1188" s="213"/>
      <c r="G1188" s="220"/>
      <c r="H1188" s="220"/>
    </row>
    <row r="1189" spans="1:8" ht="14.25" customHeight="1">
      <c r="A1189" s="214" t="s">
        <v>165</v>
      </c>
      <c r="C1189" s="213"/>
      <c r="D1189" s="213"/>
      <c r="E1189" s="220"/>
      <c r="F1189" s="213"/>
      <c r="G1189" s="220"/>
      <c r="H1189" s="220"/>
    </row>
    <row r="1190" spans="1:8" ht="14.25" customHeight="1">
      <c r="A1190" s="233" t="s">
        <v>147</v>
      </c>
      <c r="B1190" s="222"/>
      <c r="C1190" s="221" t="s">
        <v>166</v>
      </c>
      <c r="D1190" s="221" t="s">
        <v>167</v>
      </c>
      <c r="E1190" s="283" t="s">
        <v>168</v>
      </c>
      <c r="F1190" s="221" t="s">
        <v>169</v>
      </c>
      <c r="G1190" s="283" t="s">
        <v>170</v>
      </c>
      <c r="H1190" s="285" t="s">
        <v>152</v>
      </c>
    </row>
    <row r="1191" spans="1:8" ht="14.25" customHeight="1">
      <c r="A1191" s="267" t="s">
        <v>171</v>
      </c>
      <c r="B1191" s="260"/>
      <c r="C1191" s="229">
        <f>1</f>
        <v>1</v>
      </c>
      <c r="D1191" s="229">
        <f>27.504</f>
        <v>27.504000000000001</v>
      </c>
      <c r="E1191" s="232">
        <f>369.3</f>
        <v>369.3</v>
      </c>
      <c r="F1191" s="229">
        <f>2.5</f>
        <v>2.5</v>
      </c>
      <c r="G1191" s="232">
        <f>E1191*D1191*F1191*0</f>
        <v>0</v>
      </c>
      <c r="H1191" s="242">
        <f>+G1191</f>
        <v>0</v>
      </c>
    </row>
    <row r="1192" spans="1:8" ht="14.25" customHeight="1">
      <c r="C1192" s="213"/>
      <c r="D1192" s="213"/>
      <c r="E1192" s="220"/>
      <c r="F1192" s="213"/>
      <c r="G1192" s="220"/>
      <c r="H1192" s="220"/>
    </row>
    <row r="1193" spans="1:8" ht="14.25" customHeight="1">
      <c r="A1193" s="214" t="s">
        <v>172</v>
      </c>
      <c r="C1193" s="213"/>
      <c r="D1193" s="213"/>
      <c r="E1193" s="220"/>
      <c r="F1193" s="213"/>
      <c r="G1193" s="220"/>
      <c r="H1193" s="220"/>
    </row>
    <row r="1194" spans="1:8" ht="14.25" customHeight="1">
      <c r="A1194" s="233" t="s">
        <v>147</v>
      </c>
      <c r="B1194" s="222"/>
      <c r="C1194" s="221" t="s">
        <v>173</v>
      </c>
      <c r="D1194" s="221" t="s">
        <v>174</v>
      </c>
      <c r="E1194" s="283" t="s">
        <v>175</v>
      </c>
      <c r="F1194" s="221" t="s">
        <v>150</v>
      </c>
      <c r="G1194" s="283" t="s">
        <v>176</v>
      </c>
      <c r="H1194" s="285" t="s">
        <v>152</v>
      </c>
    </row>
    <row r="1195" spans="1:8" ht="14.25" customHeight="1">
      <c r="A1195" s="227" t="s">
        <v>177</v>
      </c>
      <c r="B1195" s="228"/>
      <c r="C1195" s="224">
        <v>55000</v>
      </c>
      <c r="D1195" s="224">
        <v>0</v>
      </c>
      <c r="E1195" s="226">
        <f>C1195</f>
        <v>55000</v>
      </c>
      <c r="F1195" s="281">
        <v>0</v>
      </c>
      <c r="G1195" s="226">
        <f t="shared" ref="G1195:G1196" si="181">E1195*F1195</f>
        <v>0</v>
      </c>
      <c r="H1195" s="449">
        <f>G1195+G1196</f>
        <v>14000</v>
      </c>
    </row>
    <row r="1196" spans="1:8" ht="14.25" customHeight="1">
      <c r="A1196" s="267" t="s">
        <v>188</v>
      </c>
      <c r="B1196" s="260"/>
      <c r="C1196" s="229">
        <v>35000</v>
      </c>
      <c r="D1196" s="229">
        <v>0</v>
      </c>
      <c r="E1196" s="232">
        <f>C1196*2</f>
        <v>70000</v>
      </c>
      <c r="F1196" s="282">
        <v>0.2</v>
      </c>
      <c r="G1196" s="232">
        <f t="shared" si="181"/>
        <v>14000</v>
      </c>
      <c r="H1196" s="448"/>
    </row>
    <row r="1197" spans="1:8" ht="14.25" customHeight="1">
      <c r="C1197" s="213"/>
      <c r="D1197" s="213"/>
      <c r="F1197" s="213"/>
    </row>
    <row r="1198" spans="1:8" ht="14.25" customHeight="1">
      <c r="C1198" s="213"/>
      <c r="D1198" s="213"/>
      <c r="F1198" s="213"/>
    </row>
    <row r="1199" spans="1:8" ht="14.25" customHeight="1">
      <c r="C1199" s="213"/>
      <c r="D1199" s="213"/>
      <c r="F1199" s="213"/>
    </row>
    <row r="1200" spans="1:8" ht="14.25" customHeight="1">
      <c r="C1200" s="213"/>
      <c r="D1200" s="213"/>
      <c r="F1200" s="213"/>
    </row>
    <row r="1201" spans="1:8" ht="14.25" customHeight="1">
      <c r="C1201" s="213"/>
      <c r="D1201" s="213"/>
      <c r="F1201" s="213"/>
    </row>
    <row r="1202" spans="1:8" ht="14.25" customHeight="1">
      <c r="C1202" s="213"/>
      <c r="D1202" s="213"/>
      <c r="F1202" s="213"/>
    </row>
    <row r="1203" spans="1:8" ht="14.25" customHeight="1">
      <c r="A1203" s="463" t="s">
        <v>137</v>
      </c>
      <c r="B1203" s="430"/>
      <c r="C1203" s="463" t="s">
        <v>362</v>
      </c>
      <c r="D1203" s="430"/>
      <c r="E1203" s="430"/>
      <c r="F1203" s="430"/>
      <c r="G1203" s="430"/>
      <c r="H1203" s="430"/>
    </row>
    <row r="1204" spans="1:8" ht="14.25" customHeight="1">
      <c r="C1204" s="213"/>
      <c r="D1204" s="213"/>
      <c r="F1204" s="213"/>
    </row>
    <row r="1205" spans="1:8" ht="48" customHeight="1">
      <c r="A1205" s="218" t="s">
        <v>139</v>
      </c>
      <c r="B1205" s="489" t="s">
        <v>84</v>
      </c>
      <c r="C1205" s="430"/>
      <c r="D1205" s="430"/>
      <c r="E1205" s="430"/>
      <c r="F1205" s="430"/>
      <c r="G1205" s="217" t="s">
        <v>140</v>
      </c>
      <c r="H1205" s="217" t="s">
        <v>363</v>
      </c>
    </row>
    <row r="1206" spans="1:8" ht="14.25" customHeight="1">
      <c r="A1206" t="s">
        <v>142</v>
      </c>
      <c r="B1206" t="s">
        <v>15</v>
      </c>
      <c r="C1206" s="213"/>
      <c r="D1206" s="213"/>
      <c r="F1206" s="216" t="s">
        <v>143</v>
      </c>
      <c r="G1206" s="279">
        <f>H1209+H1216+H1222+H1226</f>
        <v>508500</v>
      </c>
    </row>
    <row r="1207" spans="1:8" ht="14.25" customHeight="1">
      <c r="A1207" s="214" t="s">
        <v>145</v>
      </c>
      <c r="C1207" s="213"/>
      <c r="D1207" s="213"/>
      <c r="F1207" s="213"/>
    </row>
    <row r="1208" spans="1:8" ht="14.25" customHeight="1">
      <c r="A1208" s="233" t="s">
        <v>147</v>
      </c>
      <c r="B1208" s="222"/>
      <c r="C1208" s="221" t="s">
        <v>148</v>
      </c>
      <c r="D1208" s="221"/>
      <c r="E1208" s="222" t="s">
        <v>149</v>
      </c>
      <c r="F1208" s="221" t="s">
        <v>150</v>
      </c>
      <c r="G1208" s="222" t="s">
        <v>151</v>
      </c>
      <c r="H1208" s="223" t="s">
        <v>152</v>
      </c>
    </row>
    <row r="1209" spans="1:8" ht="14.25" customHeight="1">
      <c r="A1209" s="227" t="s">
        <v>153</v>
      </c>
      <c r="B1209" s="228"/>
      <c r="C1209" s="224"/>
      <c r="D1209" s="224"/>
      <c r="E1209" s="228">
        <f>7500</f>
        <v>7500</v>
      </c>
      <c r="F1209" s="224">
        <f t="shared" ref="F1209:F1210" si="182">0</f>
        <v>0</v>
      </c>
      <c r="G1209" s="226">
        <f t="shared" ref="G1209:G1212" si="183">E1209*F1209</f>
        <v>0</v>
      </c>
      <c r="H1209" s="449">
        <f>SUM(G1209:G1212)</f>
        <v>15000</v>
      </c>
    </row>
    <row r="1210" spans="1:8" ht="14.25" customHeight="1">
      <c r="A1210" s="227" t="s">
        <v>154</v>
      </c>
      <c r="B1210" s="228"/>
      <c r="C1210" s="224"/>
      <c r="D1210" s="224"/>
      <c r="E1210" s="228">
        <f>20110/8</f>
        <v>2513.75</v>
      </c>
      <c r="F1210" s="224">
        <f t="shared" si="182"/>
        <v>0</v>
      </c>
      <c r="G1210" s="226">
        <f t="shared" si="183"/>
        <v>0</v>
      </c>
      <c r="H1210" s="447"/>
    </row>
    <row r="1211" spans="1:8" ht="14.25" customHeight="1">
      <c r="A1211" s="227" t="s">
        <v>364</v>
      </c>
      <c r="B1211" s="228"/>
      <c r="C1211" s="224"/>
      <c r="D1211" s="224"/>
      <c r="E1211" s="228">
        <f>60000/8</f>
        <v>7500</v>
      </c>
      <c r="F1211" s="224">
        <f>1</f>
        <v>1</v>
      </c>
      <c r="G1211" s="226">
        <f t="shared" si="183"/>
        <v>7500</v>
      </c>
      <c r="H1211" s="447"/>
    </row>
    <row r="1212" spans="1:8" ht="14.25" customHeight="1">
      <c r="A1212" s="267" t="s">
        <v>156</v>
      </c>
      <c r="B1212" s="260"/>
      <c r="C1212" s="229"/>
      <c r="D1212" s="229"/>
      <c r="E1212" s="260">
        <f>2500</f>
        <v>2500</v>
      </c>
      <c r="F1212" s="229">
        <f>3</f>
        <v>3</v>
      </c>
      <c r="G1212" s="232">
        <f t="shared" si="183"/>
        <v>7500</v>
      </c>
      <c r="H1212" s="448"/>
    </row>
    <row r="1213" spans="1:8" ht="14.25" customHeight="1">
      <c r="C1213" s="213"/>
      <c r="D1213" s="213"/>
      <c r="F1213" s="213"/>
      <c r="G1213" s="220"/>
      <c r="H1213" s="220"/>
    </row>
    <row r="1214" spans="1:8" ht="14.25" customHeight="1">
      <c r="A1214" s="214" t="s">
        <v>157</v>
      </c>
      <c r="C1214" s="213"/>
      <c r="D1214" s="213"/>
      <c r="F1214" s="213"/>
      <c r="G1214" s="220"/>
      <c r="H1214" s="220"/>
    </row>
    <row r="1215" spans="1:8" ht="14.25" customHeight="1">
      <c r="A1215" s="233" t="s">
        <v>147</v>
      </c>
      <c r="B1215" s="222"/>
      <c r="C1215" s="221" t="s">
        <v>158</v>
      </c>
      <c r="D1215" s="221"/>
      <c r="E1215" s="222" t="s">
        <v>159</v>
      </c>
      <c r="F1215" s="221" t="s">
        <v>160</v>
      </c>
      <c r="G1215" s="283" t="s">
        <v>161</v>
      </c>
      <c r="H1215" s="285" t="s">
        <v>152</v>
      </c>
    </row>
    <row r="1216" spans="1:8" ht="30.75" customHeight="1">
      <c r="A1216" s="494" t="s">
        <v>365</v>
      </c>
      <c r="B1216" s="451"/>
      <c r="C1216" s="247" t="s">
        <v>366</v>
      </c>
      <c r="D1216" s="224"/>
      <c r="E1216" s="228">
        <f>275000</f>
        <v>275000</v>
      </c>
      <c r="F1216" s="224">
        <f t="shared" ref="F1216:F1218" si="184">1</f>
        <v>1</v>
      </c>
      <c r="G1216" s="226">
        <f t="shared" ref="G1216:G1218" si="185">E1216*F1216</f>
        <v>275000</v>
      </c>
      <c r="H1216" s="449">
        <f>G1216+G1217+G1218</f>
        <v>411000</v>
      </c>
    </row>
    <row r="1217" spans="1:8" ht="14.25" customHeight="1">
      <c r="A1217" s="459" t="s">
        <v>367</v>
      </c>
      <c r="B1217" s="451"/>
      <c r="C1217" s="224" t="s">
        <v>366</v>
      </c>
      <c r="D1217" s="224"/>
      <c r="E1217" s="228">
        <f>120000</f>
        <v>120000</v>
      </c>
      <c r="F1217" s="224">
        <f t="shared" si="184"/>
        <v>1</v>
      </c>
      <c r="G1217" s="226">
        <f t="shared" si="185"/>
        <v>120000</v>
      </c>
      <c r="H1217" s="447"/>
    </row>
    <row r="1218" spans="1:8" ht="14.25" customHeight="1">
      <c r="A1218" s="460" t="s">
        <v>368</v>
      </c>
      <c r="B1218" s="454"/>
      <c r="C1218" s="229" t="s">
        <v>366</v>
      </c>
      <c r="D1218" s="229"/>
      <c r="E1218" s="260">
        <f>16000</f>
        <v>16000</v>
      </c>
      <c r="F1218" s="229">
        <f t="shared" si="184"/>
        <v>1</v>
      </c>
      <c r="G1218" s="232">
        <f t="shared" si="185"/>
        <v>16000</v>
      </c>
      <c r="H1218" s="448"/>
    </row>
    <row r="1219" spans="1:8" ht="14.25" customHeight="1">
      <c r="A1219" s="213"/>
      <c r="B1219" s="213"/>
      <c r="C1219" s="213"/>
      <c r="D1219" s="213"/>
      <c r="F1219" s="213"/>
      <c r="G1219" s="220"/>
      <c r="H1219" s="220"/>
    </row>
    <row r="1220" spans="1:8" ht="14.25" customHeight="1">
      <c r="A1220" s="214" t="s">
        <v>165</v>
      </c>
      <c r="C1220" s="213"/>
      <c r="D1220" s="213"/>
      <c r="F1220" s="213"/>
      <c r="G1220" s="220"/>
      <c r="H1220" s="220"/>
    </row>
    <row r="1221" spans="1:8" ht="14.25" customHeight="1">
      <c r="A1221" s="233" t="s">
        <v>147</v>
      </c>
      <c r="B1221" s="222"/>
      <c r="C1221" s="221" t="s">
        <v>166</v>
      </c>
      <c r="D1221" s="221" t="s">
        <v>167</v>
      </c>
      <c r="E1221" s="222" t="s">
        <v>168</v>
      </c>
      <c r="F1221" s="221" t="s">
        <v>169</v>
      </c>
      <c r="G1221" s="283" t="s">
        <v>170</v>
      </c>
      <c r="H1221" s="285" t="s">
        <v>152</v>
      </c>
    </row>
    <row r="1222" spans="1:8" ht="14.25" customHeight="1">
      <c r="A1222" s="267" t="s">
        <v>171</v>
      </c>
      <c r="B1222" s="260"/>
      <c r="C1222" s="229">
        <f>1</f>
        <v>1</v>
      </c>
      <c r="D1222" s="229">
        <f>27.504</f>
        <v>27.504000000000001</v>
      </c>
      <c r="E1222" s="260">
        <f>369.3</f>
        <v>369.3</v>
      </c>
      <c r="F1222" s="229">
        <f>2.5</f>
        <v>2.5</v>
      </c>
      <c r="G1222" s="232">
        <f>E1222*D1222*F1222*0</f>
        <v>0</v>
      </c>
      <c r="H1222" s="242">
        <f>+G1222</f>
        <v>0</v>
      </c>
    </row>
    <row r="1223" spans="1:8" ht="14.25" customHeight="1">
      <c r="C1223" s="213"/>
      <c r="D1223" s="213"/>
      <c r="F1223" s="213"/>
      <c r="G1223" s="220"/>
      <c r="H1223" s="220"/>
    </row>
    <row r="1224" spans="1:8" ht="14.25" customHeight="1">
      <c r="A1224" s="214" t="s">
        <v>172</v>
      </c>
      <c r="C1224" s="213"/>
      <c r="D1224" s="213"/>
      <c r="F1224" s="213"/>
      <c r="G1224" s="220"/>
      <c r="H1224" s="220"/>
    </row>
    <row r="1225" spans="1:8" ht="14.25" customHeight="1">
      <c r="A1225" s="233" t="s">
        <v>147</v>
      </c>
      <c r="B1225" s="222"/>
      <c r="C1225" s="221" t="s">
        <v>173</v>
      </c>
      <c r="D1225" s="221" t="s">
        <v>174</v>
      </c>
      <c r="E1225" s="222" t="s">
        <v>175</v>
      </c>
      <c r="F1225" s="221" t="s">
        <v>150</v>
      </c>
      <c r="G1225" s="283" t="s">
        <v>176</v>
      </c>
      <c r="H1225" s="285" t="s">
        <v>152</v>
      </c>
    </row>
    <row r="1226" spans="1:8" ht="14.25" customHeight="1">
      <c r="A1226" s="227" t="s">
        <v>177</v>
      </c>
      <c r="B1226" s="228"/>
      <c r="C1226" s="224">
        <v>55000</v>
      </c>
      <c r="D1226" s="224">
        <v>0</v>
      </c>
      <c r="E1226" s="228">
        <f>C1226</f>
        <v>55000</v>
      </c>
      <c r="F1226" s="281">
        <v>1.5</v>
      </c>
      <c r="G1226" s="226">
        <f t="shared" ref="G1226:G1227" si="186">E1226*F1226</f>
        <v>82500</v>
      </c>
      <c r="H1226" s="449">
        <f>G1226+G1227</f>
        <v>82500</v>
      </c>
    </row>
    <row r="1227" spans="1:8" ht="14.25" customHeight="1">
      <c r="A1227" s="267" t="s">
        <v>188</v>
      </c>
      <c r="B1227" s="260"/>
      <c r="C1227" s="229">
        <v>35000</v>
      </c>
      <c r="D1227" s="229">
        <v>0</v>
      </c>
      <c r="E1227" s="260">
        <f>C1227*0</f>
        <v>0</v>
      </c>
      <c r="F1227" s="282">
        <v>0.4</v>
      </c>
      <c r="G1227" s="232">
        <f t="shared" si="186"/>
        <v>0</v>
      </c>
      <c r="H1227" s="448"/>
    </row>
    <row r="1228" spans="1:8" ht="14.25" customHeight="1">
      <c r="C1228" s="213"/>
      <c r="D1228" s="213"/>
      <c r="F1228" s="213"/>
    </row>
    <row r="1229" spans="1:8" ht="14.25" customHeight="1">
      <c r="C1229" s="213"/>
      <c r="D1229" s="213"/>
      <c r="F1229" s="213"/>
    </row>
    <row r="1230" spans="1:8" ht="14.25" customHeight="1">
      <c r="C1230" s="213"/>
      <c r="D1230" s="213"/>
      <c r="F1230" s="213"/>
    </row>
    <row r="1231" spans="1:8" ht="14.25" customHeight="1">
      <c r="C1231" s="213"/>
      <c r="D1231" s="213"/>
      <c r="F1231" s="213"/>
    </row>
    <row r="1232" spans="1:8" ht="14.25" customHeight="1">
      <c r="C1232" s="213"/>
      <c r="D1232" s="213"/>
      <c r="F1232" s="213"/>
    </row>
    <row r="1233" spans="1:8" ht="14.25" customHeight="1">
      <c r="C1233" s="213"/>
      <c r="D1233" s="213"/>
      <c r="F1233" s="213"/>
    </row>
    <row r="1234" spans="1:8" ht="14.25" customHeight="1">
      <c r="A1234" s="463" t="s">
        <v>137</v>
      </c>
      <c r="B1234" s="430"/>
      <c r="C1234" s="463" t="s">
        <v>369</v>
      </c>
      <c r="D1234" s="430"/>
      <c r="E1234" s="430"/>
      <c r="F1234" s="430"/>
      <c r="G1234" s="430"/>
      <c r="H1234" s="430"/>
    </row>
    <row r="1235" spans="1:8" ht="14.25" customHeight="1">
      <c r="C1235" s="213"/>
      <c r="D1235" s="213"/>
      <c r="F1235" s="213"/>
    </row>
    <row r="1236" spans="1:8" ht="30" customHeight="1">
      <c r="A1236" t="s">
        <v>139</v>
      </c>
      <c r="B1236" s="464" t="s">
        <v>86</v>
      </c>
      <c r="C1236" s="430"/>
      <c r="D1236" s="430"/>
      <c r="E1236" s="430"/>
      <c r="F1236" s="430"/>
      <c r="G1236" s="217" t="s">
        <v>140</v>
      </c>
      <c r="H1236" s="217" t="s">
        <v>370</v>
      </c>
    </row>
    <row r="1237" spans="1:8" ht="14.25" customHeight="1">
      <c r="A1237" t="s">
        <v>142</v>
      </c>
      <c r="B1237" s="213" t="s">
        <v>15</v>
      </c>
      <c r="C1237" s="213"/>
      <c r="D1237" s="213"/>
      <c r="F1237" s="216" t="s">
        <v>143</v>
      </c>
      <c r="G1237" s="279">
        <f>H1240+H1247+H1251+H1255</f>
        <v>1633450</v>
      </c>
    </row>
    <row r="1238" spans="1:8" ht="14.25" customHeight="1">
      <c r="A1238" s="214" t="s">
        <v>145</v>
      </c>
      <c r="C1238" s="213"/>
      <c r="D1238" s="213"/>
      <c r="F1238" s="213"/>
    </row>
    <row r="1239" spans="1:8" ht="14.25" customHeight="1">
      <c r="A1239" s="233" t="s">
        <v>147</v>
      </c>
      <c r="B1239" s="222"/>
      <c r="C1239" s="221" t="s">
        <v>148</v>
      </c>
      <c r="D1239" s="221"/>
      <c r="E1239" s="222" t="s">
        <v>149</v>
      </c>
      <c r="F1239" s="221" t="s">
        <v>150</v>
      </c>
      <c r="G1239" s="222" t="s">
        <v>151</v>
      </c>
      <c r="H1239" s="223" t="s">
        <v>152</v>
      </c>
    </row>
    <row r="1240" spans="1:8" ht="14.25" customHeight="1">
      <c r="A1240" s="459" t="s">
        <v>153</v>
      </c>
      <c r="B1240" s="451"/>
      <c r="C1240" s="224"/>
      <c r="D1240" s="224"/>
      <c r="E1240" s="228">
        <f>7500</f>
        <v>7500</v>
      </c>
      <c r="F1240" s="224">
        <f t="shared" ref="F1240:F1241" si="187">0</f>
        <v>0</v>
      </c>
      <c r="G1240" s="299">
        <f t="shared" ref="G1240:G1243" si="188">E1240*F1240</f>
        <v>0</v>
      </c>
      <c r="H1240" s="446">
        <f>SUM(G1240:G1243)</f>
        <v>8750</v>
      </c>
    </row>
    <row r="1241" spans="1:8" ht="14.25" customHeight="1">
      <c r="A1241" s="227" t="s">
        <v>154</v>
      </c>
      <c r="B1241" s="228"/>
      <c r="C1241" s="224"/>
      <c r="D1241" s="224"/>
      <c r="E1241" s="228">
        <f>20110/8</f>
        <v>2513.75</v>
      </c>
      <c r="F1241" s="224">
        <f t="shared" si="187"/>
        <v>0</v>
      </c>
      <c r="G1241" s="299">
        <f t="shared" si="188"/>
        <v>0</v>
      </c>
      <c r="H1241" s="447"/>
    </row>
    <row r="1242" spans="1:8" ht="14.25" customHeight="1">
      <c r="A1242" s="227" t="s">
        <v>371</v>
      </c>
      <c r="B1242" s="228"/>
      <c r="C1242" s="224"/>
      <c r="D1242" s="224"/>
      <c r="E1242" s="228">
        <f>50000/8</f>
        <v>6250</v>
      </c>
      <c r="F1242" s="224">
        <f t="shared" ref="F1242:F1243" si="189">1</f>
        <v>1</v>
      </c>
      <c r="G1242" s="299">
        <f t="shared" si="188"/>
        <v>6250</v>
      </c>
      <c r="H1242" s="447"/>
    </row>
    <row r="1243" spans="1:8" ht="14.25" customHeight="1">
      <c r="A1243" s="267" t="s">
        <v>156</v>
      </c>
      <c r="B1243" s="260"/>
      <c r="C1243" s="229"/>
      <c r="D1243" s="229"/>
      <c r="E1243" s="260">
        <f>2500</f>
        <v>2500</v>
      </c>
      <c r="F1243" s="229">
        <f t="shared" si="189"/>
        <v>1</v>
      </c>
      <c r="G1243" s="300">
        <f t="shared" si="188"/>
        <v>2500</v>
      </c>
      <c r="H1243" s="448"/>
    </row>
    <row r="1244" spans="1:8" ht="14.25" customHeight="1">
      <c r="C1244" s="213"/>
      <c r="D1244" s="213"/>
      <c r="F1244" s="213"/>
    </row>
    <row r="1245" spans="1:8" ht="14.25" customHeight="1">
      <c r="A1245" s="214" t="s">
        <v>157</v>
      </c>
      <c r="C1245" s="213"/>
      <c r="D1245" s="213"/>
      <c r="F1245" s="213"/>
    </row>
    <row r="1246" spans="1:8" ht="14.25" customHeight="1">
      <c r="A1246" s="233" t="s">
        <v>147</v>
      </c>
      <c r="B1246" s="222"/>
      <c r="C1246" s="221" t="s">
        <v>158</v>
      </c>
      <c r="D1246" s="221"/>
      <c r="E1246" s="222" t="s">
        <v>159</v>
      </c>
      <c r="F1246" s="221" t="s">
        <v>160</v>
      </c>
      <c r="G1246" s="222" t="s">
        <v>161</v>
      </c>
      <c r="H1246" s="223" t="s">
        <v>152</v>
      </c>
    </row>
    <row r="1247" spans="1:8" ht="14.25" customHeight="1">
      <c r="A1247" s="267" t="s">
        <v>372</v>
      </c>
      <c r="B1247" s="260"/>
      <c r="C1247" s="229" t="s">
        <v>366</v>
      </c>
      <c r="D1247" s="229"/>
      <c r="E1247" s="232">
        <f>1489700</f>
        <v>1489700</v>
      </c>
      <c r="F1247" s="229">
        <f>1</f>
        <v>1</v>
      </c>
      <c r="G1247" s="260">
        <f>E1247*F1247</f>
        <v>1489700</v>
      </c>
      <c r="H1247" s="264">
        <f>G1247</f>
        <v>1489700</v>
      </c>
    </row>
    <row r="1248" spans="1:8" ht="14.25" customHeight="1">
      <c r="C1248" s="213"/>
      <c r="D1248" s="213"/>
      <c r="F1248" s="213"/>
    </row>
    <row r="1249" spans="1:8" ht="14.25" customHeight="1">
      <c r="A1249" s="214" t="s">
        <v>165</v>
      </c>
      <c r="C1249" s="213"/>
      <c r="D1249" s="213"/>
      <c r="F1249" s="213"/>
    </row>
    <row r="1250" spans="1:8" ht="14.25" customHeight="1">
      <c r="A1250" s="233" t="s">
        <v>147</v>
      </c>
      <c r="B1250" s="222"/>
      <c r="C1250" s="221" t="s">
        <v>166</v>
      </c>
      <c r="D1250" s="221" t="s">
        <v>167</v>
      </c>
      <c r="E1250" s="222" t="s">
        <v>168</v>
      </c>
      <c r="F1250" s="221" t="s">
        <v>169</v>
      </c>
      <c r="G1250" s="222" t="s">
        <v>170</v>
      </c>
      <c r="H1250" s="223" t="s">
        <v>152</v>
      </c>
    </row>
    <row r="1251" spans="1:8" ht="14.25" customHeight="1">
      <c r="A1251" s="267" t="s">
        <v>171</v>
      </c>
      <c r="B1251" s="260"/>
      <c r="C1251" s="229">
        <f>1</f>
        <v>1</v>
      </c>
      <c r="D1251" s="229">
        <f>27.504</f>
        <v>27.504000000000001</v>
      </c>
      <c r="E1251" s="260">
        <f>369.3</f>
        <v>369.3</v>
      </c>
      <c r="F1251" s="229">
        <f>2.5</f>
        <v>2.5</v>
      </c>
      <c r="G1251" s="260">
        <f>E1251*D1251*F1251*0</f>
        <v>0</v>
      </c>
      <c r="H1251" s="280">
        <f>+G1251</f>
        <v>0</v>
      </c>
    </row>
    <row r="1252" spans="1:8" ht="14.25" customHeight="1">
      <c r="C1252" s="213"/>
      <c r="D1252" s="213"/>
      <c r="F1252" s="213"/>
    </row>
    <row r="1253" spans="1:8" ht="14.25" customHeight="1">
      <c r="A1253" s="214" t="s">
        <v>172</v>
      </c>
      <c r="C1253" s="213"/>
      <c r="D1253" s="213"/>
      <c r="F1253" s="213"/>
    </row>
    <row r="1254" spans="1:8" ht="14.25" customHeight="1">
      <c r="A1254" s="233" t="s">
        <v>147</v>
      </c>
      <c r="B1254" s="222"/>
      <c r="C1254" s="221" t="s">
        <v>173</v>
      </c>
      <c r="D1254" s="221" t="s">
        <v>174</v>
      </c>
      <c r="E1254" s="222" t="s">
        <v>175</v>
      </c>
      <c r="F1254" s="221" t="s">
        <v>150</v>
      </c>
      <c r="G1254" s="222" t="s">
        <v>176</v>
      </c>
      <c r="H1254" s="223" t="s">
        <v>152</v>
      </c>
    </row>
    <row r="1255" spans="1:8" ht="14.25" customHeight="1">
      <c r="A1255" s="459" t="s">
        <v>177</v>
      </c>
      <c r="B1255" s="451"/>
      <c r="C1255" s="224">
        <v>55000</v>
      </c>
      <c r="D1255" s="224">
        <v>0</v>
      </c>
      <c r="E1255" s="228">
        <f t="shared" ref="E1255:E1256" si="190">C1255</f>
        <v>55000</v>
      </c>
      <c r="F1255" s="281">
        <v>1.5</v>
      </c>
      <c r="G1255" s="226">
        <f t="shared" ref="G1255:G1256" si="191">E1255*F1255</f>
        <v>82500</v>
      </c>
      <c r="H1255" s="449">
        <f>G1255+G1256</f>
        <v>135000</v>
      </c>
    </row>
    <row r="1256" spans="1:8" ht="14.25" customHeight="1">
      <c r="A1256" s="267" t="s">
        <v>178</v>
      </c>
      <c r="B1256" s="260"/>
      <c r="C1256" s="229">
        <v>35000</v>
      </c>
      <c r="D1256" s="229">
        <v>0</v>
      </c>
      <c r="E1256" s="260">
        <f t="shared" si="190"/>
        <v>35000</v>
      </c>
      <c r="F1256" s="282">
        <v>1.5</v>
      </c>
      <c r="G1256" s="232">
        <f t="shared" si="191"/>
        <v>52500</v>
      </c>
      <c r="H1256" s="448"/>
    </row>
    <row r="1257" spans="1:8" ht="14.25" customHeight="1">
      <c r="C1257" s="213"/>
      <c r="D1257" s="213"/>
      <c r="F1257" s="213"/>
    </row>
    <row r="1258" spans="1:8" ht="14.25" customHeight="1">
      <c r="C1258" s="213"/>
      <c r="D1258" s="213"/>
      <c r="F1258" s="213"/>
    </row>
    <row r="1259" spans="1:8" ht="14.25" customHeight="1">
      <c r="C1259" s="213"/>
      <c r="D1259" s="213"/>
      <c r="F1259" s="213"/>
    </row>
    <row r="1260" spans="1:8" ht="14.25" customHeight="1">
      <c r="C1260" s="213"/>
      <c r="D1260" s="213"/>
      <c r="F1260" s="213"/>
    </row>
    <row r="1261" spans="1:8" ht="14.25" customHeight="1">
      <c r="C1261" s="213"/>
      <c r="D1261" s="213"/>
      <c r="F1261" s="213"/>
    </row>
    <row r="1262" spans="1:8" ht="14.25" customHeight="1">
      <c r="C1262" s="213"/>
      <c r="D1262" s="213"/>
      <c r="F1262" s="213"/>
    </row>
    <row r="1263" spans="1:8" ht="14.25" customHeight="1">
      <c r="A1263" s="463" t="s">
        <v>137</v>
      </c>
      <c r="B1263" s="430"/>
      <c r="C1263" s="463" t="s">
        <v>373</v>
      </c>
      <c r="D1263" s="430"/>
      <c r="E1263" s="430"/>
      <c r="F1263" s="430"/>
      <c r="G1263" s="430"/>
      <c r="H1263" s="430"/>
    </row>
    <row r="1264" spans="1:8" ht="14.25" customHeight="1">
      <c r="C1264" s="213"/>
      <c r="D1264" s="213"/>
      <c r="F1264" s="213"/>
    </row>
    <row r="1265" spans="1:8" ht="14.25" customHeight="1">
      <c r="A1265" t="s">
        <v>139</v>
      </c>
      <c r="B1265" s="464" t="s">
        <v>85</v>
      </c>
      <c r="C1265" s="430"/>
      <c r="D1265" s="430"/>
      <c r="E1265" s="430"/>
      <c r="F1265" s="430"/>
      <c r="G1265" s="217" t="s">
        <v>140</v>
      </c>
      <c r="H1265" s="217" t="s">
        <v>374</v>
      </c>
    </row>
    <row r="1266" spans="1:8" ht="14.25" customHeight="1">
      <c r="A1266" t="s">
        <v>142</v>
      </c>
      <c r="B1266" s="213" t="s">
        <v>15</v>
      </c>
      <c r="C1266" s="213"/>
      <c r="D1266" s="213"/>
      <c r="F1266" s="216" t="s">
        <v>143</v>
      </c>
      <c r="G1266" s="279">
        <f>H1269+H1276+H1280+H1284</f>
        <v>906500</v>
      </c>
    </row>
    <row r="1267" spans="1:8" ht="14.25" customHeight="1">
      <c r="A1267" s="214" t="s">
        <v>145</v>
      </c>
      <c r="C1267" s="213"/>
      <c r="D1267" s="213"/>
      <c r="F1267" s="213"/>
    </row>
    <row r="1268" spans="1:8" ht="14.25" customHeight="1">
      <c r="A1268" s="233" t="s">
        <v>147</v>
      </c>
      <c r="B1268" s="222"/>
      <c r="C1268" s="221" t="s">
        <v>148</v>
      </c>
      <c r="D1268" s="221"/>
      <c r="E1268" s="222" t="s">
        <v>149</v>
      </c>
      <c r="F1268" s="221" t="s">
        <v>150</v>
      </c>
      <c r="G1268" s="222" t="s">
        <v>151</v>
      </c>
      <c r="H1268" s="223" t="s">
        <v>152</v>
      </c>
    </row>
    <row r="1269" spans="1:8" ht="14.25" customHeight="1">
      <c r="A1269" s="459" t="s">
        <v>153</v>
      </c>
      <c r="B1269" s="451"/>
      <c r="C1269" s="224"/>
      <c r="D1269" s="224"/>
      <c r="E1269" s="228">
        <f>7500</f>
        <v>7500</v>
      </c>
      <c r="F1269" s="224">
        <f t="shared" ref="F1269:F1272" si="192">0</f>
        <v>0</v>
      </c>
      <c r="G1269" s="299">
        <f t="shared" ref="G1269:G1272" si="193">E1269*F1269</f>
        <v>0</v>
      </c>
      <c r="H1269" s="446">
        <f>SUM(G1269:G1272)</f>
        <v>0</v>
      </c>
    </row>
    <row r="1270" spans="1:8" ht="14.25" customHeight="1">
      <c r="A1270" s="227" t="s">
        <v>154</v>
      </c>
      <c r="B1270" s="228"/>
      <c r="C1270" s="224"/>
      <c r="D1270" s="224"/>
      <c r="E1270" s="228">
        <f>20110/8</f>
        <v>2513.75</v>
      </c>
      <c r="F1270" s="224">
        <f t="shared" si="192"/>
        <v>0</v>
      </c>
      <c r="G1270" s="299">
        <f t="shared" si="193"/>
        <v>0</v>
      </c>
      <c r="H1270" s="447"/>
    </row>
    <row r="1271" spans="1:8" ht="14.25" customHeight="1">
      <c r="A1271" s="227" t="s">
        <v>371</v>
      </c>
      <c r="B1271" s="228"/>
      <c r="C1271" s="224"/>
      <c r="D1271" s="224"/>
      <c r="E1271" s="228">
        <f>50000/8</f>
        <v>6250</v>
      </c>
      <c r="F1271" s="224">
        <f t="shared" si="192"/>
        <v>0</v>
      </c>
      <c r="G1271" s="299">
        <f t="shared" si="193"/>
        <v>0</v>
      </c>
      <c r="H1271" s="447"/>
    </row>
    <row r="1272" spans="1:8" ht="14.25" customHeight="1">
      <c r="A1272" s="267" t="s">
        <v>156</v>
      </c>
      <c r="B1272" s="260"/>
      <c r="C1272" s="229"/>
      <c r="D1272" s="229"/>
      <c r="E1272" s="260">
        <f>2500</f>
        <v>2500</v>
      </c>
      <c r="F1272" s="229">
        <f t="shared" si="192"/>
        <v>0</v>
      </c>
      <c r="G1272" s="300">
        <f t="shared" si="193"/>
        <v>0</v>
      </c>
      <c r="H1272" s="448"/>
    </row>
    <row r="1273" spans="1:8" ht="14.25" customHeight="1">
      <c r="C1273" s="213"/>
      <c r="D1273" s="213"/>
      <c r="F1273" s="213"/>
    </row>
    <row r="1274" spans="1:8" ht="14.25" customHeight="1">
      <c r="A1274" s="214" t="s">
        <v>157</v>
      </c>
      <c r="C1274" s="213"/>
      <c r="D1274" s="213"/>
      <c r="F1274" s="213"/>
    </row>
    <row r="1275" spans="1:8" ht="14.25" customHeight="1">
      <c r="A1275" s="233" t="s">
        <v>147</v>
      </c>
      <c r="B1275" s="222"/>
      <c r="C1275" s="221" t="s">
        <v>158</v>
      </c>
      <c r="D1275" s="221"/>
      <c r="E1275" s="222" t="s">
        <v>159</v>
      </c>
      <c r="F1275" s="221" t="s">
        <v>160</v>
      </c>
      <c r="G1275" s="222" t="s">
        <v>161</v>
      </c>
      <c r="H1275" s="223" t="s">
        <v>152</v>
      </c>
    </row>
    <row r="1276" spans="1:8" ht="27" customHeight="1">
      <c r="A1276" s="491" t="s">
        <v>375</v>
      </c>
      <c r="B1276" s="454"/>
      <c r="C1276" s="229" t="s">
        <v>366</v>
      </c>
      <c r="D1276" s="229"/>
      <c r="E1276" s="232">
        <f>889000</f>
        <v>889000</v>
      </c>
      <c r="F1276" s="229">
        <f>1</f>
        <v>1</v>
      </c>
      <c r="G1276" s="260">
        <f>E1276*F1276</f>
        <v>889000</v>
      </c>
      <c r="H1276" s="264">
        <f>G1276</f>
        <v>889000</v>
      </c>
    </row>
    <row r="1277" spans="1:8" ht="14.25" customHeight="1">
      <c r="C1277" s="213"/>
      <c r="D1277" s="213"/>
      <c r="F1277" s="213"/>
    </row>
    <row r="1278" spans="1:8" ht="14.25" customHeight="1">
      <c r="A1278" s="214" t="s">
        <v>165</v>
      </c>
      <c r="C1278" s="213"/>
      <c r="D1278" s="213"/>
      <c r="F1278" s="213"/>
    </row>
    <row r="1279" spans="1:8" ht="14.25" customHeight="1">
      <c r="A1279" s="233" t="s">
        <v>147</v>
      </c>
      <c r="B1279" s="222"/>
      <c r="C1279" s="221" t="s">
        <v>166</v>
      </c>
      <c r="D1279" s="221" t="s">
        <v>167</v>
      </c>
      <c r="E1279" s="222" t="s">
        <v>168</v>
      </c>
      <c r="F1279" s="221" t="s">
        <v>169</v>
      </c>
      <c r="G1279" s="222" t="s">
        <v>170</v>
      </c>
      <c r="H1279" s="223" t="s">
        <v>152</v>
      </c>
    </row>
    <row r="1280" spans="1:8" ht="14.25" customHeight="1">
      <c r="A1280" s="267" t="s">
        <v>171</v>
      </c>
      <c r="B1280" s="260"/>
      <c r="C1280" s="229">
        <f>1</f>
        <v>1</v>
      </c>
      <c r="D1280" s="229">
        <f>27.504</f>
        <v>27.504000000000001</v>
      </c>
      <c r="E1280" s="260">
        <f>369.3</f>
        <v>369.3</v>
      </c>
      <c r="F1280" s="229">
        <f>2.5</f>
        <v>2.5</v>
      </c>
      <c r="G1280" s="260">
        <f>E1280*D1280*F1280*0</f>
        <v>0</v>
      </c>
      <c r="H1280" s="280">
        <f>+G1280</f>
        <v>0</v>
      </c>
    </row>
    <row r="1281" spans="1:8" ht="14.25" customHeight="1">
      <c r="C1281" s="213"/>
      <c r="D1281" s="213"/>
      <c r="F1281" s="213"/>
    </row>
    <row r="1282" spans="1:8" ht="14.25" customHeight="1">
      <c r="A1282" s="214" t="s">
        <v>172</v>
      </c>
      <c r="C1282" s="213"/>
      <c r="D1282" s="213"/>
      <c r="F1282" s="213"/>
    </row>
    <row r="1283" spans="1:8" ht="14.25" customHeight="1">
      <c r="A1283" s="233" t="s">
        <v>147</v>
      </c>
      <c r="B1283" s="222"/>
      <c r="C1283" s="221" t="s">
        <v>173</v>
      </c>
      <c r="D1283" s="221" t="s">
        <v>174</v>
      </c>
      <c r="E1283" s="222" t="s">
        <v>175</v>
      </c>
      <c r="F1283" s="221" t="s">
        <v>150</v>
      </c>
      <c r="G1283" s="222" t="s">
        <v>176</v>
      </c>
      <c r="H1283" s="223" t="s">
        <v>152</v>
      </c>
    </row>
    <row r="1284" spans="1:8" ht="14.25" customHeight="1">
      <c r="A1284" s="459" t="s">
        <v>177</v>
      </c>
      <c r="B1284" s="451"/>
      <c r="C1284" s="224">
        <v>55000</v>
      </c>
      <c r="D1284" s="224">
        <v>0</v>
      </c>
      <c r="E1284" s="228">
        <f t="shared" ref="E1284:E1285" si="194">C1284</f>
        <v>55000</v>
      </c>
      <c r="F1284" s="281">
        <v>0</v>
      </c>
      <c r="G1284" s="226">
        <f t="shared" ref="G1284:G1285" si="195">E1284*F1284</f>
        <v>0</v>
      </c>
      <c r="H1284" s="449">
        <f>G1284+G1285</f>
        <v>17500</v>
      </c>
    </row>
    <row r="1285" spans="1:8" ht="14.25" customHeight="1">
      <c r="A1285" s="267" t="s">
        <v>178</v>
      </c>
      <c r="B1285" s="260"/>
      <c r="C1285" s="229">
        <v>35000</v>
      </c>
      <c r="D1285" s="229">
        <v>0</v>
      </c>
      <c r="E1285" s="260">
        <f t="shared" si="194"/>
        <v>35000</v>
      </c>
      <c r="F1285" s="282">
        <v>0.5</v>
      </c>
      <c r="G1285" s="232">
        <f t="shared" si="195"/>
        <v>17500</v>
      </c>
      <c r="H1285" s="448"/>
    </row>
    <row r="1286" spans="1:8" ht="14.25" customHeight="1">
      <c r="C1286" s="213"/>
      <c r="D1286" s="213"/>
      <c r="F1286" s="213"/>
    </row>
    <row r="1287" spans="1:8" ht="14.25" customHeight="1">
      <c r="C1287" s="213"/>
      <c r="D1287" s="213"/>
      <c r="F1287" s="213"/>
    </row>
    <row r="1288" spans="1:8" ht="14.25" customHeight="1">
      <c r="C1288" s="213"/>
      <c r="D1288" s="213"/>
      <c r="F1288" s="213"/>
    </row>
    <row r="1289" spans="1:8" ht="14.25" customHeight="1">
      <c r="C1289" s="213"/>
      <c r="D1289" s="213"/>
      <c r="F1289" s="213"/>
    </row>
    <row r="1290" spans="1:8" ht="14.25" customHeight="1">
      <c r="C1290" s="213"/>
      <c r="D1290" s="213"/>
      <c r="F1290" s="213"/>
    </row>
    <row r="1291" spans="1:8" ht="14.25" customHeight="1">
      <c r="C1291" s="213"/>
      <c r="D1291" s="213"/>
      <c r="F1291" s="213"/>
    </row>
    <row r="1292" spans="1:8" ht="14.25" customHeight="1">
      <c r="A1292" s="463" t="s">
        <v>137</v>
      </c>
      <c r="B1292" s="430"/>
      <c r="C1292" s="463" t="s">
        <v>376</v>
      </c>
      <c r="D1292" s="430"/>
      <c r="E1292" s="430"/>
      <c r="F1292" s="430"/>
      <c r="G1292" s="430"/>
      <c r="H1292" s="430"/>
    </row>
    <row r="1293" spans="1:8" ht="14.25" customHeight="1">
      <c r="C1293" s="213"/>
      <c r="D1293" s="213"/>
      <c r="F1293" s="213"/>
    </row>
    <row r="1294" spans="1:8" ht="29.25" customHeight="1">
      <c r="A1294" t="s">
        <v>139</v>
      </c>
      <c r="B1294" s="464" t="s">
        <v>92</v>
      </c>
      <c r="C1294" s="430"/>
      <c r="D1294" s="430"/>
      <c r="E1294" s="430"/>
      <c r="F1294" s="430"/>
      <c r="G1294" s="217" t="s">
        <v>140</v>
      </c>
      <c r="H1294" s="217" t="s">
        <v>377</v>
      </c>
    </row>
    <row r="1295" spans="1:8" ht="14.25" customHeight="1">
      <c r="A1295" t="s">
        <v>142</v>
      </c>
      <c r="B1295" s="213" t="s">
        <v>15</v>
      </c>
      <c r="C1295" s="213"/>
      <c r="D1295" s="213"/>
      <c r="F1295" s="216" t="s">
        <v>143</v>
      </c>
      <c r="G1295" s="279">
        <f>H1298+H1305+H1310+H1314</f>
        <v>798220</v>
      </c>
    </row>
    <row r="1296" spans="1:8" ht="14.25" customHeight="1">
      <c r="A1296" s="214" t="s">
        <v>145</v>
      </c>
      <c r="C1296" s="213"/>
      <c r="D1296" s="213"/>
      <c r="F1296" s="213"/>
    </row>
    <row r="1297" spans="1:12" ht="14.25" customHeight="1">
      <c r="A1297" s="233" t="s">
        <v>147</v>
      </c>
      <c r="B1297" s="222"/>
      <c r="C1297" s="221" t="s">
        <v>148</v>
      </c>
      <c r="D1297" s="221"/>
      <c r="E1297" s="222" t="s">
        <v>149</v>
      </c>
      <c r="F1297" s="221" t="s">
        <v>150</v>
      </c>
      <c r="G1297" s="222" t="s">
        <v>151</v>
      </c>
      <c r="H1297" s="223" t="s">
        <v>152</v>
      </c>
    </row>
    <row r="1298" spans="1:12" ht="14.25" customHeight="1">
      <c r="A1298" s="459" t="s">
        <v>153</v>
      </c>
      <c r="B1298" s="451"/>
      <c r="C1298" s="224"/>
      <c r="D1298" s="224"/>
      <c r="E1298" s="228">
        <f>7500</f>
        <v>7500</v>
      </c>
      <c r="F1298" s="224">
        <f t="shared" ref="F1298:F1300" si="196">0</f>
        <v>0</v>
      </c>
      <c r="G1298" s="299">
        <f t="shared" ref="G1298:G1301" si="197">E1298*F1298</f>
        <v>0</v>
      </c>
      <c r="H1298" s="446">
        <f>SUM(G1298:G1301)</f>
        <v>7500</v>
      </c>
    </row>
    <row r="1299" spans="1:12" ht="14.25" customHeight="1">
      <c r="A1299" s="227" t="s">
        <v>154</v>
      </c>
      <c r="B1299" s="228"/>
      <c r="C1299" s="224"/>
      <c r="D1299" s="224"/>
      <c r="E1299" s="228">
        <f>20110/8</f>
        <v>2513.75</v>
      </c>
      <c r="F1299" s="224">
        <f t="shared" si="196"/>
        <v>0</v>
      </c>
      <c r="G1299" s="299">
        <f t="shared" si="197"/>
        <v>0</v>
      </c>
      <c r="H1299" s="447"/>
    </row>
    <row r="1300" spans="1:12" ht="14.25" customHeight="1">
      <c r="A1300" s="227" t="s">
        <v>371</v>
      </c>
      <c r="B1300" s="228"/>
      <c r="C1300" s="224"/>
      <c r="D1300" s="224"/>
      <c r="E1300" s="228">
        <f>50000/8</f>
        <v>6250</v>
      </c>
      <c r="F1300" s="224">
        <f t="shared" si="196"/>
        <v>0</v>
      </c>
      <c r="G1300" s="299">
        <f t="shared" si="197"/>
        <v>0</v>
      </c>
      <c r="H1300" s="447"/>
    </row>
    <row r="1301" spans="1:12" ht="14.25" customHeight="1">
      <c r="A1301" s="267" t="s">
        <v>156</v>
      </c>
      <c r="B1301" s="260"/>
      <c r="C1301" s="229"/>
      <c r="D1301" s="229"/>
      <c r="E1301" s="260">
        <f>2500</f>
        <v>2500</v>
      </c>
      <c r="F1301" s="229">
        <f>3</f>
        <v>3</v>
      </c>
      <c r="G1301" s="300">
        <f t="shared" si="197"/>
        <v>7500</v>
      </c>
      <c r="H1301" s="448"/>
    </row>
    <row r="1302" spans="1:12" ht="14.25" customHeight="1">
      <c r="C1302" s="213"/>
      <c r="D1302" s="213"/>
      <c r="F1302" s="213"/>
    </row>
    <row r="1303" spans="1:12" ht="14.25" customHeight="1">
      <c r="A1303" s="214" t="s">
        <v>157</v>
      </c>
      <c r="C1303" s="213"/>
      <c r="D1303" s="213"/>
      <c r="F1303" s="213"/>
    </row>
    <row r="1304" spans="1:12" ht="14.25" customHeight="1">
      <c r="A1304" s="233" t="s">
        <v>147</v>
      </c>
      <c r="B1304" s="222"/>
      <c r="C1304" s="221" t="s">
        <v>158</v>
      </c>
      <c r="D1304" s="221"/>
      <c r="E1304" s="222" t="s">
        <v>159</v>
      </c>
      <c r="F1304" s="221" t="s">
        <v>160</v>
      </c>
      <c r="G1304" s="222" t="s">
        <v>161</v>
      </c>
      <c r="H1304" s="223" t="s">
        <v>152</v>
      </c>
    </row>
    <row r="1305" spans="1:12" ht="14.25" customHeight="1">
      <c r="A1305" s="465" t="s">
        <v>238</v>
      </c>
      <c r="B1305" s="451"/>
      <c r="C1305" s="224" t="s">
        <v>239</v>
      </c>
      <c r="D1305" s="224"/>
      <c r="E1305" s="226">
        <f>48000</f>
        <v>48000</v>
      </c>
      <c r="F1305" s="224">
        <f>0.015</f>
        <v>1.4999999999999999E-2</v>
      </c>
      <c r="G1305" s="228">
        <f t="shared" ref="G1305:G1306" si="198">E1305*F1305</f>
        <v>720</v>
      </c>
      <c r="H1305" s="449">
        <f>G1305+G1306</f>
        <v>700720</v>
      </c>
    </row>
    <row r="1306" spans="1:12" ht="31.5" customHeight="1">
      <c r="A1306" s="490" t="s">
        <v>378</v>
      </c>
      <c r="B1306" s="454"/>
      <c r="C1306" s="256" t="s">
        <v>158</v>
      </c>
      <c r="D1306" s="256"/>
      <c r="E1306" s="259">
        <f>350000</f>
        <v>350000</v>
      </c>
      <c r="F1306" s="256">
        <f>2</f>
        <v>2</v>
      </c>
      <c r="G1306" s="259">
        <f t="shared" si="198"/>
        <v>700000</v>
      </c>
      <c r="H1306" s="448"/>
      <c r="I1306" s="238"/>
      <c r="J1306" s="238"/>
      <c r="K1306" s="238"/>
      <c r="L1306" s="238"/>
    </row>
    <row r="1307" spans="1:12" ht="14.25" customHeight="1">
      <c r="C1307" s="213"/>
      <c r="D1307" s="213"/>
      <c r="F1307" s="213"/>
    </row>
    <row r="1308" spans="1:12" ht="14.25" customHeight="1">
      <c r="A1308" s="214" t="s">
        <v>165</v>
      </c>
      <c r="C1308" s="213"/>
      <c r="D1308" s="213"/>
      <c r="F1308" s="213"/>
    </row>
    <row r="1309" spans="1:12" ht="14.25" customHeight="1">
      <c r="A1309" s="233" t="s">
        <v>147</v>
      </c>
      <c r="B1309" s="222"/>
      <c r="C1309" s="221" t="s">
        <v>166</v>
      </c>
      <c r="D1309" s="221" t="s">
        <v>167</v>
      </c>
      <c r="E1309" s="222" t="s">
        <v>168</v>
      </c>
      <c r="F1309" s="221" t="s">
        <v>169</v>
      </c>
      <c r="G1309" s="222" t="s">
        <v>170</v>
      </c>
      <c r="H1309" s="223" t="s">
        <v>152</v>
      </c>
    </row>
    <row r="1310" spans="1:12" ht="14.25" customHeight="1">
      <c r="A1310" s="267" t="s">
        <v>171</v>
      </c>
      <c r="B1310" s="260"/>
      <c r="C1310" s="229">
        <f>1</f>
        <v>1</v>
      </c>
      <c r="D1310" s="229">
        <f>27.504</f>
        <v>27.504000000000001</v>
      </c>
      <c r="E1310" s="260">
        <f>369.3</f>
        <v>369.3</v>
      </c>
      <c r="F1310" s="229">
        <f>2.5</f>
        <v>2.5</v>
      </c>
      <c r="G1310" s="260">
        <f>E1310*D1310*F1310*0</f>
        <v>0</v>
      </c>
      <c r="H1310" s="280">
        <f>+G1310</f>
        <v>0</v>
      </c>
    </row>
    <row r="1311" spans="1:12" ht="14.25" customHeight="1">
      <c r="C1311" s="213"/>
      <c r="D1311" s="213"/>
      <c r="F1311" s="213"/>
    </row>
    <row r="1312" spans="1:12" ht="14.25" customHeight="1">
      <c r="A1312" s="214" t="s">
        <v>379</v>
      </c>
      <c r="C1312" s="213"/>
      <c r="D1312" s="213"/>
      <c r="F1312" s="213"/>
    </row>
    <row r="1313" spans="1:8" ht="14.25" customHeight="1">
      <c r="A1313" s="233" t="s">
        <v>147</v>
      </c>
      <c r="B1313" s="222"/>
      <c r="C1313" s="221" t="s">
        <v>173</v>
      </c>
      <c r="D1313" s="221" t="s">
        <v>174</v>
      </c>
      <c r="E1313" s="222" t="s">
        <v>175</v>
      </c>
      <c r="F1313" s="221" t="s">
        <v>150</v>
      </c>
      <c r="G1313" s="222" t="s">
        <v>176</v>
      </c>
      <c r="H1313" s="223" t="s">
        <v>152</v>
      </c>
    </row>
    <row r="1314" spans="1:8" ht="14.25" customHeight="1">
      <c r="A1314" s="459" t="s">
        <v>177</v>
      </c>
      <c r="B1314" s="451"/>
      <c r="C1314" s="224">
        <v>55000</v>
      </c>
      <c r="D1314" s="224">
        <v>0</v>
      </c>
      <c r="E1314" s="228">
        <f t="shared" ref="E1314:E1315" si="199">C1314</f>
        <v>55000</v>
      </c>
      <c r="F1314" s="281">
        <v>1</v>
      </c>
      <c r="G1314" s="226">
        <f t="shared" ref="G1314:G1315" si="200">E1314*F1314</f>
        <v>55000</v>
      </c>
      <c r="H1314" s="449">
        <f>G1314+G1315</f>
        <v>90000</v>
      </c>
    </row>
    <row r="1315" spans="1:8" ht="14.25" customHeight="1">
      <c r="A1315" s="267" t="s">
        <v>178</v>
      </c>
      <c r="B1315" s="260"/>
      <c r="C1315" s="229">
        <v>35000</v>
      </c>
      <c r="D1315" s="229">
        <v>0</v>
      </c>
      <c r="E1315" s="260">
        <f t="shared" si="199"/>
        <v>35000</v>
      </c>
      <c r="F1315" s="282">
        <v>1</v>
      </c>
      <c r="G1315" s="232">
        <f t="shared" si="200"/>
        <v>35000</v>
      </c>
      <c r="H1315" s="448"/>
    </row>
    <row r="1316" spans="1:8" ht="14.25" customHeight="1">
      <c r="A1316" s="261"/>
      <c r="B1316" s="261"/>
      <c r="C1316" s="213"/>
      <c r="D1316" s="213"/>
      <c r="E1316" s="261"/>
      <c r="F1316" s="301"/>
      <c r="G1316" s="220"/>
      <c r="H1316" s="262"/>
    </row>
    <row r="1317" spans="1:8" ht="14.25" customHeight="1">
      <c r="A1317" s="261"/>
      <c r="B1317" s="261"/>
      <c r="C1317" s="213"/>
      <c r="D1317" s="213"/>
      <c r="E1317" s="261"/>
      <c r="F1317" s="301"/>
      <c r="G1317" s="220"/>
      <c r="H1317" s="262"/>
    </row>
    <row r="1318" spans="1:8" ht="14.25" customHeight="1">
      <c r="C1318" s="213"/>
      <c r="D1318" s="213"/>
      <c r="F1318" s="213"/>
    </row>
    <row r="1319" spans="1:8" ht="14.25" customHeight="1">
      <c r="C1319" s="213"/>
      <c r="D1319" s="213"/>
      <c r="F1319" s="213"/>
    </row>
    <row r="1320" spans="1:8" ht="14.25" customHeight="1">
      <c r="C1320" s="213"/>
      <c r="D1320" s="213"/>
      <c r="F1320" s="213"/>
    </row>
    <row r="1321" spans="1:8" ht="14.25" customHeight="1">
      <c r="C1321" s="213"/>
      <c r="D1321" s="213"/>
      <c r="F1321" s="213"/>
    </row>
    <row r="1322" spans="1:8" ht="14.25" customHeight="1">
      <c r="C1322" s="213"/>
      <c r="D1322" s="213"/>
      <c r="F1322" s="213"/>
    </row>
    <row r="1323" spans="1:8" ht="14.25" customHeight="1">
      <c r="A1323" s="463" t="s">
        <v>137</v>
      </c>
      <c r="B1323" s="430"/>
      <c r="C1323" s="463" t="s">
        <v>380</v>
      </c>
      <c r="D1323" s="430"/>
      <c r="E1323" s="430"/>
      <c r="F1323" s="430"/>
      <c r="G1323" s="430"/>
      <c r="H1323" s="430"/>
    </row>
    <row r="1324" spans="1:8" ht="14.25" customHeight="1">
      <c r="C1324" s="213"/>
      <c r="D1324" s="213"/>
      <c r="F1324" s="213"/>
    </row>
    <row r="1325" spans="1:8" ht="14.25" customHeight="1">
      <c r="A1325" t="s">
        <v>139</v>
      </c>
      <c r="B1325" s="464" t="s">
        <v>98</v>
      </c>
      <c r="C1325" s="430"/>
      <c r="D1325" s="430"/>
      <c r="E1325" s="430"/>
      <c r="F1325" s="430"/>
      <c r="G1325" s="217" t="s">
        <v>140</v>
      </c>
      <c r="H1325" s="217" t="s">
        <v>381</v>
      </c>
    </row>
    <row r="1326" spans="1:8" ht="14.25" customHeight="1">
      <c r="A1326" t="s">
        <v>142</v>
      </c>
      <c r="B1326" s="213" t="s">
        <v>15</v>
      </c>
      <c r="C1326" s="213"/>
      <c r="D1326" s="213"/>
      <c r="F1326" s="216" t="s">
        <v>143</v>
      </c>
      <c r="G1326" s="279">
        <f>H1329+H1336+H1342+H1346</f>
        <v>15870</v>
      </c>
    </row>
    <row r="1327" spans="1:8" ht="14.25" customHeight="1">
      <c r="A1327" s="214" t="s">
        <v>145</v>
      </c>
      <c r="C1327" s="213"/>
      <c r="D1327" s="213"/>
      <c r="F1327" s="213"/>
    </row>
    <row r="1328" spans="1:8" ht="14.25" customHeight="1">
      <c r="A1328" s="233" t="s">
        <v>147</v>
      </c>
      <c r="B1328" s="222"/>
      <c r="C1328" s="221" t="s">
        <v>148</v>
      </c>
      <c r="D1328" s="221"/>
      <c r="E1328" s="222" t="s">
        <v>149</v>
      </c>
      <c r="F1328" s="221" t="s">
        <v>150</v>
      </c>
      <c r="G1328" s="222" t="s">
        <v>151</v>
      </c>
      <c r="H1328" s="223" t="s">
        <v>152</v>
      </c>
    </row>
    <row r="1329" spans="1:8" ht="14.25" customHeight="1">
      <c r="A1329" s="459" t="s">
        <v>153</v>
      </c>
      <c r="B1329" s="451"/>
      <c r="C1329" s="224"/>
      <c r="D1329" s="224"/>
      <c r="E1329" s="228">
        <f>7500</f>
        <v>7500</v>
      </c>
      <c r="F1329" s="224">
        <f t="shared" ref="F1329:F1331" si="201">0</f>
        <v>0</v>
      </c>
      <c r="G1329" s="299">
        <f t="shared" ref="G1329:G1332" si="202">E1329*F1329</f>
        <v>0</v>
      </c>
      <c r="H1329" s="446">
        <f>SUM(G1329:G1332)</f>
        <v>2500</v>
      </c>
    </row>
    <row r="1330" spans="1:8" ht="14.25" customHeight="1">
      <c r="A1330" s="227" t="s">
        <v>154</v>
      </c>
      <c r="B1330" s="228"/>
      <c r="C1330" s="224"/>
      <c r="D1330" s="224"/>
      <c r="E1330" s="228">
        <f>20110/8</f>
        <v>2513.75</v>
      </c>
      <c r="F1330" s="224">
        <f t="shared" si="201"/>
        <v>0</v>
      </c>
      <c r="G1330" s="299">
        <f t="shared" si="202"/>
        <v>0</v>
      </c>
      <c r="H1330" s="447"/>
    </row>
    <row r="1331" spans="1:8" ht="14.25" customHeight="1">
      <c r="A1331" s="227" t="s">
        <v>371</v>
      </c>
      <c r="B1331" s="228"/>
      <c r="C1331" s="224"/>
      <c r="D1331" s="224"/>
      <c r="E1331" s="228">
        <f>50000/8</f>
        <v>6250</v>
      </c>
      <c r="F1331" s="224">
        <f t="shared" si="201"/>
        <v>0</v>
      </c>
      <c r="G1331" s="299">
        <f t="shared" si="202"/>
        <v>0</v>
      </c>
      <c r="H1331" s="447"/>
    </row>
    <row r="1332" spans="1:8" ht="14.25" customHeight="1">
      <c r="A1332" s="267" t="s">
        <v>156</v>
      </c>
      <c r="B1332" s="260"/>
      <c r="C1332" s="229"/>
      <c r="D1332" s="229"/>
      <c r="E1332" s="260">
        <f>2500</f>
        <v>2500</v>
      </c>
      <c r="F1332" s="229">
        <f>1</f>
        <v>1</v>
      </c>
      <c r="G1332" s="300">
        <f t="shared" si="202"/>
        <v>2500</v>
      </c>
      <c r="H1332" s="448"/>
    </row>
    <row r="1333" spans="1:8" ht="14.25" customHeight="1">
      <c r="C1333" s="213"/>
      <c r="D1333" s="213"/>
      <c r="F1333" s="213"/>
    </row>
    <row r="1334" spans="1:8" ht="14.25" customHeight="1">
      <c r="A1334" s="214" t="s">
        <v>157</v>
      </c>
      <c r="C1334" s="213"/>
      <c r="D1334" s="213"/>
      <c r="F1334" s="213"/>
    </row>
    <row r="1335" spans="1:8" ht="14.25" customHeight="1">
      <c r="A1335" s="233" t="s">
        <v>147</v>
      </c>
      <c r="B1335" s="222"/>
      <c r="C1335" s="221" t="s">
        <v>158</v>
      </c>
      <c r="D1335" s="221"/>
      <c r="E1335" s="222" t="s">
        <v>159</v>
      </c>
      <c r="F1335" s="221" t="s">
        <v>160</v>
      </c>
      <c r="G1335" s="222" t="s">
        <v>161</v>
      </c>
      <c r="H1335" s="223" t="s">
        <v>152</v>
      </c>
    </row>
    <row r="1336" spans="1:8" ht="14.25" customHeight="1">
      <c r="A1336" s="465" t="s">
        <v>238</v>
      </c>
      <c r="B1336" s="451"/>
      <c r="C1336" s="224" t="s">
        <v>239</v>
      </c>
      <c r="D1336" s="224"/>
      <c r="E1336" s="226">
        <f>48000</f>
        <v>48000</v>
      </c>
      <c r="F1336" s="224">
        <f>0.015</f>
        <v>1.4999999999999999E-2</v>
      </c>
      <c r="G1336" s="228">
        <f t="shared" ref="G1336:G1338" si="203">E1336*F1336</f>
        <v>720</v>
      </c>
      <c r="H1336" s="449">
        <f>G1336+G1337+G1338</f>
        <v>4620</v>
      </c>
    </row>
    <row r="1337" spans="1:8" ht="14.25" customHeight="1">
      <c r="A1337" s="465" t="s">
        <v>382</v>
      </c>
      <c r="B1337" s="451"/>
      <c r="C1337" s="275" t="s">
        <v>158</v>
      </c>
      <c r="D1337" s="275"/>
      <c r="E1337" s="302">
        <f>4500</f>
        <v>4500</v>
      </c>
      <c r="F1337" s="275">
        <f>0.2</f>
        <v>0.2</v>
      </c>
      <c r="G1337" s="228">
        <f t="shared" si="203"/>
        <v>900</v>
      </c>
      <c r="H1337" s="447"/>
    </row>
    <row r="1338" spans="1:8" ht="14.25" customHeight="1">
      <c r="A1338" s="490" t="s">
        <v>383</v>
      </c>
      <c r="B1338" s="454"/>
      <c r="C1338" s="256" t="s">
        <v>239</v>
      </c>
      <c r="D1338" s="256"/>
      <c r="E1338" s="259">
        <f>12000</f>
        <v>12000</v>
      </c>
      <c r="F1338" s="256">
        <f>0.25</f>
        <v>0.25</v>
      </c>
      <c r="G1338" s="259">
        <f t="shared" si="203"/>
        <v>3000</v>
      </c>
      <c r="H1338" s="448"/>
    </row>
    <row r="1339" spans="1:8" ht="14.25" customHeight="1">
      <c r="C1339" s="213"/>
      <c r="D1339" s="213"/>
      <c r="F1339" s="213"/>
    </row>
    <row r="1340" spans="1:8" ht="14.25" customHeight="1">
      <c r="A1340" s="214" t="s">
        <v>165</v>
      </c>
      <c r="C1340" s="213"/>
      <c r="D1340" s="213"/>
      <c r="F1340" s="213"/>
    </row>
    <row r="1341" spans="1:8" ht="14.25" customHeight="1">
      <c r="A1341" s="233" t="s">
        <v>147</v>
      </c>
      <c r="B1341" s="222"/>
      <c r="C1341" s="221" t="s">
        <v>166</v>
      </c>
      <c r="D1341" s="221" t="s">
        <v>167</v>
      </c>
      <c r="E1341" s="222" t="s">
        <v>168</v>
      </c>
      <c r="F1341" s="221" t="s">
        <v>169</v>
      </c>
      <c r="G1341" s="222" t="s">
        <v>170</v>
      </c>
      <c r="H1341" s="223" t="s">
        <v>152</v>
      </c>
    </row>
    <row r="1342" spans="1:8" ht="14.25" customHeight="1">
      <c r="A1342" s="267" t="s">
        <v>171</v>
      </c>
      <c r="B1342" s="260"/>
      <c r="C1342" s="229">
        <f>1</f>
        <v>1</v>
      </c>
      <c r="D1342" s="229">
        <f>27.504</f>
        <v>27.504000000000001</v>
      </c>
      <c r="E1342" s="260">
        <f>369.3</f>
        <v>369.3</v>
      </c>
      <c r="F1342" s="229">
        <f>2.5</f>
        <v>2.5</v>
      </c>
      <c r="G1342" s="260">
        <f>E1342*D1342*F1342*0</f>
        <v>0</v>
      </c>
      <c r="H1342" s="280">
        <f>+G1342</f>
        <v>0</v>
      </c>
    </row>
    <row r="1343" spans="1:8" ht="14.25" customHeight="1">
      <c r="C1343" s="213"/>
      <c r="D1343" s="213"/>
      <c r="F1343" s="213"/>
    </row>
    <row r="1344" spans="1:8" ht="14.25" customHeight="1">
      <c r="A1344" s="214" t="s">
        <v>379</v>
      </c>
      <c r="C1344" s="213"/>
      <c r="D1344" s="213"/>
      <c r="F1344" s="213"/>
    </row>
    <row r="1345" spans="1:8" ht="14.25" customHeight="1">
      <c r="A1345" s="233" t="s">
        <v>147</v>
      </c>
      <c r="B1345" s="222"/>
      <c r="C1345" s="221" t="s">
        <v>173</v>
      </c>
      <c r="D1345" s="221" t="s">
        <v>174</v>
      </c>
      <c r="E1345" s="222" t="s">
        <v>175</v>
      </c>
      <c r="F1345" s="221" t="s">
        <v>150</v>
      </c>
      <c r="G1345" s="222" t="s">
        <v>176</v>
      </c>
      <c r="H1345" s="223" t="s">
        <v>152</v>
      </c>
    </row>
    <row r="1346" spans="1:8" ht="14.25" customHeight="1">
      <c r="A1346" s="459" t="s">
        <v>177</v>
      </c>
      <c r="B1346" s="451"/>
      <c r="C1346" s="224">
        <v>55000</v>
      </c>
      <c r="D1346" s="224">
        <v>0</v>
      </c>
      <c r="E1346" s="228">
        <f t="shared" ref="E1346:E1347" si="204">C1346</f>
        <v>55000</v>
      </c>
      <c r="F1346" s="303">
        <v>0</v>
      </c>
      <c r="G1346" s="226">
        <f t="shared" ref="G1346:G1347" si="205">E1346*F1346</f>
        <v>0</v>
      </c>
      <c r="H1346" s="449">
        <f>G1346+G1347</f>
        <v>8750</v>
      </c>
    </row>
    <row r="1347" spans="1:8" ht="14.25" customHeight="1">
      <c r="A1347" s="267" t="s">
        <v>178</v>
      </c>
      <c r="B1347" s="260"/>
      <c r="C1347" s="229">
        <v>35000</v>
      </c>
      <c r="D1347" s="229">
        <v>0</v>
      </c>
      <c r="E1347" s="260">
        <f t="shared" si="204"/>
        <v>35000</v>
      </c>
      <c r="F1347" s="282">
        <v>0.25</v>
      </c>
      <c r="G1347" s="232">
        <f t="shared" si="205"/>
        <v>8750</v>
      </c>
      <c r="H1347" s="448"/>
    </row>
    <row r="1348" spans="1:8" ht="14.25" customHeight="1">
      <c r="C1348" s="213"/>
      <c r="D1348" s="213"/>
      <c r="F1348" s="213"/>
    </row>
    <row r="1349" spans="1:8" ht="14.25" customHeight="1">
      <c r="C1349" s="213"/>
      <c r="D1349" s="213"/>
      <c r="F1349" s="213"/>
    </row>
    <row r="1350" spans="1:8" ht="14.25" customHeight="1">
      <c r="C1350" s="213"/>
      <c r="D1350" s="213"/>
      <c r="F1350" s="213"/>
    </row>
    <row r="1351" spans="1:8" ht="14.25" customHeight="1">
      <c r="C1351" s="213"/>
      <c r="D1351" s="213"/>
      <c r="F1351" s="213"/>
    </row>
    <row r="1352" spans="1:8" ht="14.25" customHeight="1">
      <c r="C1352" s="213"/>
      <c r="D1352" s="213"/>
      <c r="F1352" s="213"/>
    </row>
    <row r="1353" spans="1:8" ht="14.25" customHeight="1">
      <c r="C1353" s="213"/>
      <c r="D1353" s="213"/>
      <c r="F1353" s="213"/>
    </row>
    <row r="1354" spans="1:8" ht="14.25" customHeight="1">
      <c r="A1354" s="463" t="s">
        <v>137</v>
      </c>
      <c r="B1354" s="430"/>
      <c r="C1354" s="463" t="s">
        <v>384</v>
      </c>
      <c r="D1354" s="430"/>
      <c r="E1354" s="430"/>
      <c r="F1354" s="430"/>
      <c r="G1354" s="430"/>
      <c r="H1354" s="430"/>
    </row>
    <row r="1355" spans="1:8" ht="14.25" customHeight="1">
      <c r="C1355" s="213"/>
      <c r="D1355" s="213"/>
      <c r="F1355" s="213"/>
    </row>
    <row r="1356" spans="1:8" ht="14.25" customHeight="1">
      <c r="A1356" t="s">
        <v>139</v>
      </c>
      <c r="B1356" s="464" t="s">
        <v>99</v>
      </c>
      <c r="C1356" s="430"/>
      <c r="D1356" s="430"/>
      <c r="E1356" s="430"/>
      <c r="F1356" s="430"/>
      <c r="G1356" s="217" t="s">
        <v>140</v>
      </c>
      <c r="H1356" s="217" t="s">
        <v>385</v>
      </c>
    </row>
    <row r="1357" spans="1:8" ht="14.25" customHeight="1">
      <c r="A1357" t="s">
        <v>142</v>
      </c>
      <c r="B1357" s="213" t="s">
        <v>15</v>
      </c>
      <c r="C1357" s="213"/>
      <c r="D1357" s="213"/>
      <c r="F1357" s="216" t="s">
        <v>143</v>
      </c>
      <c r="G1357" s="279">
        <f>H1360+H1368+H1376+H1380</f>
        <v>80770.52</v>
      </c>
    </row>
    <row r="1358" spans="1:8" ht="14.25" customHeight="1">
      <c r="A1358" s="214" t="s">
        <v>145</v>
      </c>
      <c r="C1358" s="213"/>
      <c r="D1358" s="213"/>
      <c r="F1358" s="213"/>
    </row>
    <row r="1359" spans="1:8" ht="14.25" customHeight="1">
      <c r="A1359" s="233" t="s">
        <v>147</v>
      </c>
      <c r="B1359" s="222"/>
      <c r="C1359" s="221" t="s">
        <v>148</v>
      </c>
      <c r="D1359" s="221"/>
      <c r="E1359" s="222" t="s">
        <v>149</v>
      </c>
      <c r="F1359" s="221" t="s">
        <v>150</v>
      </c>
      <c r="G1359" s="222" t="s">
        <v>151</v>
      </c>
      <c r="H1359" s="223" t="s">
        <v>152</v>
      </c>
    </row>
    <row r="1360" spans="1:8" ht="14.25" customHeight="1">
      <c r="A1360" s="459" t="s">
        <v>153</v>
      </c>
      <c r="B1360" s="451"/>
      <c r="C1360" s="224"/>
      <c r="D1360" s="224"/>
      <c r="E1360" s="228">
        <f>7500</f>
        <v>7500</v>
      </c>
      <c r="F1360" s="224">
        <f>1</f>
        <v>1</v>
      </c>
      <c r="G1360" s="299">
        <f t="shared" ref="G1360:G1363" si="206">E1360*F1360</f>
        <v>7500</v>
      </c>
      <c r="H1360" s="446">
        <f>SUM(G1360:G1363)</f>
        <v>16250</v>
      </c>
    </row>
    <row r="1361" spans="1:12" ht="14.25" customHeight="1">
      <c r="A1361" s="227" t="s">
        <v>154</v>
      </c>
      <c r="B1361" s="228"/>
      <c r="C1361" s="224"/>
      <c r="D1361" s="224"/>
      <c r="E1361" s="228">
        <f>20110/8</f>
        <v>2513.75</v>
      </c>
      <c r="F1361" s="224">
        <f>0</f>
        <v>0</v>
      </c>
      <c r="G1361" s="299">
        <f t="shared" si="206"/>
        <v>0</v>
      </c>
      <c r="H1361" s="447"/>
    </row>
    <row r="1362" spans="1:12" ht="14.25" customHeight="1">
      <c r="A1362" s="227" t="s">
        <v>371</v>
      </c>
      <c r="B1362" s="228"/>
      <c r="C1362" s="224"/>
      <c r="D1362" s="224"/>
      <c r="E1362" s="228">
        <f>50000/8</f>
        <v>6250</v>
      </c>
      <c r="F1362" s="224">
        <f t="shared" ref="F1362:F1363" si="207">1</f>
        <v>1</v>
      </c>
      <c r="G1362" s="299">
        <f t="shared" si="206"/>
        <v>6250</v>
      </c>
      <c r="H1362" s="447"/>
    </row>
    <row r="1363" spans="1:12" ht="14.25" customHeight="1">
      <c r="A1363" s="267" t="s">
        <v>156</v>
      </c>
      <c r="B1363" s="260"/>
      <c r="C1363" s="229"/>
      <c r="D1363" s="229"/>
      <c r="E1363" s="260">
        <f>2500</f>
        <v>2500</v>
      </c>
      <c r="F1363" s="229">
        <f t="shared" si="207"/>
        <v>1</v>
      </c>
      <c r="G1363" s="300">
        <f t="shared" si="206"/>
        <v>2500</v>
      </c>
      <c r="H1363" s="448"/>
    </row>
    <row r="1364" spans="1:12" ht="14.25" customHeight="1">
      <c r="C1364" s="213"/>
      <c r="D1364" s="213"/>
      <c r="F1364" s="213"/>
    </row>
    <row r="1365" spans="1:12" ht="14.25" customHeight="1">
      <c r="A1365" s="214" t="s">
        <v>157</v>
      </c>
      <c r="C1365" s="213"/>
      <c r="D1365" s="213"/>
      <c r="F1365" s="213"/>
    </row>
    <row r="1366" spans="1:12" ht="14.25" customHeight="1">
      <c r="A1366" s="233" t="s">
        <v>147</v>
      </c>
      <c r="B1366" s="222"/>
      <c r="C1366" s="221" t="s">
        <v>158</v>
      </c>
      <c r="D1366" s="221"/>
      <c r="E1366" s="222" t="s">
        <v>159</v>
      </c>
      <c r="F1366" s="221" t="s">
        <v>160</v>
      </c>
      <c r="G1366" s="222" t="s">
        <v>161</v>
      </c>
      <c r="H1366" s="223" t="s">
        <v>152</v>
      </c>
    </row>
    <row r="1367" spans="1:12" ht="14.25" customHeight="1">
      <c r="A1367" s="473"/>
      <c r="B1367" s="451"/>
      <c r="C1367" s="277"/>
      <c r="D1367" s="277"/>
      <c r="E1367" s="278"/>
      <c r="F1367" s="277"/>
      <c r="G1367" s="278"/>
      <c r="H1367" s="304"/>
    </row>
    <row r="1368" spans="1:12" ht="72" customHeight="1">
      <c r="A1368" s="475" t="s">
        <v>386</v>
      </c>
      <c r="B1368" s="451"/>
      <c r="C1368" s="234" t="s">
        <v>52</v>
      </c>
      <c r="D1368" s="234"/>
      <c r="E1368" s="305">
        <f>117513/25</f>
        <v>4700.5200000000004</v>
      </c>
      <c r="F1368" s="234">
        <f t="shared" ref="F1368:F1369" si="208">1</f>
        <v>1</v>
      </c>
      <c r="G1368" s="305">
        <f t="shared" ref="G1368:G1372" si="209">E1368*F1368</f>
        <v>4700.5200000000004</v>
      </c>
      <c r="H1368" s="449">
        <f>+G1368+G1369+G1370+G1371+G1372</f>
        <v>19520.52</v>
      </c>
      <c r="I1368" s="238"/>
      <c r="J1368" s="238"/>
      <c r="K1368" s="238"/>
      <c r="L1368" s="238"/>
    </row>
    <row r="1369" spans="1:12" ht="27.75" customHeight="1">
      <c r="A1369" s="475" t="s">
        <v>387</v>
      </c>
      <c r="B1369" s="451"/>
      <c r="C1369" s="234" t="s">
        <v>52</v>
      </c>
      <c r="D1369" s="234"/>
      <c r="E1369" s="305">
        <f>10200</f>
        <v>10200</v>
      </c>
      <c r="F1369" s="234">
        <f t="shared" si="208"/>
        <v>1</v>
      </c>
      <c r="G1369" s="305">
        <f t="shared" si="209"/>
        <v>10200</v>
      </c>
      <c r="H1369" s="447"/>
      <c r="I1369" s="238"/>
      <c r="J1369" s="238"/>
      <c r="K1369" s="238"/>
      <c r="L1369" s="238"/>
    </row>
    <row r="1370" spans="1:12" ht="14.25" customHeight="1">
      <c r="A1370" s="465" t="s">
        <v>238</v>
      </c>
      <c r="B1370" s="451"/>
      <c r="C1370" s="224" t="s">
        <v>239</v>
      </c>
      <c r="D1370" s="224"/>
      <c r="E1370" s="226">
        <f>48000</f>
        <v>48000</v>
      </c>
      <c r="F1370" s="224">
        <f>0.015</f>
        <v>1.4999999999999999E-2</v>
      </c>
      <c r="G1370" s="228">
        <f t="shared" si="209"/>
        <v>720</v>
      </c>
      <c r="H1370" s="447"/>
    </row>
    <row r="1371" spans="1:12" ht="14.25" customHeight="1">
      <c r="A1371" s="465" t="s">
        <v>382</v>
      </c>
      <c r="B1371" s="451"/>
      <c r="C1371" s="275" t="s">
        <v>158</v>
      </c>
      <c r="D1371" s="275"/>
      <c r="E1371" s="302">
        <f>4500</f>
        <v>4500</v>
      </c>
      <c r="F1371" s="275">
        <f>0.2</f>
        <v>0.2</v>
      </c>
      <c r="G1371" s="228">
        <f t="shared" si="209"/>
        <v>900</v>
      </c>
      <c r="H1371" s="447"/>
    </row>
    <row r="1372" spans="1:12" ht="14.25" customHeight="1">
      <c r="A1372" s="490" t="s">
        <v>383</v>
      </c>
      <c r="B1372" s="454"/>
      <c r="C1372" s="256" t="s">
        <v>239</v>
      </c>
      <c r="D1372" s="256"/>
      <c r="E1372" s="259">
        <f>12000</f>
        <v>12000</v>
      </c>
      <c r="F1372" s="256">
        <f>0.25</f>
        <v>0.25</v>
      </c>
      <c r="G1372" s="259">
        <f t="shared" si="209"/>
        <v>3000</v>
      </c>
      <c r="H1372" s="448"/>
    </row>
    <row r="1373" spans="1:12" ht="14.25" customHeight="1">
      <c r="C1373" s="213"/>
      <c r="D1373" s="213"/>
      <c r="F1373" s="213"/>
    </row>
    <row r="1374" spans="1:12" ht="14.25" customHeight="1">
      <c r="A1374" s="214" t="s">
        <v>165</v>
      </c>
      <c r="C1374" s="213"/>
      <c r="D1374" s="213"/>
      <c r="F1374" s="213"/>
    </row>
    <row r="1375" spans="1:12" ht="14.25" customHeight="1">
      <c r="A1375" s="233" t="s">
        <v>147</v>
      </c>
      <c r="B1375" s="222"/>
      <c r="C1375" s="221" t="s">
        <v>166</v>
      </c>
      <c r="D1375" s="221" t="s">
        <v>167</v>
      </c>
      <c r="E1375" s="222" t="s">
        <v>168</v>
      </c>
      <c r="F1375" s="221" t="s">
        <v>169</v>
      </c>
      <c r="G1375" s="222" t="s">
        <v>170</v>
      </c>
      <c r="H1375" s="223" t="s">
        <v>152</v>
      </c>
    </row>
    <row r="1376" spans="1:12" ht="14.25" customHeight="1">
      <c r="A1376" s="267" t="s">
        <v>171</v>
      </c>
      <c r="B1376" s="260"/>
      <c r="C1376" s="229">
        <f>1</f>
        <v>1</v>
      </c>
      <c r="D1376" s="229">
        <f>27.504</f>
        <v>27.504000000000001</v>
      </c>
      <c r="E1376" s="260">
        <f>369.3</f>
        <v>369.3</v>
      </c>
      <c r="F1376" s="229">
        <f>2.5</f>
        <v>2.5</v>
      </c>
      <c r="G1376" s="260">
        <f>E1376*D1376*F1376*0</f>
        <v>0</v>
      </c>
      <c r="H1376" s="280">
        <f>+G1376</f>
        <v>0</v>
      </c>
    </row>
    <row r="1377" spans="1:8" ht="14.25" customHeight="1">
      <c r="C1377" s="213"/>
      <c r="D1377" s="213"/>
      <c r="F1377" s="213"/>
    </row>
    <row r="1378" spans="1:8" ht="14.25" customHeight="1">
      <c r="A1378" s="214" t="s">
        <v>379</v>
      </c>
      <c r="C1378" s="213"/>
      <c r="D1378" s="213"/>
      <c r="F1378" s="213"/>
    </row>
    <row r="1379" spans="1:8" ht="14.25" customHeight="1">
      <c r="A1379" s="233" t="s">
        <v>147</v>
      </c>
      <c r="B1379" s="222"/>
      <c r="C1379" s="221" t="s">
        <v>173</v>
      </c>
      <c r="D1379" s="221" t="s">
        <v>174</v>
      </c>
      <c r="E1379" s="222" t="s">
        <v>175</v>
      </c>
      <c r="F1379" s="221" t="s">
        <v>150</v>
      </c>
      <c r="G1379" s="222" t="s">
        <v>176</v>
      </c>
      <c r="H1379" s="223" t="s">
        <v>152</v>
      </c>
    </row>
    <row r="1380" spans="1:8" ht="14.25" customHeight="1">
      <c r="A1380" s="459" t="s">
        <v>177</v>
      </c>
      <c r="B1380" s="451"/>
      <c r="C1380" s="224">
        <v>55000</v>
      </c>
      <c r="D1380" s="224">
        <v>0</v>
      </c>
      <c r="E1380" s="228">
        <f t="shared" ref="E1380:E1381" si="210">C1380</f>
        <v>55000</v>
      </c>
      <c r="F1380" s="303">
        <v>0.5</v>
      </c>
      <c r="G1380" s="226">
        <f t="shared" ref="G1380:G1381" si="211">E1380*F1380</f>
        <v>27500</v>
      </c>
      <c r="H1380" s="449">
        <f>G1380+G1381</f>
        <v>45000</v>
      </c>
    </row>
    <row r="1381" spans="1:8" ht="14.25" customHeight="1">
      <c r="A1381" s="267" t="s">
        <v>178</v>
      </c>
      <c r="B1381" s="260"/>
      <c r="C1381" s="229">
        <v>35000</v>
      </c>
      <c r="D1381" s="229">
        <v>0</v>
      </c>
      <c r="E1381" s="260">
        <f t="shared" si="210"/>
        <v>35000</v>
      </c>
      <c r="F1381" s="282">
        <v>0.5</v>
      </c>
      <c r="G1381" s="232">
        <f t="shared" si="211"/>
        <v>17500</v>
      </c>
      <c r="H1381" s="448"/>
    </row>
    <row r="1382" spans="1:8" ht="14.25" customHeight="1">
      <c r="C1382" s="213"/>
      <c r="D1382" s="213"/>
      <c r="F1382" s="213"/>
    </row>
    <row r="1383" spans="1:8" ht="14.25" customHeight="1">
      <c r="C1383" s="213"/>
      <c r="D1383" s="213"/>
      <c r="F1383" s="213"/>
    </row>
    <row r="1384" spans="1:8" ht="14.25" customHeight="1">
      <c r="C1384" s="213"/>
      <c r="D1384" s="213"/>
      <c r="F1384" s="213"/>
    </row>
    <row r="1385" spans="1:8" ht="14.25" customHeight="1">
      <c r="C1385" s="213"/>
      <c r="D1385" s="213"/>
      <c r="F1385" s="213"/>
    </row>
    <row r="1386" spans="1:8" ht="14.25" customHeight="1">
      <c r="C1386" s="213"/>
      <c r="D1386" s="213"/>
      <c r="F1386" s="213"/>
    </row>
    <row r="1387" spans="1:8" ht="14.25" customHeight="1">
      <c r="C1387" s="213"/>
      <c r="D1387" s="213"/>
      <c r="F1387" s="213"/>
    </row>
    <row r="1388" spans="1:8" ht="14.25" customHeight="1">
      <c r="A1388" s="463" t="s">
        <v>137</v>
      </c>
      <c r="B1388" s="430"/>
      <c r="C1388" s="463" t="s">
        <v>388</v>
      </c>
      <c r="D1388" s="430"/>
      <c r="E1388" s="430"/>
      <c r="F1388" s="430"/>
      <c r="G1388" s="430"/>
      <c r="H1388" s="430"/>
    </row>
    <row r="1389" spans="1:8" ht="14.25" customHeight="1">
      <c r="C1389" s="213"/>
      <c r="D1389" s="213"/>
      <c r="F1389" s="213"/>
    </row>
    <row r="1390" spans="1:8" ht="12.75" customHeight="1">
      <c r="A1390" t="s">
        <v>139</v>
      </c>
      <c r="B1390" s="464" t="s">
        <v>101</v>
      </c>
      <c r="C1390" s="430"/>
      <c r="D1390" s="430"/>
      <c r="E1390" s="430"/>
      <c r="F1390" s="430"/>
      <c r="G1390" s="217" t="s">
        <v>140</v>
      </c>
      <c r="H1390" s="217" t="s">
        <v>389</v>
      </c>
    </row>
    <row r="1391" spans="1:8" ht="14.25" customHeight="1">
      <c r="A1391" t="s">
        <v>142</v>
      </c>
      <c r="B1391" s="213" t="s">
        <v>15</v>
      </c>
      <c r="C1391" s="213"/>
      <c r="D1391" s="213"/>
      <c r="F1391" s="216" t="s">
        <v>143</v>
      </c>
      <c r="G1391" s="279">
        <f>H1394+H1402+H1406+H1410</f>
        <v>75500</v>
      </c>
    </row>
    <row r="1392" spans="1:8" ht="14.25" customHeight="1">
      <c r="A1392" s="214" t="s">
        <v>145</v>
      </c>
      <c r="C1392" s="213"/>
      <c r="D1392" s="213"/>
      <c r="F1392" s="213"/>
    </row>
    <row r="1393" spans="1:8" ht="14.25" customHeight="1">
      <c r="A1393" s="233" t="s">
        <v>147</v>
      </c>
      <c r="B1393" s="222"/>
      <c r="C1393" s="221" t="s">
        <v>148</v>
      </c>
      <c r="D1393" s="221"/>
      <c r="E1393" s="222" t="s">
        <v>149</v>
      </c>
      <c r="F1393" s="221" t="s">
        <v>150</v>
      </c>
      <c r="G1393" s="222" t="s">
        <v>151</v>
      </c>
      <c r="H1393" s="223" t="s">
        <v>152</v>
      </c>
    </row>
    <row r="1394" spans="1:8" ht="14.25" customHeight="1">
      <c r="A1394" s="459" t="s">
        <v>153</v>
      </c>
      <c r="B1394" s="451"/>
      <c r="C1394" s="224"/>
      <c r="D1394" s="224"/>
      <c r="E1394" s="228">
        <f>7500</f>
        <v>7500</v>
      </c>
      <c r="F1394" s="224">
        <f t="shared" ref="F1394:F1396" si="212">0</f>
        <v>0</v>
      </c>
      <c r="G1394" s="299">
        <f t="shared" ref="G1394:G1397" si="213">E1394*F1394</f>
        <v>0</v>
      </c>
      <c r="H1394" s="446">
        <f>SUM(G1394:G1397)</f>
        <v>2500</v>
      </c>
    </row>
    <row r="1395" spans="1:8" ht="14.25" customHeight="1">
      <c r="A1395" s="227" t="s">
        <v>154</v>
      </c>
      <c r="B1395" s="228"/>
      <c r="C1395" s="224"/>
      <c r="D1395" s="224"/>
      <c r="E1395" s="228">
        <f>20110/8</f>
        <v>2513.75</v>
      </c>
      <c r="F1395" s="224">
        <f t="shared" si="212"/>
        <v>0</v>
      </c>
      <c r="G1395" s="299">
        <f t="shared" si="213"/>
        <v>0</v>
      </c>
      <c r="H1395" s="447"/>
    </row>
    <row r="1396" spans="1:8" ht="14.25" customHeight="1">
      <c r="A1396" s="227" t="s">
        <v>371</v>
      </c>
      <c r="B1396" s="228"/>
      <c r="C1396" s="224"/>
      <c r="D1396" s="224"/>
      <c r="E1396" s="228">
        <f>50000/8</f>
        <v>6250</v>
      </c>
      <c r="F1396" s="224">
        <f t="shared" si="212"/>
        <v>0</v>
      </c>
      <c r="G1396" s="299">
        <f t="shared" si="213"/>
        <v>0</v>
      </c>
      <c r="H1396" s="447"/>
    </row>
    <row r="1397" spans="1:8" ht="14.25" customHeight="1">
      <c r="A1397" s="267" t="s">
        <v>156</v>
      </c>
      <c r="B1397" s="260"/>
      <c r="C1397" s="229"/>
      <c r="D1397" s="229"/>
      <c r="E1397" s="260">
        <f>2500</f>
        <v>2500</v>
      </c>
      <c r="F1397" s="229">
        <f>1</f>
        <v>1</v>
      </c>
      <c r="G1397" s="300">
        <f t="shared" si="213"/>
        <v>2500</v>
      </c>
      <c r="H1397" s="448"/>
    </row>
    <row r="1398" spans="1:8" ht="14.25" customHeight="1">
      <c r="C1398" s="213"/>
      <c r="D1398" s="213"/>
      <c r="F1398" s="213"/>
    </row>
    <row r="1399" spans="1:8" ht="14.25" customHeight="1">
      <c r="A1399" s="214" t="s">
        <v>157</v>
      </c>
      <c r="C1399" s="213"/>
      <c r="D1399" s="213"/>
      <c r="F1399" s="213"/>
    </row>
    <row r="1400" spans="1:8" ht="14.25" customHeight="1">
      <c r="A1400" s="233" t="s">
        <v>147</v>
      </c>
      <c r="B1400" s="222"/>
      <c r="C1400" s="221" t="s">
        <v>158</v>
      </c>
      <c r="D1400" s="221"/>
      <c r="E1400" s="222" t="s">
        <v>159</v>
      </c>
      <c r="F1400" s="221" t="s">
        <v>160</v>
      </c>
      <c r="G1400" s="222" t="s">
        <v>161</v>
      </c>
      <c r="H1400" s="223" t="s">
        <v>152</v>
      </c>
    </row>
    <row r="1401" spans="1:8" ht="14.25" customHeight="1">
      <c r="A1401" s="473"/>
      <c r="B1401" s="451"/>
      <c r="C1401" s="277"/>
      <c r="D1401" s="277"/>
      <c r="E1401" s="278"/>
      <c r="F1401" s="277"/>
      <c r="G1401" s="278"/>
      <c r="H1401" s="304"/>
    </row>
    <row r="1402" spans="1:8" ht="14.25" customHeight="1">
      <c r="A1402" s="475" t="s">
        <v>390</v>
      </c>
      <c r="B1402" s="451"/>
      <c r="C1402" s="234" t="s">
        <v>102</v>
      </c>
      <c r="D1402" s="234"/>
      <c r="E1402" s="305">
        <f>45000</f>
        <v>45000</v>
      </c>
      <c r="F1402" s="234">
        <f>1</f>
        <v>1</v>
      </c>
      <c r="G1402" s="305">
        <f>E1402*F1402</f>
        <v>45000</v>
      </c>
      <c r="H1402" s="306">
        <f>+G1402</f>
        <v>45000</v>
      </c>
    </row>
    <row r="1403" spans="1:8" ht="14.25" customHeight="1">
      <c r="C1403" s="213"/>
      <c r="D1403" s="213"/>
      <c r="F1403" s="213"/>
    </row>
    <row r="1404" spans="1:8" ht="14.25" customHeight="1">
      <c r="A1404" s="214" t="s">
        <v>165</v>
      </c>
      <c r="C1404" s="213"/>
      <c r="D1404" s="213"/>
      <c r="F1404" s="213"/>
    </row>
    <row r="1405" spans="1:8" ht="14.25" customHeight="1">
      <c r="A1405" s="233" t="s">
        <v>147</v>
      </c>
      <c r="B1405" s="222"/>
      <c r="C1405" s="221" t="s">
        <v>166</v>
      </c>
      <c r="D1405" s="221" t="s">
        <v>167</v>
      </c>
      <c r="E1405" s="222" t="s">
        <v>168</v>
      </c>
      <c r="F1405" s="221" t="s">
        <v>169</v>
      </c>
      <c r="G1405" s="222" t="s">
        <v>170</v>
      </c>
      <c r="H1405" s="223" t="s">
        <v>152</v>
      </c>
    </row>
    <row r="1406" spans="1:8" ht="14.25" customHeight="1">
      <c r="A1406" s="267" t="s">
        <v>171</v>
      </c>
      <c r="B1406" s="260"/>
      <c r="C1406" s="229">
        <f>1</f>
        <v>1</v>
      </c>
      <c r="D1406" s="229">
        <f>27.504</f>
        <v>27.504000000000001</v>
      </c>
      <c r="E1406" s="260">
        <f>369.3</f>
        <v>369.3</v>
      </c>
      <c r="F1406" s="229">
        <f>2.5</f>
        <v>2.5</v>
      </c>
      <c r="G1406" s="260">
        <f>E1406*D1406*F1406*0</f>
        <v>0</v>
      </c>
      <c r="H1406" s="280">
        <f>+G1406</f>
        <v>0</v>
      </c>
    </row>
    <row r="1407" spans="1:8" ht="14.25" customHeight="1">
      <c r="C1407" s="213"/>
      <c r="D1407" s="213"/>
      <c r="F1407" s="213"/>
    </row>
    <row r="1408" spans="1:8" ht="14.25" customHeight="1">
      <c r="A1408" s="214" t="s">
        <v>379</v>
      </c>
      <c r="C1408" s="213"/>
      <c r="D1408" s="213"/>
      <c r="F1408" s="213"/>
    </row>
    <row r="1409" spans="1:8" ht="14.25" customHeight="1">
      <c r="A1409" s="233" t="s">
        <v>147</v>
      </c>
      <c r="B1409" s="222"/>
      <c r="C1409" s="221" t="s">
        <v>173</v>
      </c>
      <c r="D1409" s="221" t="s">
        <v>174</v>
      </c>
      <c r="E1409" s="222" t="s">
        <v>175</v>
      </c>
      <c r="F1409" s="221" t="s">
        <v>150</v>
      </c>
      <c r="G1409" s="222" t="s">
        <v>176</v>
      </c>
      <c r="H1409" s="223" t="s">
        <v>152</v>
      </c>
    </row>
    <row r="1410" spans="1:8" ht="14.25" customHeight="1">
      <c r="A1410" s="459" t="s">
        <v>177</v>
      </c>
      <c r="B1410" s="451"/>
      <c r="C1410" s="224">
        <v>55000</v>
      </c>
      <c r="D1410" s="224">
        <v>0</v>
      </c>
      <c r="E1410" s="228">
        <f>C1410</f>
        <v>55000</v>
      </c>
      <c r="F1410" s="303">
        <v>0</v>
      </c>
      <c r="G1410" s="226">
        <f t="shared" ref="G1410:G1411" si="214">E1410*F1410</f>
        <v>0</v>
      </c>
      <c r="H1410" s="449">
        <f>G1410+G1411</f>
        <v>28000</v>
      </c>
    </row>
    <row r="1411" spans="1:8" ht="14.25" customHeight="1">
      <c r="A1411" s="267" t="s">
        <v>188</v>
      </c>
      <c r="B1411" s="260"/>
      <c r="C1411" s="229">
        <v>35000</v>
      </c>
      <c r="D1411" s="229">
        <v>0</v>
      </c>
      <c r="E1411" s="260">
        <f>C1411*2</f>
        <v>70000</v>
      </c>
      <c r="F1411" s="282">
        <v>0.4</v>
      </c>
      <c r="G1411" s="232">
        <f t="shared" si="214"/>
        <v>28000</v>
      </c>
      <c r="H1411" s="448"/>
    </row>
    <row r="1412" spans="1:8" ht="14.25" customHeight="1">
      <c r="C1412" s="213"/>
      <c r="D1412" s="213"/>
      <c r="F1412" s="213"/>
    </row>
    <row r="1413" spans="1:8" ht="14.25" customHeight="1">
      <c r="C1413" s="213"/>
      <c r="D1413" s="213"/>
      <c r="F1413" s="213"/>
    </row>
    <row r="1414" spans="1:8" ht="14.25" customHeight="1">
      <c r="C1414" s="213"/>
      <c r="D1414" s="213"/>
      <c r="F1414" s="213"/>
    </row>
    <row r="1415" spans="1:8" ht="14.25" customHeight="1">
      <c r="C1415" s="213"/>
      <c r="D1415" s="213"/>
      <c r="F1415" s="213"/>
    </row>
    <row r="1416" spans="1:8" ht="14.25" customHeight="1">
      <c r="C1416" s="213"/>
      <c r="D1416" s="213"/>
      <c r="F1416" s="213"/>
    </row>
    <row r="1417" spans="1:8" ht="14.25" customHeight="1">
      <c r="A1417" s="214" t="s">
        <v>137</v>
      </c>
      <c r="C1417" s="213"/>
      <c r="D1417" s="471" t="s">
        <v>391</v>
      </c>
      <c r="E1417" s="430"/>
      <c r="F1417" s="430"/>
      <c r="G1417" s="430"/>
    </row>
    <row r="1418" spans="1:8" ht="14.25" customHeight="1">
      <c r="A1418" s="214"/>
      <c r="C1418" s="213"/>
      <c r="D1418" s="216"/>
      <c r="E1418" s="215"/>
      <c r="F1418" s="216"/>
      <c r="G1418" s="215"/>
    </row>
    <row r="1419" spans="1:8" ht="31.5" customHeight="1">
      <c r="A1419" s="217" t="s">
        <v>139</v>
      </c>
      <c r="B1419" s="472" t="s">
        <v>392</v>
      </c>
      <c r="C1419" s="430"/>
      <c r="D1419" s="430"/>
      <c r="E1419" s="430"/>
      <c r="F1419" s="430"/>
      <c r="G1419" s="217" t="s">
        <v>140</v>
      </c>
      <c r="H1419" s="217" t="s">
        <v>393</v>
      </c>
    </row>
    <row r="1420" spans="1:8" ht="14.25" customHeight="1">
      <c r="A1420" s="214" t="s">
        <v>142</v>
      </c>
      <c r="B1420" s="213" t="s">
        <v>142</v>
      </c>
      <c r="C1420" s="213"/>
      <c r="D1420" s="213"/>
      <c r="E1420" s="213"/>
      <c r="F1420" s="216" t="s">
        <v>143</v>
      </c>
      <c r="G1420" s="219">
        <f>H1423+H1430+H1435+H1439</f>
        <v>162856.75</v>
      </c>
    </row>
    <row r="1421" spans="1:8" ht="14.25" customHeight="1">
      <c r="A1421" s="214" t="s">
        <v>145</v>
      </c>
      <c r="C1421" s="213"/>
      <c r="D1421" s="213"/>
      <c r="E1421" s="213"/>
      <c r="F1421" s="213"/>
    </row>
    <row r="1422" spans="1:8" ht="14.25" customHeight="1">
      <c r="A1422" s="456" t="s">
        <v>147</v>
      </c>
      <c r="B1422" s="457"/>
      <c r="C1422" s="221" t="s">
        <v>148</v>
      </c>
      <c r="D1422" s="221"/>
      <c r="E1422" s="221" t="s">
        <v>149</v>
      </c>
      <c r="F1422" s="221" t="s">
        <v>150</v>
      </c>
      <c r="G1422" s="222" t="s">
        <v>151</v>
      </c>
      <c r="H1422" s="223" t="s">
        <v>152</v>
      </c>
    </row>
    <row r="1423" spans="1:8" ht="14.25" customHeight="1">
      <c r="A1423" s="459" t="s">
        <v>153</v>
      </c>
      <c r="B1423" s="451"/>
      <c r="C1423" s="224"/>
      <c r="D1423" s="224"/>
      <c r="E1423" s="225">
        <f>7500</f>
        <v>7500</v>
      </c>
      <c r="F1423" s="224">
        <f t="shared" ref="F1423:F1424" si="215">0</f>
        <v>0</v>
      </c>
      <c r="G1423" s="226">
        <f t="shared" ref="G1423:G1426" si="216">E1423*F1423</f>
        <v>0</v>
      </c>
      <c r="H1423" s="449">
        <f>SUM(G1423:G1426)</f>
        <v>1956.7499999999998</v>
      </c>
    </row>
    <row r="1424" spans="1:8" ht="14.25" customHeight="1">
      <c r="A1424" s="227" t="s">
        <v>154</v>
      </c>
      <c r="B1424" s="228"/>
      <c r="C1424" s="224"/>
      <c r="D1424" s="224"/>
      <c r="E1424" s="225">
        <f>20110/8</f>
        <v>2513.75</v>
      </c>
      <c r="F1424" s="224">
        <f t="shared" si="215"/>
        <v>0</v>
      </c>
      <c r="G1424" s="226">
        <f t="shared" si="216"/>
        <v>0</v>
      </c>
      <c r="H1424" s="447"/>
    </row>
    <row r="1425" spans="1:8" ht="14.25" customHeight="1">
      <c r="A1425" s="227" t="s">
        <v>155</v>
      </c>
      <c r="B1425" s="228"/>
      <c r="C1425" s="224"/>
      <c r="D1425" s="224"/>
      <c r="E1425" s="225">
        <f>60000/8</f>
        <v>7500</v>
      </c>
      <c r="F1425" s="224">
        <f>8*0</f>
        <v>0</v>
      </c>
      <c r="G1425" s="226">
        <f t="shared" si="216"/>
        <v>0</v>
      </c>
      <c r="H1425" s="447"/>
    </row>
    <row r="1426" spans="1:8" ht="14.25" customHeight="1">
      <c r="A1426" s="460" t="s">
        <v>156</v>
      </c>
      <c r="B1426" s="454"/>
      <c r="C1426" s="229"/>
      <c r="D1426" s="229"/>
      <c r="E1426" s="230">
        <f>2500</f>
        <v>2500</v>
      </c>
      <c r="F1426" s="231">
        <f>0.7827</f>
        <v>0.78269999999999995</v>
      </c>
      <c r="G1426" s="232">
        <f t="shared" si="216"/>
        <v>1956.7499999999998</v>
      </c>
      <c r="H1426" s="448"/>
    </row>
    <row r="1427" spans="1:8" ht="14.25" customHeight="1">
      <c r="C1427" s="213"/>
      <c r="D1427" s="213"/>
      <c r="E1427" s="213"/>
      <c r="F1427" s="213"/>
    </row>
    <row r="1428" spans="1:8" ht="14.25" customHeight="1">
      <c r="A1428" s="254" t="s">
        <v>157</v>
      </c>
      <c r="B1428" s="222"/>
      <c r="C1428" s="221"/>
      <c r="D1428" s="221"/>
      <c r="E1428" s="221"/>
      <c r="F1428" s="221"/>
      <c r="G1428" s="222"/>
      <c r="H1428" s="223"/>
    </row>
    <row r="1429" spans="1:8" ht="14.25" customHeight="1">
      <c r="A1429" s="227" t="s">
        <v>147</v>
      </c>
      <c r="B1429" s="228"/>
      <c r="C1429" s="224" t="s">
        <v>158</v>
      </c>
      <c r="D1429" s="224"/>
      <c r="E1429" s="224" t="s">
        <v>159</v>
      </c>
      <c r="F1429" s="224" t="s">
        <v>160</v>
      </c>
      <c r="G1429" s="228" t="s">
        <v>161</v>
      </c>
      <c r="H1429" s="255" t="s">
        <v>152</v>
      </c>
    </row>
    <row r="1430" spans="1:8" ht="14.25" customHeight="1">
      <c r="A1430" s="466" t="s">
        <v>394</v>
      </c>
      <c r="B1430" s="451"/>
      <c r="C1430" s="247" t="s">
        <v>24</v>
      </c>
      <c r="D1430" s="247"/>
      <c r="E1430" s="248">
        <f>95000</f>
        <v>95000</v>
      </c>
      <c r="F1430" s="253">
        <f t="shared" ref="F1430:F1431" si="217">1</f>
        <v>1</v>
      </c>
      <c r="G1430" s="250">
        <f t="shared" ref="G1430:G1431" si="218">E1430*F1430</f>
        <v>95000</v>
      </c>
      <c r="H1430" s="449">
        <f>SUM(G1430:G1431)</f>
        <v>115900</v>
      </c>
    </row>
    <row r="1431" spans="1:8" ht="14.25" customHeight="1">
      <c r="A1431" s="450" t="s">
        <v>395</v>
      </c>
      <c r="B1431" s="451"/>
      <c r="C1431" s="247" t="s">
        <v>158</v>
      </c>
      <c r="D1431" s="247"/>
      <c r="E1431" s="248">
        <v>20900</v>
      </c>
      <c r="F1431" s="253">
        <f t="shared" si="217"/>
        <v>1</v>
      </c>
      <c r="G1431" s="250">
        <f t="shared" si="218"/>
        <v>20900</v>
      </c>
      <c r="H1431" s="447"/>
    </row>
    <row r="1432" spans="1:8" ht="14.25" customHeight="1">
      <c r="A1432" s="455"/>
      <c r="B1432" s="430"/>
      <c r="C1432" s="213"/>
      <c r="D1432" s="213"/>
      <c r="E1432" s="213"/>
      <c r="F1432" s="213"/>
    </row>
    <row r="1433" spans="1:8" ht="14.25" customHeight="1">
      <c r="A1433" s="214" t="s">
        <v>165</v>
      </c>
      <c r="C1433" s="213"/>
      <c r="D1433" s="213"/>
      <c r="E1433" s="213"/>
      <c r="F1433" s="213"/>
    </row>
    <row r="1434" spans="1:8" ht="14.25" customHeight="1">
      <c r="A1434" s="456" t="s">
        <v>147</v>
      </c>
      <c r="B1434" s="457"/>
      <c r="C1434" s="221" t="s">
        <v>166</v>
      </c>
      <c r="D1434" s="221" t="s">
        <v>167</v>
      </c>
      <c r="E1434" s="221" t="s">
        <v>168</v>
      </c>
      <c r="F1434" s="221" t="s">
        <v>169</v>
      </c>
      <c r="G1434" s="221" t="s">
        <v>170</v>
      </c>
      <c r="H1434" s="240" t="s">
        <v>152</v>
      </c>
    </row>
    <row r="1435" spans="1:8" ht="14.25" customHeight="1">
      <c r="A1435" s="458" t="s">
        <v>171</v>
      </c>
      <c r="B1435" s="454"/>
      <c r="C1435" s="229">
        <f>1</f>
        <v>1</v>
      </c>
      <c r="D1435" s="231">
        <f>27.504</f>
        <v>27.504000000000001</v>
      </c>
      <c r="E1435" s="241">
        <f>369.3</f>
        <v>369.3</v>
      </c>
      <c r="F1435" s="229">
        <f>2.5</f>
        <v>2.5</v>
      </c>
      <c r="G1435" s="232">
        <f>E1435*D1435*F1435*0</f>
        <v>0</v>
      </c>
      <c r="H1435" s="242">
        <f>+G1435</f>
        <v>0</v>
      </c>
    </row>
    <row r="1436" spans="1:8" ht="14.25" customHeight="1">
      <c r="C1436" s="213"/>
      <c r="D1436" s="213"/>
      <c r="E1436" s="213"/>
      <c r="F1436" s="213"/>
    </row>
    <row r="1437" spans="1:8" ht="14.25" customHeight="1">
      <c r="A1437" s="214" t="s">
        <v>172</v>
      </c>
      <c r="C1437" s="213"/>
      <c r="D1437" s="213"/>
      <c r="E1437" s="213"/>
      <c r="F1437" s="213"/>
    </row>
    <row r="1438" spans="1:8" ht="14.25" customHeight="1">
      <c r="A1438" s="233" t="s">
        <v>147</v>
      </c>
      <c r="B1438" s="222"/>
      <c r="C1438" s="221" t="s">
        <v>173</v>
      </c>
      <c r="D1438" s="221" t="s">
        <v>174</v>
      </c>
      <c r="E1438" s="221" t="s">
        <v>175</v>
      </c>
      <c r="F1438" s="221" t="s">
        <v>150</v>
      </c>
      <c r="G1438" s="243" t="s">
        <v>176</v>
      </c>
      <c r="H1438" s="223" t="s">
        <v>152</v>
      </c>
    </row>
    <row r="1439" spans="1:8" ht="14.25" customHeight="1">
      <c r="A1439" s="459" t="s">
        <v>177</v>
      </c>
      <c r="B1439" s="451"/>
      <c r="C1439" s="225">
        <v>55000</v>
      </c>
      <c r="D1439" s="224">
        <v>0</v>
      </c>
      <c r="E1439" s="225">
        <f t="shared" ref="E1439:E1440" si="219">C1439</f>
        <v>55000</v>
      </c>
      <c r="F1439" s="244">
        <f t="shared" ref="F1439:F1440" si="220">50%</f>
        <v>0.5</v>
      </c>
      <c r="G1439" s="226">
        <f t="shared" ref="G1439:G1440" si="221">E1439*F1439</f>
        <v>27500</v>
      </c>
      <c r="H1439" s="449">
        <f>G1439+G1440</f>
        <v>45000</v>
      </c>
    </row>
    <row r="1440" spans="1:8" ht="14.25" customHeight="1">
      <c r="A1440" s="460" t="s">
        <v>178</v>
      </c>
      <c r="B1440" s="454"/>
      <c r="C1440" s="230">
        <v>35000</v>
      </c>
      <c r="D1440" s="229">
        <v>0</v>
      </c>
      <c r="E1440" s="230">
        <f t="shared" si="219"/>
        <v>35000</v>
      </c>
      <c r="F1440" s="245">
        <f t="shared" si="220"/>
        <v>0.5</v>
      </c>
      <c r="G1440" s="232">
        <f t="shared" si="221"/>
        <v>17500</v>
      </c>
      <c r="H1440" s="448"/>
    </row>
    <row r="1441" spans="1:8" ht="14.25" customHeight="1">
      <c r="C1441" s="213"/>
      <c r="D1441" s="213"/>
      <c r="F1441" s="213"/>
    </row>
    <row r="1442" spans="1:8" ht="14.25" customHeight="1">
      <c r="C1442" s="213"/>
      <c r="D1442" s="213"/>
      <c r="F1442" s="213"/>
    </row>
    <row r="1443" spans="1:8" ht="14.25" customHeight="1">
      <c r="C1443" s="213"/>
      <c r="D1443" s="213"/>
      <c r="F1443" s="213"/>
    </row>
    <row r="1444" spans="1:8" ht="14.25" customHeight="1">
      <c r="C1444" s="213"/>
      <c r="D1444" s="213"/>
      <c r="F1444" s="213"/>
    </row>
    <row r="1445" spans="1:8" ht="14.25" customHeight="1">
      <c r="C1445" s="213"/>
      <c r="D1445" s="213"/>
      <c r="F1445" s="213"/>
    </row>
    <row r="1446" spans="1:8" ht="14.25" customHeight="1">
      <c r="A1446" s="214" t="s">
        <v>137</v>
      </c>
      <c r="C1446" s="213"/>
      <c r="D1446" s="471" t="s">
        <v>396</v>
      </c>
      <c r="E1446" s="430"/>
      <c r="F1446" s="430"/>
      <c r="G1446" s="430"/>
    </row>
    <row r="1447" spans="1:8" ht="14.25" customHeight="1">
      <c r="A1447" s="214"/>
      <c r="C1447" s="213"/>
      <c r="D1447" s="216"/>
      <c r="E1447" s="215"/>
      <c r="F1447" s="216"/>
      <c r="G1447" s="215"/>
    </row>
    <row r="1448" spans="1:8" ht="60.75" customHeight="1">
      <c r="A1448" s="217" t="s">
        <v>139</v>
      </c>
      <c r="B1448" s="472" t="s">
        <v>105</v>
      </c>
      <c r="C1448" s="430"/>
      <c r="D1448" s="430"/>
      <c r="E1448" s="430"/>
      <c r="F1448" s="430"/>
      <c r="G1448" s="217" t="s">
        <v>140</v>
      </c>
      <c r="H1448" s="217" t="s">
        <v>397</v>
      </c>
    </row>
    <row r="1449" spans="1:8" ht="14.25" customHeight="1">
      <c r="A1449" s="214" t="s">
        <v>142</v>
      </c>
      <c r="B1449" s="213" t="s">
        <v>142</v>
      </c>
      <c r="C1449" s="213"/>
      <c r="D1449" s="213"/>
      <c r="E1449" s="213"/>
      <c r="F1449" s="216" t="s">
        <v>143</v>
      </c>
      <c r="G1449" s="219">
        <f>H1452+H1459+H1463+H1467</f>
        <v>502456.75</v>
      </c>
    </row>
    <row r="1450" spans="1:8" ht="14.25" customHeight="1">
      <c r="A1450" s="214" t="s">
        <v>145</v>
      </c>
      <c r="C1450" s="213"/>
      <c r="D1450" s="213"/>
      <c r="E1450" s="213"/>
      <c r="F1450" s="213"/>
    </row>
    <row r="1451" spans="1:8" ht="14.25" customHeight="1">
      <c r="A1451" s="456" t="s">
        <v>147</v>
      </c>
      <c r="B1451" s="457"/>
      <c r="C1451" s="221" t="s">
        <v>148</v>
      </c>
      <c r="D1451" s="221"/>
      <c r="E1451" s="221" t="s">
        <v>149</v>
      </c>
      <c r="F1451" s="221" t="s">
        <v>150</v>
      </c>
      <c r="G1451" s="222" t="s">
        <v>151</v>
      </c>
      <c r="H1451" s="223" t="s">
        <v>152</v>
      </c>
    </row>
    <row r="1452" spans="1:8" ht="14.25" customHeight="1">
      <c r="A1452" s="459" t="s">
        <v>153</v>
      </c>
      <c r="B1452" s="451"/>
      <c r="C1452" s="224"/>
      <c r="D1452" s="224"/>
      <c r="E1452" s="225">
        <f>7500</f>
        <v>7500</v>
      </c>
      <c r="F1452" s="224">
        <f t="shared" ref="F1452:F1453" si="222">0</f>
        <v>0</v>
      </c>
      <c r="G1452" s="226">
        <f t="shared" ref="G1452:G1455" si="223">E1452*F1452</f>
        <v>0</v>
      </c>
      <c r="H1452" s="449">
        <f>SUM(G1452:G1455)</f>
        <v>1956.7499999999998</v>
      </c>
    </row>
    <row r="1453" spans="1:8" ht="14.25" customHeight="1">
      <c r="A1453" s="227" t="s">
        <v>154</v>
      </c>
      <c r="B1453" s="228"/>
      <c r="C1453" s="224"/>
      <c r="D1453" s="224"/>
      <c r="E1453" s="225">
        <f>20110/8</f>
        <v>2513.75</v>
      </c>
      <c r="F1453" s="224">
        <f t="shared" si="222"/>
        <v>0</v>
      </c>
      <c r="G1453" s="226">
        <f t="shared" si="223"/>
        <v>0</v>
      </c>
      <c r="H1453" s="447"/>
    </row>
    <row r="1454" spans="1:8" ht="14.25" customHeight="1">
      <c r="A1454" s="227" t="s">
        <v>155</v>
      </c>
      <c r="B1454" s="228"/>
      <c r="C1454" s="224"/>
      <c r="D1454" s="224"/>
      <c r="E1454" s="225">
        <f>60000/8</f>
        <v>7500</v>
      </c>
      <c r="F1454" s="224">
        <f>8*0</f>
        <v>0</v>
      </c>
      <c r="G1454" s="226">
        <f t="shared" si="223"/>
        <v>0</v>
      </c>
      <c r="H1454" s="447"/>
    </row>
    <row r="1455" spans="1:8" ht="14.25" customHeight="1">
      <c r="A1455" s="460" t="s">
        <v>156</v>
      </c>
      <c r="B1455" s="454"/>
      <c r="C1455" s="229"/>
      <c r="D1455" s="229"/>
      <c r="E1455" s="230">
        <f>2500</f>
        <v>2500</v>
      </c>
      <c r="F1455" s="231">
        <f>0.7827</f>
        <v>0.78269999999999995</v>
      </c>
      <c r="G1455" s="232">
        <f t="shared" si="223"/>
        <v>1956.7499999999998</v>
      </c>
      <c r="H1455" s="448"/>
    </row>
    <row r="1456" spans="1:8" ht="14.25" customHeight="1">
      <c r="C1456" s="213"/>
      <c r="D1456" s="213"/>
      <c r="E1456" s="213"/>
      <c r="F1456" s="213"/>
    </row>
    <row r="1457" spans="1:8" ht="14.25" customHeight="1">
      <c r="A1457" s="254" t="s">
        <v>157</v>
      </c>
      <c r="B1457" s="222"/>
      <c r="C1457" s="221"/>
      <c r="D1457" s="221"/>
      <c r="E1457" s="221"/>
      <c r="F1457" s="221"/>
      <c r="G1457" s="222"/>
      <c r="H1457" s="223"/>
    </row>
    <row r="1458" spans="1:8" ht="14.25" customHeight="1">
      <c r="A1458" s="227" t="s">
        <v>147</v>
      </c>
      <c r="B1458" s="228"/>
      <c r="C1458" s="224" t="s">
        <v>158</v>
      </c>
      <c r="D1458" s="224"/>
      <c r="E1458" s="224" t="s">
        <v>159</v>
      </c>
      <c r="F1458" s="224" t="s">
        <v>160</v>
      </c>
      <c r="G1458" s="228" t="s">
        <v>161</v>
      </c>
      <c r="H1458" s="255" t="s">
        <v>152</v>
      </c>
    </row>
    <row r="1459" spans="1:8" ht="14.25" customHeight="1">
      <c r="A1459" s="466" t="s">
        <v>398</v>
      </c>
      <c r="B1459" s="451"/>
      <c r="C1459" s="247" t="s">
        <v>158</v>
      </c>
      <c r="D1459" s="247"/>
      <c r="E1459" s="248">
        <f>450000</f>
        <v>450000</v>
      </c>
      <c r="F1459" s="253">
        <f>1</f>
        <v>1</v>
      </c>
      <c r="G1459" s="250">
        <f>E1459*F1459</f>
        <v>450000</v>
      </c>
      <c r="H1459" s="248">
        <f>SUM(G1459)</f>
        <v>450000</v>
      </c>
    </row>
    <row r="1460" spans="1:8" ht="14.25" customHeight="1">
      <c r="A1460" s="455"/>
      <c r="B1460" s="430"/>
      <c r="C1460" s="213"/>
      <c r="D1460" s="213"/>
      <c r="E1460" s="213"/>
      <c r="F1460" s="213"/>
    </row>
    <row r="1461" spans="1:8" ht="14.25" customHeight="1">
      <c r="A1461" s="214" t="s">
        <v>165</v>
      </c>
      <c r="C1461" s="213"/>
      <c r="D1461" s="213"/>
      <c r="E1461" s="213"/>
      <c r="F1461" s="213"/>
    </row>
    <row r="1462" spans="1:8" ht="14.25" customHeight="1">
      <c r="A1462" s="456" t="s">
        <v>147</v>
      </c>
      <c r="B1462" s="457"/>
      <c r="C1462" s="221" t="s">
        <v>166</v>
      </c>
      <c r="D1462" s="221" t="s">
        <v>167</v>
      </c>
      <c r="E1462" s="221" t="s">
        <v>168</v>
      </c>
      <c r="F1462" s="221" t="s">
        <v>169</v>
      </c>
      <c r="G1462" s="221" t="s">
        <v>170</v>
      </c>
      <c r="H1462" s="240" t="s">
        <v>152</v>
      </c>
    </row>
    <row r="1463" spans="1:8" ht="14.25" customHeight="1">
      <c r="A1463" s="458" t="s">
        <v>171</v>
      </c>
      <c r="B1463" s="454"/>
      <c r="C1463" s="229">
        <f>1</f>
        <v>1</v>
      </c>
      <c r="D1463" s="231">
        <f>27.504</f>
        <v>27.504000000000001</v>
      </c>
      <c r="E1463" s="241">
        <f>369.3</f>
        <v>369.3</v>
      </c>
      <c r="F1463" s="229">
        <f>2.5</f>
        <v>2.5</v>
      </c>
      <c r="G1463" s="232">
        <f>E1463*D1463*F1463*0</f>
        <v>0</v>
      </c>
      <c r="H1463" s="242">
        <f>+G1463</f>
        <v>0</v>
      </c>
    </row>
    <row r="1464" spans="1:8" ht="14.25" customHeight="1">
      <c r="C1464" s="213"/>
      <c r="D1464" s="213"/>
      <c r="E1464" s="213"/>
      <c r="F1464" s="213"/>
    </row>
    <row r="1465" spans="1:8" ht="14.25" customHeight="1">
      <c r="A1465" s="214" t="s">
        <v>172</v>
      </c>
      <c r="C1465" s="213"/>
      <c r="D1465" s="213"/>
      <c r="E1465" s="213"/>
      <c r="F1465" s="213"/>
    </row>
    <row r="1466" spans="1:8" ht="14.25" customHeight="1">
      <c r="A1466" s="233" t="s">
        <v>147</v>
      </c>
      <c r="B1466" s="222"/>
      <c r="C1466" s="221" t="s">
        <v>173</v>
      </c>
      <c r="D1466" s="221" t="s">
        <v>174</v>
      </c>
      <c r="E1466" s="221" t="s">
        <v>175</v>
      </c>
      <c r="F1466" s="221" t="s">
        <v>150</v>
      </c>
      <c r="G1466" s="243" t="s">
        <v>176</v>
      </c>
      <c r="H1466" s="223" t="s">
        <v>152</v>
      </c>
    </row>
    <row r="1467" spans="1:8" ht="14.25" customHeight="1">
      <c r="A1467" s="459" t="s">
        <v>177</v>
      </c>
      <c r="B1467" s="451"/>
      <c r="C1467" s="225">
        <v>55000</v>
      </c>
      <c r="D1467" s="224">
        <v>0</v>
      </c>
      <c r="E1467" s="225">
        <f t="shared" ref="E1467:E1468" si="224">C1467</f>
        <v>55000</v>
      </c>
      <c r="F1467" s="244">
        <f>60%</f>
        <v>0.6</v>
      </c>
      <c r="G1467" s="226">
        <f t="shared" ref="G1467:G1468" si="225">E1467*F1467</f>
        <v>33000</v>
      </c>
      <c r="H1467" s="449">
        <f>G1467+G1468</f>
        <v>50500</v>
      </c>
    </row>
    <row r="1468" spans="1:8" ht="14.25" customHeight="1">
      <c r="A1468" s="460" t="s">
        <v>178</v>
      </c>
      <c r="B1468" s="454"/>
      <c r="C1468" s="230">
        <v>35000</v>
      </c>
      <c r="D1468" s="229">
        <v>0</v>
      </c>
      <c r="E1468" s="230">
        <f t="shared" si="224"/>
        <v>35000</v>
      </c>
      <c r="F1468" s="245">
        <f>50%</f>
        <v>0.5</v>
      </c>
      <c r="G1468" s="232">
        <f t="shared" si="225"/>
        <v>17500</v>
      </c>
      <c r="H1468" s="448"/>
    </row>
    <row r="1469" spans="1:8" ht="14.25" customHeight="1">
      <c r="C1469" s="213"/>
      <c r="D1469" s="213"/>
      <c r="F1469" s="213"/>
    </row>
    <row r="1470" spans="1:8" ht="14.25" customHeight="1">
      <c r="C1470" s="213"/>
      <c r="D1470" s="213"/>
      <c r="F1470" s="213"/>
    </row>
    <row r="1471" spans="1:8" ht="14.25" customHeight="1">
      <c r="C1471" s="213"/>
      <c r="D1471" s="213"/>
      <c r="F1471" s="213"/>
    </row>
    <row r="1472" spans="1:8" ht="14.25" customHeight="1">
      <c r="C1472" s="213"/>
      <c r="D1472" s="213"/>
      <c r="F1472" s="213"/>
    </row>
    <row r="1473" spans="1:8" ht="14.25" customHeight="1">
      <c r="C1473" s="213"/>
      <c r="D1473" s="213"/>
      <c r="F1473" s="213"/>
    </row>
    <row r="1474" spans="1:8" ht="14.25" customHeight="1">
      <c r="C1474" s="213"/>
      <c r="D1474" s="213"/>
      <c r="F1474" s="213"/>
    </row>
    <row r="1475" spans="1:8" ht="14.25" customHeight="1">
      <c r="A1475" s="214" t="s">
        <v>137</v>
      </c>
      <c r="C1475" s="213"/>
      <c r="D1475" s="471" t="s">
        <v>399</v>
      </c>
      <c r="E1475" s="430"/>
      <c r="F1475" s="430"/>
      <c r="G1475" s="430"/>
    </row>
    <row r="1476" spans="1:8" ht="14.25" customHeight="1">
      <c r="A1476" s="214"/>
      <c r="C1476" s="213"/>
      <c r="D1476" s="216"/>
      <c r="E1476" s="215"/>
      <c r="F1476" s="216"/>
      <c r="G1476" s="215"/>
    </row>
    <row r="1477" spans="1:8" ht="14.25" customHeight="1">
      <c r="A1477" s="217" t="s">
        <v>139</v>
      </c>
      <c r="B1477" s="472" t="s">
        <v>106</v>
      </c>
      <c r="C1477" s="430"/>
      <c r="D1477" s="430"/>
      <c r="E1477" s="430"/>
      <c r="F1477" s="430"/>
      <c r="G1477" s="217" t="s">
        <v>140</v>
      </c>
      <c r="H1477" s="217" t="s">
        <v>400</v>
      </c>
    </row>
    <row r="1478" spans="1:8" ht="14.25" customHeight="1">
      <c r="A1478" s="214" t="s">
        <v>142</v>
      </c>
      <c r="B1478" s="213" t="s">
        <v>142</v>
      </c>
      <c r="C1478" s="213"/>
      <c r="D1478" s="213"/>
      <c r="E1478" s="213"/>
      <c r="F1478" s="216" t="s">
        <v>143</v>
      </c>
      <c r="G1478" s="219">
        <f>H1481+H1488+H1498+H1502</f>
        <v>95909.866666666669</v>
      </c>
    </row>
    <row r="1479" spans="1:8" ht="14.25" customHeight="1">
      <c r="A1479" s="214" t="s">
        <v>145</v>
      </c>
      <c r="C1479" s="213"/>
      <c r="D1479" s="213"/>
      <c r="E1479" s="213"/>
      <c r="F1479" s="213"/>
    </row>
    <row r="1480" spans="1:8" ht="14.25" customHeight="1">
      <c r="A1480" s="456" t="s">
        <v>147</v>
      </c>
      <c r="B1480" s="457"/>
      <c r="C1480" s="221" t="s">
        <v>148</v>
      </c>
      <c r="D1480" s="221"/>
      <c r="E1480" s="221" t="s">
        <v>149</v>
      </c>
      <c r="F1480" s="221" t="s">
        <v>150</v>
      </c>
      <c r="G1480" s="222" t="s">
        <v>151</v>
      </c>
      <c r="H1480" s="223" t="s">
        <v>152</v>
      </c>
    </row>
    <row r="1481" spans="1:8" ht="14.25" customHeight="1">
      <c r="A1481" s="459" t="s">
        <v>153</v>
      </c>
      <c r="B1481" s="451"/>
      <c r="C1481" s="224"/>
      <c r="D1481" s="224"/>
      <c r="E1481" s="225">
        <f>7500</f>
        <v>7500</v>
      </c>
      <c r="F1481" s="224">
        <f>0</f>
        <v>0</v>
      </c>
      <c r="G1481" s="226">
        <f t="shared" ref="G1481:G1484" si="226">E1481*F1481</f>
        <v>0</v>
      </c>
      <c r="H1481" s="449">
        <f>SUM(G1481:G1484)</f>
        <v>3206.75</v>
      </c>
    </row>
    <row r="1482" spans="1:8" ht="14.25" customHeight="1">
      <c r="A1482" s="227" t="s">
        <v>401</v>
      </c>
      <c r="B1482" s="228"/>
      <c r="C1482" s="224"/>
      <c r="D1482" s="224"/>
      <c r="E1482" s="225">
        <f>6250</f>
        <v>6250</v>
      </c>
      <c r="F1482" s="224">
        <f>0.2</f>
        <v>0.2</v>
      </c>
      <c r="G1482" s="226">
        <f t="shared" si="226"/>
        <v>1250</v>
      </c>
      <c r="H1482" s="447"/>
    </row>
    <row r="1483" spans="1:8" ht="14.25" customHeight="1">
      <c r="A1483" s="227" t="s">
        <v>155</v>
      </c>
      <c r="B1483" s="228"/>
      <c r="C1483" s="224"/>
      <c r="D1483" s="224"/>
      <c r="E1483" s="225">
        <f>60000/8</f>
        <v>7500</v>
      </c>
      <c r="F1483" s="224">
        <f>8*0</f>
        <v>0</v>
      </c>
      <c r="G1483" s="226">
        <f t="shared" si="226"/>
        <v>0</v>
      </c>
      <c r="H1483" s="447"/>
    </row>
    <row r="1484" spans="1:8" ht="14.25" customHeight="1">
      <c r="A1484" s="460" t="s">
        <v>156</v>
      </c>
      <c r="B1484" s="454"/>
      <c r="C1484" s="229"/>
      <c r="D1484" s="229"/>
      <c r="E1484" s="230">
        <f>2500</f>
        <v>2500</v>
      </c>
      <c r="F1484" s="231">
        <f>0.7827</f>
        <v>0.78269999999999995</v>
      </c>
      <c r="G1484" s="232">
        <f t="shared" si="226"/>
        <v>1956.7499999999998</v>
      </c>
      <c r="H1484" s="448"/>
    </row>
    <row r="1485" spans="1:8" ht="14.25" customHeight="1">
      <c r="C1485" s="213"/>
      <c r="D1485" s="213"/>
      <c r="E1485" s="213"/>
      <c r="F1485" s="213"/>
    </row>
    <row r="1486" spans="1:8" ht="14.25" customHeight="1">
      <c r="A1486" s="254" t="s">
        <v>157</v>
      </c>
      <c r="B1486" s="222"/>
      <c r="C1486" s="221"/>
      <c r="D1486" s="221"/>
      <c r="E1486" s="221"/>
      <c r="F1486" s="221"/>
      <c r="G1486" s="222"/>
      <c r="H1486" s="223"/>
    </row>
    <row r="1487" spans="1:8" ht="14.25" customHeight="1">
      <c r="A1487" s="227" t="s">
        <v>147</v>
      </c>
      <c r="B1487" s="228"/>
      <c r="C1487" s="224" t="s">
        <v>158</v>
      </c>
      <c r="D1487" s="224"/>
      <c r="E1487" s="224" t="s">
        <v>159</v>
      </c>
      <c r="F1487" s="224" t="s">
        <v>160</v>
      </c>
      <c r="G1487" s="228" t="s">
        <v>161</v>
      </c>
      <c r="H1487" s="255" t="s">
        <v>152</v>
      </c>
    </row>
    <row r="1488" spans="1:8" ht="14.25" customHeight="1">
      <c r="A1488" s="476" t="s">
        <v>402</v>
      </c>
      <c r="B1488" s="451"/>
      <c r="C1488" s="247" t="s">
        <v>158</v>
      </c>
      <c r="D1488" s="247"/>
      <c r="E1488" s="248">
        <f>39000</f>
        <v>39000</v>
      </c>
      <c r="F1488" s="253">
        <f>0.009</f>
        <v>8.9999999999999993E-3</v>
      </c>
      <c r="G1488" s="250">
        <f t="shared" ref="G1488:G1494" si="227">E1488*F1488</f>
        <v>351</v>
      </c>
      <c r="H1488" s="479">
        <f>SUM(G1488:G1494)</f>
        <v>29703.116666666669</v>
      </c>
    </row>
    <row r="1489" spans="1:8" ht="14.25" customHeight="1">
      <c r="A1489" s="474" t="s">
        <v>403</v>
      </c>
      <c r="B1489" s="451"/>
      <c r="C1489" s="247" t="s">
        <v>158</v>
      </c>
      <c r="D1489" s="247"/>
      <c r="E1489" s="248">
        <v>8000</v>
      </c>
      <c r="F1489" s="253">
        <f>0.003</f>
        <v>3.0000000000000001E-3</v>
      </c>
      <c r="G1489" s="250">
        <f t="shared" si="227"/>
        <v>24</v>
      </c>
      <c r="H1489" s="480"/>
    </row>
    <row r="1490" spans="1:8" ht="14.25" customHeight="1">
      <c r="A1490" s="474" t="s">
        <v>404</v>
      </c>
      <c r="B1490" s="451"/>
      <c r="C1490" s="247" t="s">
        <v>55</v>
      </c>
      <c r="D1490" s="247"/>
      <c r="E1490" s="248">
        <f>4600/2.4</f>
        <v>1916.6666666666667</v>
      </c>
      <c r="F1490" s="249">
        <f>1</f>
        <v>1</v>
      </c>
      <c r="G1490" s="250">
        <f t="shared" si="227"/>
        <v>1916.6666666666667</v>
      </c>
      <c r="H1490" s="480"/>
    </row>
    <row r="1491" spans="1:8" ht="14.25" customHeight="1">
      <c r="A1491" s="474" t="s">
        <v>405</v>
      </c>
      <c r="B1491" s="451"/>
      <c r="C1491" s="247" t="s">
        <v>55</v>
      </c>
      <c r="D1491" s="247"/>
      <c r="E1491" s="248">
        <f>267000/100</f>
        <v>2670</v>
      </c>
      <c r="F1491" s="252">
        <f t="shared" ref="F1491:F1492" si="228">1.05</f>
        <v>1.05</v>
      </c>
      <c r="G1491" s="250">
        <f t="shared" si="227"/>
        <v>2803.5</v>
      </c>
      <c r="H1491" s="480"/>
    </row>
    <row r="1492" spans="1:8" ht="14.25" customHeight="1">
      <c r="A1492" s="470" t="s">
        <v>406</v>
      </c>
      <c r="B1492" s="451"/>
      <c r="C1492" s="224" t="s">
        <v>55</v>
      </c>
      <c r="D1492" s="224"/>
      <c r="E1492" s="225">
        <f>257900/100</f>
        <v>2579</v>
      </c>
      <c r="F1492" s="224">
        <f t="shared" si="228"/>
        <v>1.05</v>
      </c>
      <c r="G1492" s="250">
        <f t="shared" si="227"/>
        <v>2707.9500000000003</v>
      </c>
      <c r="H1492" s="480"/>
    </row>
    <row r="1493" spans="1:8" ht="14.25" customHeight="1">
      <c r="A1493" s="477" t="s">
        <v>407</v>
      </c>
      <c r="B1493" s="478"/>
      <c r="C1493" s="213" t="s">
        <v>158</v>
      </c>
      <c r="D1493" s="213"/>
      <c r="E1493" s="270">
        <v>9400</v>
      </c>
      <c r="F1493" s="213">
        <f t="shared" ref="F1493:F1494" si="229">1</f>
        <v>1</v>
      </c>
      <c r="G1493" s="250">
        <f t="shared" si="227"/>
        <v>9400</v>
      </c>
      <c r="H1493" s="480"/>
    </row>
    <row r="1494" spans="1:8" ht="14.25" customHeight="1">
      <c r="A1494" s="455" t="s">
        <v>408</v>
      </c>
      <c r="B1494" s="430"/>
      <c r="C1494" s="213" t="s">
        <v>158</v>
      </c>
      <c r="D1494" s="213"/>
      <c r="E1494" s="270">
        <v>12500</v>
      </c>
      <c r="F1494" s="213">
        <f t="shared" si="229"/>
        <v>1</v>
      </c>
      <c r="G1494" s="250">
        <f t="shared" si="227"/>
        <v>12500</v>
      </c>
      <c r="H1494" s="480"/>
    </row>
    <row r="1495" spans="1:8" ht="14.25" customHeight="1">
      <c r="A1495" s="269"/>
      <c r="B1495" s="269"/>
      <c r="C1495" s="213"/>
      <c r="D1495" s="213"/>
      <c r="E1495" s="213"/>
      <c r="F1495" s="213"/>
    </row>
    <row r="1496" spans="1:8" ht="14.25" customHeight="1">
      <c r="A1496" s="214" t="s">
        <v>165</v>
      </c>
      <c r="C1496" s="213"/>
      <c r="D1496" s="213"/>
      <c r="E1496" s="213"/>
      <c r="F1496" s="213"/>
    </row>
    <row r="1497" spans="1:8" ht="14.25" customHeight="1">
      <c r="A1497" s="456" t="s">
        <v>147</v>
      </c>
      <c r="B1497" s="457"/>
      <c r="C1497" s="221" t="s">
        <v>166</v>
      </c>
      <c r="D1497" s="221" t="s">
        <v>167</v>
      </c>
      <c r="E1497" s="221" t="s">
        <v>168</v>
      </c>
      <c r="F1497" s="221" t="s">
        <v>169</v>
      </c>
      <c r="G1497" s="221" t="s">
        <v>170</v>
      </c>
      <c r="H1497" s="240" t="s">
        <v>152</v>
      </c>
    </row>
    <row r="1498" spans="1:8" ht="14.25" customHeight="1">
      <c r="A1498" s="458" t="s">
        <v>171</v>
      </c>
      <c r="B1498" s="454"/>
      <c r="C1498" s="229">
        <f>1</f>
        <v>1</v>
      </c>
      <c r="D1498" s="231">
        <f>27.504</f>
        <v>27.504000000000001</v>
      </c>
      <c r="E1498" s="241">
        <f>369.3</f>
        <v>369.3</v>
      </c>
      <c r="F1498" s="229">
        <f>2.5</f>
        <v>2.5</v>
      </c>
      <c r="G1498" s="232">
        <f>E1498*D1498*F1498*0</f>
        <v>0</v>
      </c>
      <c r="H1498" s="242">
        <f>+G1498</f>
        <v>0</v>
      </c>
    </row>
    <row r="1499" spans="1:8" ht="14.25" customHeight="1">
      <c r="C1499" s="213"/>
      <c r="D1499" s="213"/>
      <c r="E1499" s="213"/>
      <c r="F1499" s="213"/>
    </row>
    <row r="1500" spans="1:8" ht="14.25" customHeight="1">
      <c r="A1500" s="214" t="s">
        <v>172</v>
      </c>
      <c r="C1500" s="213"/>
      <c r="D1500" s="213"/>
      <c r="E1500" s="213"/>
      <c r="F1500" s="213"/>
    </row>
    <row r="1501" spans="1:8" ht="14.25" customHeight="1">
      <c r="A1501" s="233" t="s">
        <v>147</v>
      </c>
      <c r="B1501" s="222"/>
      <c r="C1501" s="221" t="s">
        <v>173</v>
      </c>
      <c r="D1501" s="221" t="s">
        <v>174</v>
      </c>
      <c r="E1501" s="221" t="s">
        <v>175</v>
      </c>
      <c r="F1501" s="221" t="s">
        <v>150</v>
      </c>
      <c r="G1501" s="243" t="s">
        <v>176</v>
      </c>
      <c r="H1501" s="223" t="s">
        <v>152</v>
      </c>
    </row>
    <row r="1502" spans="1:8" ht="14.25" customHeight="1">
      <c r="A1502" s="459" t="s">
        <v>177</v>
      </c>
      <c r="B1502" s="451"/>
      <c r="C1502" s="225">
        <v>55000</v>
      </c>
      <c r="D1502" s="224">
        <v>0</v>
      </c>
      <c r="E1502" s="225">
        <f t="shared" ref="E1502:E1503" si="230">C1502</f>
        <v>55000</v>
      </c>
      <c r="F1502" s="244">
        <f t="shared" ref="F1502:F1503" si="231">70%</f>
        <v>0.7</v>
      </c>
      <c r="G1502" s="226">
        <f t="shared" ref="G1502:G1503" si="232">E1502*F1502</f>
        <v>38500</v>
      </c>
      <c r="H1502" s="449">
        <f>G1502+G1503</f>
        <v>63000</v>
      </c>
    </row>
    <row r="1503" spans="1:8" ht="14.25" customHeight="1">
      <c r="A1503" s="460" t="s">
        <v>178</v>
      </c>
      <c r="B1503" s="454"/>
      <c r="C1503" s="230">
        <v>35000</v>
      </c>
      <c r="D1503" s="229">
        <v>0</v>
      </c>
      <c r="E1503" s="230">
        <f t="shared" si="230"/>
        <v>35000</v>
      </c>
      <c r="F1503" s="245">
        <f t="shared" si="231"/>
        <v>0.7</v>
      </c>
      <c r="G1503" s="232">
        <f t="shared" si="232"/>
        <v>24500</v>
      </c>
      <c r="H1503" s="448"/>
    </row>
    <row r="1504" spans="1:8" ht="14.25" customHeight="1">
      <c r="C1504" s="213"/>
      <c r="D1504" s="213"/>
      <c r="F1504" s="213"/>
    </row>
    <row r="1505" spans="1:8" ht="14.25" customHeight="1">
      <c r="C1505" s="213"/>
      <c r="D1505" s="213"/>
      <c r="F1505" s="213"/>
    </row>
    <row r="1506" spans="1:8" ht="14.25" customHeight="1">
      <c r="C1506" s="213"/>
      <c r="D1506" s="213"/>
      <c r="F1506" s="213"/>
    </row>
    <row r="1507" spans="1:8" ht="14.25" customHeight="1">
      <c r="C1507" s="213"/>
      <c r="D1507" s="213"/>
      <c r="F1507" s="213"/>
    </row>
    <row r="1508" spans="1:8" ht="14.25" customHeight="1">
      <c r="C1508" s="213"/>
      <c r="D1508" s="213"/>
      <c r="F1508" s="213"/>
    </row>
    <row r="1509" spans="1:8" ht="14.25" customHeight="1">
      <c r="A1509" s="214" t="s">
        <v>137</v>
      </c>
      <c r="C1509" s="213"/>
      <c r="D1509" s="471" t="s">
        <v>409</v>
      </c>
      <c r="E1509" s="430"/>
      <c r="F1509" s="430"/>
      <c r="G1509" s="430"/>
    </row>
    <row r="1510" spans="1:8" ht="14.25" customHeight="1">
      <c r="A1510" s="214"/>
      <c r="C1510" s="213"/>
      <c r="D1510" s="216"/>
      <c r="E1510" s="215"/>
      <c r="F1510" s="216"/>
      <c r="G1510" s="215"/>
    </row>
    <row r="1511" spans="1:8" ht="43.5" customHeight="1">
      <c r="A1511" s="217" t="s">
        <v>139</v>
      </c>
      <c r="B1511" s="472" t="s">
        <v>109</v>
      </c>
      <c r="C1511" s="430"/>
      <c r="D1511" s="430"/>
      <c r="E1511" s="430"/>
      <c r="F1511" s="430"/>
      <c r="G1511" s="217" t="s">
        <v>140</v>
      </c>
      <c r="H1511" s="217" t="s">
        <v>410</v>
      </c>
    </row>
    <row r="1512" spans="1:8" ht="14.25" customHeight="1">
      <c r="A1512" s="214" t="s">
        <v>142</v>
      </c>
      <c r="B1512" s="213" t="s">
        <v>142</v>
      </c>
      <c r="C1512" s="213"/>
      <c r="D1512" s="213"/>
      <c r="E1512" s="213"/>
      <c r="F1512" s="216" t="s">
        <v>143</v>
      </c>
      <c r="G1512" s="219">
        <f>H1515+H1522+H1526+H1530</f>
        <v>230106.75</v>
      </c>
    </row>
    <row r="1513" spans="1:8" ht="14.25" customHeight="1">
      <c r="A1513" s="214" t="s">
        <v>145</v>
      </c>
      <c r="C1513" s="213"/>
      <c r="D1513" s="213"/>
      <c r="E1513" s="213"/>
      <c r="F1513" s="213"/>
    </row>
    <row r="1514" spans="1:8" ht="14.25" customHeight="1">
      <c r="A1514" s="456" t="s">
        <v>147</v>
      </c>
      <c r="B1514" s="457"/>
      <c r="C1514" s="221" t="s">
        <v>148</v>
      </c>
      <c r="D1514" s="221"/>
      <c r="E1514" s="221" t="s">
        <v>149</v>
      </c>
      <c r="F1514" s="221" t="s">
        <v>150</v>
      </c>
      <c r="G1514" s="222" t="s">
        <v>151</v>
      </c>
      <c r="H1514" s="223" t="s">
        <v>152</v>
      </c>
    </row>
    <row r="1515" spans="1:8" ht="14.25" customHeight="1">
      <c r="A1515" s="459" t="s">
        <v>153</v>
      </c>
      <c r="B1515" s="451"/>
      <c r="C1515" s="224"/>
      <c r="D1515" s="224"/>
      <c r="E1515" s="225">
        <f>7500</f>
        <v>7500</v>
      </c>
      <c r="F1515" s="224">
        <f>0</f>
        <v>0</v>
      </c>
      <c r="G1515" s="226">
        <f t="shared" ref="G1515:G1518" si="233">E1515*F1515</f>
        <v>0</v>
      </c>
      <c r="H1515" s="449">
        <f>SUM(G1515:G1518)</f>
        <v>3206.75</v>
      </c>
    </row>
    <row r="1516" spans="1:8" ht="14.25" customHeight="1">
      <c r="A1516" s="227" t="s">
        <v>401</v>
      </c>
      <c r="B1516" s="228"/>
      <c r="C1516" s="224"/>
      <c r="D1516" s="224"/>
      <c r="E1516" s="225">
        <f>6250</f>
        <v>6250</v>
      </c>
      <c r="F1516" s="224">
        <f>0.2</f>
        <v>0.2</v>
      </c>
      <c r="G1516" s="226">
        <f t="shared" si="233"/>
        <v>1250</v>
      </c>
      <c r="H1516" s="447"/>
    </row>
    <row r="1517" spans="1:8" ht="14.25" customHeight="1">
      <c r="A1517" s="227" t="s">
        <v>155</v>
      </c>
      <c r="B1517" s="228"/>
      <c r="C1517" s="224"/>
      <c r="D1517" s="224"/>
      <c r="E1517" s="225">
        <f>60000/8</f>
        <v>7500</v>
      </c>
      <c r="F1517" s="224">
        <f>8*0</f>
        <v>0</v>
      </c>
      <c r="G1517" s="226">
        <f t="shared" si="233"/>
        <v>0</v>
      </c>
      <c r="H1517" s="447"/>
    </row>
    <row r="1518" spans="1:8" ht="14.25" customHeight="1">
      <c r="A1518" s="460" t="s">
        <v>156</v>
      </c>
      <c r="B1518" s="454"/>
      <c r="C1518" s="229"/>
      <c r="D1518" s="229"/>
      <c r="E1518" s="230">
        <f>2500</f>
        <v>2500</v>
      </c>
      <c r="F1518" s="231">
        <f>0.7827</f>
        <v>0.78269999999999995</v>
      </c>
      <c r="G1518" s="232">
        <f t="shared" si="233"/>
        <v>1956.7499999999998</v>
      </c>
      <c r="H1518" s="448"/>
    </row>
    <row r="1519" spans="1:8" ht="14.25" customHeight="1">
      <c r="C1519" s="213"/>
      <c r="D1519" s="213"/>
      <c r="E1519" s="213"/>
      <c r="F1519" s="213"/>
    </row>
    <row r="1520" spans="1:8" ht="14.25" customHeight="1">
      <c r="A1520" s="254" t="s">
        <v>157</v>
      </c>
      <c r="B1520" s="222"/>
      <c r="C1520" s="221"/>
      <c r="D1520" s="221"/>
      <c r="E1520" s="221"/>
      <c r="F1520" s="221"/>
      <c r="G1520" s="222"/>
      <c r="H1520" s="223"/>
    </row>
    <row r="1521" spans="1:8" ht="14.25" customHeight="1">
      <c r="A1521" s="227" t="s">
        <v>147</v>
      </c>
      <c r="B1521" s="228"/>
      <c r="C1521" s="224" t="s">
        <v>158</v>
      </c>
      <c r="D1521" s="224"/>
      <c r="E1521" s="224" t="s">
        <v>159</v>
      </c>
      <c r="F1521" s="224" t="s">
        <v>160</v>
      </c>
      <c r="G1521" s="228" t="s">
        <v>161</v>
      </c>
      <c r="H1521" s="255" t="s">
        <v>152</v>
      </c>
    </row>
    <row r="1522" spans="1:8" ht="32.25" customHeight="1">
      <c r="A1522" s="476" t="s">
        <v>411</v>
      </c>
      <c r="B1522" s="451"/>
      <c r="C1522" s="247" t="s">
        <v>158</v>
      </c>
      <c r="D1522" s="247"/>
      <c r="E1522" s="248">
        <f>163900</f>
        <v>163900</v>
      </c>
      <c r="F1522" s="253">
        <f>1</f>
        <v>1</v>
      </c>
      <c r="G1522" s="250">
        <f>E1522*F1522</f>
        <v>163900</v>
      </c>
      <c r="H1522" s="307">
        <f>SUM(G1522)</f>
        <v>163900</v>
      </c>
    </row>
    <row r="1523" spans="1:8" ht="14.25" customHeight="1">
      <c r="A1523" s="269"/>
      <c r="B1523" s="269"/>
      <c r="C1523" s="213"/>
      <c r="D1523" s="213"/>
      <c r="E1523" s="213"/>
      <c r="F1523" s="213"/>
    </row>
    <row r="1524" spans="1:8" ht="14.25" customHeight="1">
      <c r="A1524" s="214" t="s">
        <v>165</v>
      </c>
      <c r="C1524" s="213"/>
      <c r="D1524" s="213"/>
      <c r="E1524" s="213"/>
      <c r="F1524" s="213"/>
    </row>
    <row r="1525" spans="1:8" ht="14.25" customHeight="1">
      <c r="A1525" s="456" t="s">
        <v>147</v>
      </c>
      <c r="B1525" s="457"/>
      <c r="C1525" s="221" t="s">
        <v>166</v>
      </c>
      <c r="D1525" s="221" t="s">
        <v>167</v>
      </c>
      <c r="E1525" s="221" t="s">
        <v>168</v>
      </c>
      <c r="F1525" s="221" t="s">
        <v>169</v>
      </c>
      <c r="G1525" s="221" t="s">
        <v>170</v>
      </c>
      <c r="H1525" s="240" t="s">
        <v>152</v>
      </c>
    </row>
    <row r="1526" spans="1:8" ht="14.25" customHeight="1">
      <c r="A1526" s="458" t="s">
        <v>171</v>
      </c>
      <c r="B1526" s="454"/>
      <c r="C1526" s="229">
        <f>1</f>
        <v>1</v>
      </c>
      <c r="D1526" s="231">
        <f>27.504</f>
        <v>27.504000000000001</v>
      </c>
      <c r="E1526" s="241">
        <f>369.3</f>
        <v>369.3</v>
      </c>
      <c r="F1526" s="229">
        <f>2.5</f>
        <v>2.5</v>
      </c>
      <c r="G1526" s="232">
        <f>E1526*D1526*F1526*0</f>
        <v>0</v>
      </c>
      <c r="H1526" s="242">
        <f>+G1526</f>
        <v>0</v>
      </c>
    </row>
    <row r="1527" spans="1:8" ht="14.25" customHeight="1">
      <c r="C1527" s="213"/>
      <c r="D1527" s="213"/>
      <c r="E1527" s="213"/>
      <c r="F1527" s="213"/>
    </row>
    <row r="1528" spans="1:8" ht="14.25" customHeight="1">
      <c r="A1528" s="214" t="s">
        <v>172</v>
      </c>
      <c r="C1528" s="213"/>
      <c r="D1528" s="213"/>
      <c r="E1528" s="213"/>
      <c r="F1528" s="213"/>
    </row>
    <row r="1529" spans="1:8" ht="14.25" customHeight="1">
      <c r="A1529" s="233" t="s">
        <v>147</v>
      </c>
      <c r="B1529" s="222"/>
      <c r="C1529" s="221" t="s">
        <v>173</v>
      </c>
      <c r="D1529" s="221" t="s">
        <v>174</v>
      </c>
      <c r="E1529" s="221" t="s">
        <v>175</v>
      </c>
      <c r="F1529" s="221" t="s">
        <v>150</v>
      </c>
      <c r="G1529" s="243" t="s">
        <v>176</v>
      </c>
      <c r="H1529" s="223" t="s">
        <v>152</v>
      </c>
    </row>
    <row r="1530" spans="1:8" ht="14.25" customHeight="1">
      <c r="A1530" s="459" t="s">
        <v>177</v>
      </c>
      <c r="B1530" s="451"/>
      <c r="C1530" s="225">
        <v>55000</v>
      </c>
      <c r="D1530" s="224">
        <v>0</v>
      </c>
      <c r="E1530" s="225">
        <f t="shared" ref="E1530:E1531" si="234">C1530</f>
        <v>55000</v>
      </c>
      <c r="F1530" s="244">
        <f t="shared" ref="F1530:F1531" si="235">70%</f>
        <v>0.7</v>
      </c>
      <c r="G1530" s="226">
        <f t="shared" ref="G1530:G1531" si="236">E1530*F1530</f>
        <v>38500</v>
      </c>
      <c r="H1530" s="449">
        <f>G1530+G1531</f>
        <v>63000</v>
      </c>
    </row>
    <row r="1531" spans="1:8" ht="14.25" customHeight="1">
      <c r="A1531" s="460" t="s">
        <v>178</v>
      </c>
      <c r="B1531" s="454"/>
      <c r="C1531" s="230">
        <v>35000</v>
      </c>
      <c r="D1531" s="229">
        <v>0</v>
      </c>
      <c r="E1531" s="230">
        <f t="shared" si="234"/>
        <v>35000</v>
      </c>
      <c r="F1531" s="245">
        <f t="shared" si="235"/>
        <v>0.7</v>
      </c>
      <c r="G1531" s="232">
        <f t="shared" si="236"/>
        <v>24500</v>
      </c>
      <c r="H1531" s="448"/>
    </row>
    <row r="1532" spans="1:8" ht="14.25" customHeight="1">
      <c r="C1532" s="213"/>
      <c r="D1532" s="213"/>
      <c r="F1532" s="213"/>
    </row>
    <row r="1533" spans="1:8" ht="14.25" customHeight="1">
      <c r="C1533" s="213"/>
      <c r="D1533" s="213"/>
      <c r="F1533" s="213"/>
    </row>
    <row r="1534" spans="1:8" ht="14.25" customHeight="1">
      <c r="C1534" s="213"/>
      <c r="D1534" s="213"/>
      <c r="F1534" s="213"/>
    </row>
    <row r="1535" spans="1:8" ht="14.25" customHeight="1">
      <c r="C1535" s="213"/>
      <c r="D1535" s="213"/>
      <c r="F1535" s="213"/>
    </row>
    <row r="1536" spans="1:8" ht="14.25" customHeight="1">
      <c r="C1536" s="213"/>
      <c r="D1536" s="213"/>
      <c r="F1536" s="213"/>
    </row>
    <row r="1537" spans="1:8" ht="14.25" customHeight="1">
      <c r="C1537" s="213"/>
      <c r="D1537" s="213"/>
      <c r="F1537" s="213"/>
    </row>
    <row r="1538" spans="1:8" ht="14.25" customHeight="1">
      <c r="A1538" s="463" t="s">
        <v>137</v>
      </c>
      <c r="B1538" s="430"/>
      <c r="C1538" s="463" t="s">
        <v>412</v>
      </c>
      <c r="D1538" s="430"/>
      <c r="E1538" s="430"/>
      <c r="F1538" s="430"/>
      <c r="G1538" s="430"/>
      <c r="H1538" s="430"/>
    </row>
    <row r="1539" spans="1:8" ht="14.25" customHeight="1">
      <c r="C1539" s="213"/>
      <c r="D1539" s="213"/>
      <c r="F1539" s="213"/>
    </row>
    <row r="1540" spans="1:8" ht="38.25" customHeight="1">
      <c r="A1540" t="s">
        <v>139</v>
      </c>
      <c r="B1540" s="464" t="s">
        <v>413</v>
      </c>
      <c r="C1540" s="430"/>
      <c r="D1540" s="430"/>
      <c r="E1540" s="430"/>
      <c r="F1540" s="430"/>
      <c r="G1540" s="217" t="s">
        <v>140</v>
      </c>
      <c r="H1540" s="217" t="s">
        <v>414</v>
      </c>
    </row>
    <row r="1541" spans="1:8" ht="14.25" customHeight="1">
      <c r="A1541" t="s">
        <v>142</v>
      </c>
      <c r="B1541" s="213" t="s">
        <v>15</v>
      </c>
      <c r="C1541" s="213"/>
      <c r="D1541" s="213"/>
      <c r="F1541" s="216" t="s">
        <v>143</v>
      </c>
      <c r="G1541" s="279">
        <f>H1544+H1551+H1558+H1562</f>
        <v>98995</v>
      </c>
    </row>
    <row r="1542" spans="1:8" ht="14.25" customHeight="1">
      <c r="A1542" s="214" t="s">
        <v>145</v>
      </c>
      <c r="C1542" s="213"/>
      <c r="D1542" s="213"/>
      <c r="F1542" s="213"/>
    </row>
    <row r="1543" spans="1:8" ht="14.25" customHeight="1">
      <c r="A1543" s="233" t="s">
        <v>147</v>
      </c>
      <c r="B1543" s="222"/>
      <c r="C1543" s="221" t="s">
        <v>148</v>
      </c>
      <c r="D1543" s="221"/>
      <c r="E1543" s="222" t="s">
        <v>149</v>
      </c>
      <c r="F1543" s="221" t="s">
        <v>150</v>
      </c>
      <c r="G1543" s="222" t="s">
        <v>151</v>
      </c>
      <c r="H1543" s="223" t="s">
        <v>152</v>
      </c>
    </row>
    <row r="1544" spans="1:8" ht="14.25" customHeight="1">
      <c r="A1544" s="459" t="s">
        <v>153</v>
      </c>
      <c r="B1544" s="451"/>
      <c r="C1544" s="224"/>
      <c r="D1544" s="224"/>
      <c r="E1544" s="228">
        <f>7500</f>
        <v>7500</v>
      </c>
      <c r="F1544" s="224">
        <f t="shared" ref="F1544:F1545" si="237">0</f>
        <v>0</v>
      </c>
      <c r="G1544" s="299">
        <f t="shared" ref="G1544:G1547" si="238">E1544*F1544</f>
        <v>0</v>
      </c>
      <c r="H1544" s="446">
        <f>SUM(G1544:G1547)</f>
        <v>5625</v>
      </c>
    </row>
    <row r="1545" spans="1:8" ht="14.25" customHeight="1">
      <c r="A1545" s="227" t="s">
        <v>154</v>
      </c>
      <c r="B1545" s="228"/>
      <c r="C1545" s="224"/>
      <c r="D1545" s="224"/>
      <c r="E1545" s="228">
        <f>20110/8</f>
        <v>2513.75</v>
      </c>
      <c r="F1545" s="224">
        <f t="shared" si="237"/>
        <v>0</v>
      </c>
      <c r="G1545" s="299">
        <f t="shared" si="238"/>
        <v>0</v>
      </c>
      <c r="H1545" s="447"/>
    </row>
    <row r="1546" spans="1:8" ht="14.25" customHeight="1">
      <c r="A1546" s="227" t="s">
        <v>371</v>
      </c>
      <c r="B1546" s="228"/>
      <c r="C1546" s="224"/>
      <c r="D1546" s="224"/>
      <c r="E1546" s="228">
        <f>50000/8</f>
        <v>6250</v>
      </c>
      <c r="F1546" s="224">
        <f>0.5</f>
        <v>0.5</v>
      </c>
      <c r="G1546" s="299">
        <f t="shared" si="238"/>
        <v>3125</v>
      </c>
      <c r="H1546" s="447"/>
    </row>
    <row r="1547" spans="1:8" ht="14.25" customHeight="1">
      <c r="A1547" s="267" t="s">
        <v>156</v>
      </c>
      <c r="B1547" s="260"/>
      <c r="C1547" s="229"/>
      <c r="D1547" s="229"/>
      <c r="E1547" s="260">
        <f>2500</f>
        <v>2500</v>
      </c>
      <c r="F1547" s="229">
        <f>1</f>
        <v>1</v>
      </c>
      <c r="G1547" s="300">
        <f t="shared" si="238"/>
        <v>2500</v>
      </c>
      <c r="H1547" s="448"/>
    </row>
    <row r="1548" spans="1:8" ht="14.25" customHeight="1">
      <c r="C1548" s="213"/>
      <c r="D1548" s="213"/>
      <c r="F1548" s="213"/>
    </row>
    <row r="1549" spans="1:8" ht="14.25" customHeight="1">
      <c r="A1549" s="214" t="s">
        <v>157</v>
      </c>
      <c r="C1549" s="213"/>
      <c r="D1549" s="213"/>
      <c r="F1549" s="213"/>
    </row>
    <row r="1550" spans="1:8" ht="14.25" customHeight="1">
      <c r="A1550" s="233" t="s">
        <v>147</v>
      </c>
      <c r="B1550" s="222"/>
      <c r="C1550" s="221" t="s">
        <v>158</v>
      </c>
      <c r="D1550" s="221"/>
      <c r="E1550" s="222" t="s">
        <v>159</v>
      </c>
      <c r="F1550" s="221" t="s">
        <v>160</v>
      </c>
      <c r="G1550" s="222" t="s">
        <v>161</v>
      </c>
      <c r="H1550" s="223" t="s">
        <v>152</v>
      </c>
    </row>
    <row r="1551" spans="1:8" ht="14.25" customHeight="1">
      <c r="A1551" s="465" t="s">
        <v>238</v>
      </c>
      <c r="B1551" s="451"/>
      <c r="C1551" s="224" t="s">
        <v>239</v>
      </c>
      <c r="D1551" s="224"/>
      <c r="E1551" s="226">
        <f>48000</f>
        <v>48000</v>
      </c>
      <c r="F1551" s="224">
        <f>0.015</f>
        <v>1.4999999999999999E-2</v>
      </c>
      <c r="G1551" s="228">
        <f t="shared" ref="G1551:G1554" si="239">E1551*F1551</f>
        <v>720</v>
      </c>
      <c r="H1551" s="449">
        <f>G1551+G1552+G1553+G1554</f>
        <v>28620</v>
      </c>
    </row>
    <row r="1552" spans="1:8" ht="14.25" customHeight="1">
      <c r="A1552" s="465" t="s">
        <v>382</v>
      </c>
      <c r="B1552" s="451"/>
      <c r="C1552" s="224" t="s">
        <v>158</v>
      </c>
      <c r="D1552" s="224"/>
      <c r="E1552" s="226">
        <f>4500</f>
        <v>4500</v>
      </c>
      <c r="F1552" s="224">
        <f>0.2</f>
        <v>0.2</v>
      </c>
      <c r="G1552" s="228">
        <f t="shared" si="239"/>
        <v>900</v>
      </c>
      <c r="H1552" s="447"/>
    </row>
    <row r="1553" spans="1:8" ht="14.25" customHeight="1">
      <c r="A1553" s="475" t="s">
        <v>383</v>
      </c>
      <c r="B1553" s="451"/>
      <c r="C1553" s="247" t="s">
        <v>239</v>
      </c>
      <c r="D1553" s="247"/>
      <c r="E1553" s="250">
        <f>12000</f>
        <v>12000</v>
      </c>
      <c r="F1553" s="247">
        <f>0.25</f>
        <v>0.25</v>
      </c>
      <c r="G1553" s="250">
        <f t="shared" si="239"/>
        <v>3000</v>
      </c>
      <c r="H1553" s="447"/>
    </row>
    <row r="1554" spans="1:8" ht="14.25" customHeight="1">
      <c r="A1554" s="490" t="s">
        <v>415</v>
      </c>
      <c r="B1554" s="454"/>
      <c r="C1554" s="256" t="s">
        <v>158</v>
      </c>
      <c r="D1554" s="256"/>
      <c r="E1554" s="259">
        <f>24000</f>
        <v>24000</v>
      </c>
      <c r="F1554" s="256">
        <f>1</f>
        <v>1</v>
      </c>
      <c r="G1554" s="259">
        <f t="shared" si="239"/>
        <v>24000</v>
      </c>
      <c r="H1554" s="448"/>
    </row>
    <row r="1555" spans="1:8" ht="14.25" customHeight="1">
      <c r="C1555" s="213"/>
      <c r="D1555" s="213"/>
      <c r="F1555" s="213"/>
    </row>
    <row r="1556" spans="1:8" ht="14.25" customHeight="1">
      <c r="A1556" s="214" t="s">
        <v>165</v>
      </c>
      <c r="C1556" s="213"/>
      <c r="D1556" s="213"/>
      <c r="F1556" s="213"/>
    </row>
    <row r="1557" spans="1:8" ht="14.25" customHeight="1">
      <c r="A1557" s="233" t="s">
        <v>147</v>
      </c>
      <c r="B1557" s="222"/>
      <c r="C1557" s="221" t="s">
        <v>166</v>
      </c>
      <c r="D1557" s="221" t="s">
        <v>167</v>
      </c>
      <c r="E1557" s="222" t="s">
        <v>168</v>
      </c>
      <c r="F1557" s="221" t="s">
        <v>169</v>
      </c>
      <c r="G1557" s="222" t="s">
        <v>170</v>
      </c>
      <c r="H1557" s="223" t="s">
        <v>152</v>
      </c>
    </row>
    <row r="1558" spans="1:8" ht="14.25" customHeight="1">
      <c r="A1558" s="267" t="s">
        <v>171</v>
      </c>
      <c r="B1558" s="260"/>
      <c r="C1558" s="229">
        <f>1</f>
        <v>1</v>
      </c>
      <c r="D1558" s="229">
        <f>27.504</f>
        <v>27.504000000000001</v>
      </c>
      <c r="E1558" s="260">
        <f>369.3</f>
        <v>369.3</v>
      </c>
      <c r="F1558" s="229">
        <f>2.5</f>
        <v>2.5</v>
      </c>
      <c r="G1558" s="260">
        <f>E1558*D1558*F1558*0</f>
        <v>0</v>
      </c>
      <c r="H1558" s="280">
        <f>+G1558</f>
        <v>0</v>
      </c>
    </row>
    <row r="1559" spans="1:8" ht="14.25" customHeight="1">
      <c r="C1559" s="213"/>
      <c r="D1559" s="213"/>
      <c r="F1559" s="213"/>
    </row>
    <row r="1560" spans="1:8" ht="14.25" customHeight="1">
      <c r="A1560" s="214" t="s">
        <v>172</v>
      </c>
      <c r="C1560" s="213"/>
      <c r="D1560" s="213"/>
      <c r="F1560" s="213"/>
    </row>
    <row r="1561" spans="1:8" ht="14.25" customHeight="1">
      <c r="A1561" s="233" t="s">
        <v>147</v>
      </c>
      <c r="B1561" s="222"/>
      <c r="C1561" s="221" t="s">
        <v>173</v>
      </c>
      <c r="D1561" s="221" t="s">
        <v>174</v>
      </c>
      <c r="E1561" s="222" t="s">
        <v>175</v>
      </c>
      <c r="F1561" s="221" t="s">
        <v>150</v>
      </c>
      <c r="G1561" s="222" t="s">
        <v>176</v>
      </c>
      <c r="H1561" s="223" t="s">
        <v>152</v>
      </c>
    </row>
    <row r="1562" spans="1:8" ht="14.25" customHeight="1">
      <c r="A1562" s="459" t="s">
        <v>177</v>
      </c>
      <c r="B1562" s="451"/>
      <c r="C1562" s="224">
        <v>55000</v>
      </c>
      <c r="D1562" s="224">
        <v>0</v>
      </c>
      <c r="E1562" s="228">
        <f t="shared" ref="E1562:E1563" si="240">C1562</f>
        <v>55000</v>
      </c>
      <c r="F1562" s="303">
        <v>0.7</v>
      </c>
      <c r="G1562" s="226">
        <f t="shared" ref="G1562:G1563" si="241">E1562*F1562</f>
        <v>38500</v>
      </c>
      <c r="H1562" s="449">
        <f>G1562+G1563</f>
        <v>64750</v>
      </c>
    </row>
    <row r="1563" spans="1:8" ht="14.25" customHeight="1">
      <c r="A1563" s="267" t="s">
        <v>178</v>
      </c>
      <c r="B1563" s="260"/>
      <c r="C1563" s="229">
        <v>35000</v>
      </c>
      <c r="D1563" s="229">
        <v>0</v>
      </c>
      <c r="E1563" s="260">
        <f t="shared" si="240"/>
        <v>35000</v>
      </c>
      <c r="F1563" s="282">
        <v>0.75</v>
      </c>
      <c r="G1563" s="232">
        <f t="shared" si="241"/>
        <v>26250</v>
      </c>
      <c r="H1563" s="448"/>
    </row>
    <row r="1564" spans="1:8" ht="14.25" customHeight="1">
      <c r="C1564" s="213"/>
      <c r="D1564" s="213"/>
      <c r="F1564" s="213"/>
    </row>
    <row r="1565" spans="1:8" ht="14.25" customHeight="1">
      <c r="C1565" s="213"/>
      <c r="D1565" s="213"/>
      <c r="F1565" s="213"/>
    </row>
    <row r="1566" spans="1:8" ht="14.25" customHeight="1">
      <c r="C1566" s="213"/>
      <c r="D1566" s="213"/>
      <c r="F1566" s="213"/>
    </row>
    <row r="1567" spans="1:8" ht="14.25" customHeight="1">
      <c r="C1567" s="213"/>
      <c r="D1567" s="213"/>
      <c r="F1567" s="213"/>
    </row>
    <row r="1568" spans="1:8" ht="14.25" customHeight="1">
      <c r="C1568" s="213"/>
      <c r="D1568" s="213"/>
      <c r="F1568" s="213"/>
    </row>
    <row r="1569" spans="1:8" ht="14.25" customHeight="1">
      <c r="C1569" s="213"/>
      <c r="D1569" s="213"/>
      <c r="F1569" s="213"/>
    </row>
    <row r="1570" spans="1:8" ht="14.25" customHeight="1">
      <c r="C1570" s="213"/>
      <c r="D1570" s="213"/>
      <c r="F1570" s="213"/>
    </row>
    <row r="1571" spans="1:8" ht="14.25" customHeight="1">
      <c r="A1571" s="463" t="s">
        <v>137</v>
      </c>
      <c r="B1571" s="430"/>
      <c r="C1571" s="463" t="s">
        <v>416</v>
      </c>
      <c r="D1571" s="430"/>
      <c r="E1571" s="430"/>
      <c r="F1571" s="430"/>
      <c r="G1571" s="430"/>
      <c r="H1571" s="430"/>
    </row>
    <row r="1572" spans="1:8" ht="14.25" customHeight="1">
      <c r="C1572" s="213"/>
      <c r="D1572" s="213"/>
      <c r="F1572" s="213"/>
    </row>
    <row r="1573" spans="1:8" ht="57.75" customHeight="1">
      <c r="A1573" t="s">
        <v>139</v>
      </c>
      <c r="B1573" s="464" t="s">
        <v>417</v>
      </c>
      <c r="C1573" s="430"/>
      <c r="D1573" s="430"/>
      <c r="E1573" s="430"/>
      <c r="F1573" s="430"/>
      <c r="G1573" s="217" t="s">
        <v>140</v>
      </c>
      <c r="H1573" s="217" t="s">
        <v>418</v>
      </c>
    </row>
    <row r="1574" spans="1:8" ht="14.25" customHeight="1">
      <c r="A1574" t="s">
        <v>142</v>
      </c>
      <c r="B1574" s="213" t="s">
        <v>15</v>
      </c>
      <c r="C1574" s="213"/>
      <c r="D1574" s="213"/>
      <c r="F1574" s="216" t="s">
        <v>143</v>
      </c>
      <c r="G1574" s="279">
        <f>H1577+H1584+H1594+H1598</f>
        <v>581218.55799999996</v>
      </c>
    </row>
    <row r="1575" spans="1:8" ht="14.25" customHeight="1">
      <c r="A1575" s="214" t="s">
        <v>145</v>
      </c>
      <c r="C1575" s="213"/>
      <c r="D1575" s="213"/>
      <c r="F1575" s="213"/>
    </row>
    <row r="1576" spans="1:8" ht="14.25" customHeight="1">
      <c r="A1576" s="233" t="s">
        <v>147</v>
      </c>
      <c r="B1576" s="222"/>
      <c r="C1576" s="221" t="s">
        <v>148</v>
      </c>
      <c r="D1576" s="221"/>
      <c r="E1576" s="222" t="s">
        <v>149</v>
      </c>
      <c r="F1576" s="221" t="s">
        <v>150</v>
      </c>
      <c r="G1576" s="222" t="s">
        <v>151</v>
      </c>
      <c r="H1576" s="223" t="s">
        <v>152</v>
      </c>
    </row>
    <row r="1577" spans="1:8" ht="14.25" customHeight="1">
      <c r="A1577" s="459" t="s">
        <v>419</v>
      </c>
      <c r="B1577" s="451"/>
      <c r="C1577" s="224" t="s">
        <v>235</v>
      </c>
      <c r="D1577" s="224"/>
      <c r="E1577" s="228">
        <f>65000/8</f>
        <v>8125</v>
      </c>
      <c r="F1577" s="224">
        <f>1</f>
        <v>1</v>
      </c>
      <c r="G1577" s="299">
        <f t="shared" ref="G1577:G1580" si="242">E1577*F1577</f>
        <v>8125</v>
      </c>
      <c r="H1577" s="446">
        <f>SUM(G1577:G1580)</f>
        <v>10625</v>
      </c>
    </row>
    <row r="1578" spans="1:8" ht="14.25" customHeight="1">
      <c r="A1578" s="227" t="s">
        <v>154</v>
      </c>
      <c r="B1578" s="228"/>
      <c r="C1578" s="224"/>
      <c r="D1578" s="224"/>
      <c r="E1578" s="228">
        <f>20110/8</f>
        <v>2513.75</v>
      </c>
      <c r="F1578" s="224">
        <f t="shared" ref="F1578:F1579" si="243">0</f>
        <v>0</v>
      </c>
      <c r="G1578" s="299">
        <f t="shared" si="242"/>
        <v>0</v>
      </c>
      <c r="H1578" s="447"/>
    </row>
    <row r="1579" spans="1:8" ht="14.25" customHeight="1">
      <c r="A1579" s="227" t="s">
        <v>371</v>
      </c>
      <c r="B1579" s="228"/>
      <c r="C1579" s="224"/>
      <c r="D1579" s="224"/>
      <c r="E1579" s="228">
        <f>50000/8</f>
        <v>6250</v>
      </c>
      <c r="F1579" s="224">
        <f t="shared" si="243"/>
        <v>0</v>
      </c>
      <c r="G1579" s="299">
        <f t="shared" si="242"/>
        <v>0</v>
      </c>
      <c r="H1579" s="447"/>
    </row>
    <row r="1580" spans="1:8" ht="14.25" customHeight="1">
      <c r="A1580" s="267" t="s">
        <v>156</v>
      </c>
      <c r="B1580" s="260"/>
      <c r="C1580" s="229"/>
      <c r="D1580" s="229"/>
      <c r="E1580" s="260">
        <f>2500</f>
        <v>2500</v>
      </c>
      <c r="F1580" s="229">
        <f>1</f>
        <v>1</v>
      </c>
      <c r="G1580" s="300">
        <f t="shared" si="242"/>
        <v>2500</v>
      </c>
      <c r="H1580" s="448"/>
    </row>
    <row r="1581" spans="1:8" ht="14.25" customHeight="1">
      <c r="C1581" s="213"/>
      <c r="D1581" s="213"/>
      <c r="F1581" s="213"/>
    </row>
    <row r="1582" spans="1:8" ht="14.25" customHeight="1">
      <c r="A1582" s="214" t="s">
        <v>157</v>
      </c>
      <c r="C1582" s="213"/>
      <c r="D1582" s="213"/>
      <c r="F1582" s="213"/>
    </row>
    <row r="1583" spans="1:8" ht="14.25" customHeight="1">
      <c r="A1583" s="228" t="s">
        <v>147</v>
      </c>
      <c r="B1583" s="228"/>
      <c r="C1583" s="224" t="s">
        <v>158</v>
      </c>
      <c r="D1583" s="224"/>
      <c r="E1583" s="228" t="s">
        <v>159</v>
      </c>
      <c r="F1583" s="224" t="s">
        <v>160</v>
      </c>
      <c r="G1583" s="228" t="s">
        <v>161</v>
      </c>
      <c r="H1583" s="228" t="s">
        <v>152</v>
      </c>
    </row>
    <row r="1584" spans="1:8" ht="15" customHeight="1">
      <c r="A1584" s="474" t="s">
        <v>193</v>
      </c>
      <c r="B1584" s="451"/>
      <c r="C1584" s="247" t="s">
        <v>28</v>
      </c>
      <c r="D1584" s="247"/>
      <c r="E1584" s="251">
        <f>763131</f>
        <v>763131</v>
      </c>
      <c r="F1584" s="224">
        <f>0.3*0.4*2</f>
        <v>0.24</v>
      </c>
      <c r="G1584" s="228">
        <f t="shared" ref="G1584:G1590" si="244">E1584*F1584</f>
        <v>183151.44</v>
      </c>
      <c r="H1584" s="467">
        <f>SUM(G1584:G1590)</f>
        <v>320200.49</v>
      </c>
    </row>
    <row r="1585" spans="1:8" ht="15" customHeight="1">
      <c r="A1585" s="474" t="s">
        <v>420</v>
      </c>
      <c r="B1585" s="451"/>
      <c r="C1585" s="247" t="s">
        <v>158</v>
      </c>
      <c r="D1585" s="247"/>
      <c r="E1585" s="251">
        <f>18000</f>
        <v>18000</v>
      </c>
      <c r="F1585" s="224">
        <f>0.2</f>
        <v>0.2</v>
      </c>
      <c r="G1585" s="228">
        <f t="shared" si="244"/>
        <v>3600</v>
      </c>
      <c r="H1585" s="468"/>
    </row>
    <row r="1586" spans="1:8" ht="15.75" customHeight="1">
      <c r="A1586" s="474" t="s">
        <v>195</v>
      </c>
      <c r="B1586" s="451"/>
      <c r="C1586" s="247" t="s">
        <v>158</v>
      </c>
      <c r="D1586" s="247"/>
      <c r="E1586" s="251">
        <v>12000</v>
      </c>
      <c r="F1586" s="247">
        <f>0.25</f>
        <v>0.25</v>
      </c>
      <c r="G1586" s="250">
        <f t="shared" si="244"/>
        <v>3000</v>
      </c>
      <c r="H1586" s="468"/>
    </row>
    <row r="1587" spans="1:8" ht="15.75" customHeight="1">
      <c r="A1587" s="461" t="s">
        <v>327</v>
      </c>
      <c r="B1587" s="451"/>
      <c r="C1587" s="247" t="s">
        <v>49</v>
      </c>
      <c r="D1587" s="224"/>
      <c r="E1587" s="248">
        <f>4531</f>
        <v>4531</v>
      </c>
      <c r="F1587" s="247">
        <f>1</f>
        <v>1</v>
      </c>
      <c r="G1587" s="250">
        <f t="shared" si="244"/>
        <v>4531</v>
      </c>
      <c r="H1587" s="468"/>
    </row>
    <row r="1588" spans="1:8" ht="15.75" customHeight="1">
      <c r="A1588" s="474" t="s">
        <v>421</v>
      </c>
      <c r="B1588" s="451"/>
      <c r="C1588" s="247" t="s">
        <v>28</v>
      </c>
      <c r="D1588" s="247"/>
      <c r="E1588" s="251">
        <f>763115</f>
        <v>763115</v>
      </c>
      <c r="F1588" s="247">
        <f>0.07</f>
        <v>7.0000000000000007E-2</v>
      </c>
      <c r="G1588" s="250">
        <f t="shared" si="244"/>
        <v>53418.05</v>
      </c>
      <c r="H1588" s="468"/>
    </row>
    <row r="1589" spans="1:8" ht="15.75" customHeight="1">
      <c r="A1589" s="474" t="s">
        <v>422</v>
      </c>
      <c r="B1589" s="451"/>
      <c r="C1589" s="247" t="s">
        <v>28</v>
      </c>
      <c r="D1589" s="247"/>
      <c r="E1589" s="251">
        <f>65000</f>
        <v>65000</v>
      </c>
      <c r="F1589" s="247">
        <f>0.5</f>
        <v>0.5</v>
      </c>
      <c r="G1589" s="250">
        <f t="shared" si="244"/>
        <v>32500</v>
      </c>
      <c r="H1589" s="468"/>
    </row>
    <row r="1590" spans="1:8" ht="15.75" customHeight="1">
      <c r="A1590" s="474" t="s">
        <v>423</v>
      </c>
      <c r="B1590" s="451"/>
      <c r="C1590" s="247" t="s">
        <v>24</v>
      </c>
      <c r="D1590" s="247"/>
      <c r="E1590" s="251">
        <f>20000</f>
        <v>20000</v>
      </c>
      <c r="F1590" s="247">
        <f>2</f>
        <v>2</v>
      </c>
      <c r="G1590" s="250">
        <f t="shared" si="244"/>
        <v>40000</v>
      </c>
      <c r="H1590" s="469"/>
    </row>
    <row r="1591" spans="1:8" ht="14.25" customHeight="1">
      <c r="C1591" s="213"/>
      <c r="D1591" s="213"/>
      <c r="F1591" s="213"/>
    </row>
    <row r="1592" spans="1:8" ht="14.25" customHeight="1">
      <c r="A1592" s="214" t="s">
        <v>165</v>
      </c>
      <c r="C1592" s="213"/>
      <c r="D1592" s="213"/>
      <c r="F1592" s="213"/>
    </row>
    <row r="1593" spans="1:8" ht="14.25" customHeight="1">
      <c r="A1593" s="233" t="s">
        <v>147</v>
      </c>
      <c r="B1593" s="222"/>
      <c r="C1593" s="221" t="s">
        <v>166</v>
      </c>
      <c r="D1593" s="221" t="s">
        <v>167</v>
      </c>
      <c r="E1593" s="222" t="s">
        <v>168</v>
      </c>
      <c r="F1593" s="221" t="s">
        <v>169</v>
      </c>
      <c r="G1593" s="222" t="s">
        <v>170</v>
      </c>
      <c r="H1593" s="223" t="s">
        <v>152</v>
      </c>
    </row>
    <row r="1594" spans="1:8" ht="14.25" customHeight="1">
      <c r="A1594" s="267" t="s">
        <v>171</v>
      </c>
      <c r="B1594" s="260"/>
      <c r="C1594" s="229">
        <f>1</f>
        <v>1</v>
      </c>
      <c r="D1594" s="229">
        <f>27.504</f>
        <v>27.504000000000001</v>
      </c>
      <c r="E1594" s="260">
        <f>369.3</f>
        <v>369.3</v>
      </c>
      <c r="F1594" s="229">
        <f>2.5</f>
        <v>2.5</v>
      </c>
      <c r="G1594" s="300">
        <f>E1594*D1594*F1594</f>
        <v>25393.068000000003</v>
      </c>
      <c r="H1594" s="308">
        <f>+G1594</f>
        <v>25393.068000000003</v>
      </c>
    </row>
    <row r="1595" spans="1:8" ht="14.25" customHeight="1">
      <c r="C1595" s="213"/>
      <c r="D1595" s="213"/>
      <c r="F1595" s="213"/>
    </row>
    <row r="1596" spans="1:8" ht="31.5" customHeight="1">
      <c r="A1596" s="492" t="s">
        <v>424</v>
      </c>
      <c r="B1596" s="493"/>
      <c r="C1596" s="493"/>
      <c r="D1596" s="493"/>
      <c r="E1596" s="493"/>
      <c r="F1596" s="493"/>
      <c r="G1596" s="493"/>
      <c r="H1596" s="493"/>
    </row>
    <row r="1597" spans="1:8" ht="14.25" customHeight="1">
      <c r="A1597" s="233" t="s">
        <v>147</v>
      </c>
      <c r="B1597" s="222"/>
      <c r="C1597" s="221" t="s">
        <v>173</v>
      </c>
      <c r="D1597" s="221" t="s">
        <v>174</v>
      </c>
      <c r="E1597" s="222" t="s">
        <v>175</v>
      </c>
      <c r="F1597" s="221" t="s">
        <v>150</v>
      </c>
      <c r="G1597" s="222" t="s">
        <v>176</v>
      </c>
      <c r="H1597" s="223" t="s">
        <v>152</v>
      </c>
    </row>
    <row r="1598" spans="1:8" ht="14.25" customHeight="1">
      <c r="A1598" s="459" t="s">
        <v>177</v>
      </c>
      <c r="B1598" s="451"/>
      <c r="C1598" s="224">
        <v>55000</v>
      </c>
      <c r="D1598" s="224">
        <v>0</v>
      </c>
      <c r="E1598" s="228">
        <f>C1598</f>
        <v>55000</v>
      </c>
      <c r="F1598" s="281">
        <v>1.8</v>
      </c>
      <c r="G1598" s="226">
        <f t="shared" ref="G1598:G1599" si="245">E1598*F1598</f>
        <v>99000</v>
      </c>
      <c r="H1598" s="449">
        <f>G1598+G1599</f>
        <v>225000</v>
      </c>
    </row>
    <row r="1599" spans="1:8" ht="14.25" customHeight="1">
      <c r="A1599" s="267" t="s">
        <v>188</v>
      </c>
      <c r="B1599" s="260"/>
      <c r="C1599" s="229">
        <v>35000</v>
      </c>
      <c r="D1599" s="229">
        <v>0</v>
      </c>
      <c r="E1599" s="260">
        <f>C1599*2</f>
        <v>70000</v>
      </c>
      <c r="F1599" s="282">
        <v>1.8</v>
      </c>
      <c r="G1599" s="232">
        <f t="shared" si="245"/>
        <v>126000</v>
      </c>
      <c r="H1599" s="448"/>
    </row>
  </sheetData>
  <mergeCells count="688">
    <mergeCell ref="C1173:H1173"/>
    <mergeCell ref="B1141:F1141"/>
    <mergeCell ref="A1155:B1155"/>
    <mergeCell ref="A1234:B1234"/>
    <mergeCell ref="A1394:B1394"/>
    <mergeCell ref="A1240:B1240"/>
    <mergeCell ref="H1164:H1165"/>
    <mergeCell ref="H1152:H1156"/>
    <mergeCell ref="H1145:H1148"/>
    <mergeCell ref="A1145:B1145"/>
    <mergeCell ref="A1152:B1152"/>
    <mergeCell ref="A1153:B1153"/>
    <mergeCell ref="A1154:B1154"/>
    <mergeCell ref="B1294:F1294"/>
    <mergeCell ref="H1298:H1301"/>
    <mergeCell ref="H1314:H1315"/>
    <mergeCell ref="A1337:B1337"/>
    <mergeCell ref="C1323:H1323"/>
    <mergeCell ref="B1325:F1325"/>
    <mergeCell ref="H1305:H1306"/>
    <mergeCell ref="A1305:B1305"/>
    <mergeCell ref="A1306:B1306"/>
    <mergeCell ref="A1263:B1263"/>
    <mergeCell ref="A1269:B1269"/>
    <mergeCell ref="A1401:B1401"/>
    <mergeCell ref="A1380:B1380"/>
    <mergeCell ref="A1388:B1388"/>
    <mergeCell ref="A1459:B1459"/>
    <mergeCell ref="A1435:B1435"/>
    <mergeCell ref="A1410:B1410"/>
    <mergeCell ref="D1417:G1417"/>
    <mergeCell ref="B1419:F1419"/>
    <mergeCell ref="A1422:B1422"/>
    <mergeCell ref="A1402:B1402"/>
    <mergeCell ref="A1423:B1423"/>
    <mergeCell ref="A829:B829"/>
    <mergeCell ref="A830:B830"/>
    <mergeCell ref="A1203:B1203"/>
    <mergeCell ref="A1216:B1216"/>
    <mergeCell ref="A1217:B1217"/>
    <mergeCell ref="A1218:B1218"/>
    <mergeCell ref="B847:F847"/>
    <mergeCell ref="A850:B850"/>
    <mergeCell ref="D877:G877"/>
    <mergeCell ref="A838:B838"/>
    <mergeCell ref="A839:B839"/>
    <mergeCell ref="A932:B932"/>
    <mergeCell ref="A1033:B1033"/>
    <mergeCell ref="A995:B995"/>
    <mergeCell ref="A1000:B1000"/>
    <mergeCell ref="A942:B942"/>
    <mergeCell ref="A943:B943"/>
    <mergeCell ref="B939:F939"/>
    <mergeCell ref="A914:B914"/>
    <mergeCell ref="A915:B915"/>
    <mergeCell ref="B1174:F1174"/>
    <mergeCell ref="A1140:B1140"/>
    <mergeCell ref="C1140:H1140"/>
    <mergeCell ref="A1173:B1173"/>
    <mergeCell ref="H883:H886"/>
    <mergeCell ref="H890:H893"/>
    <mergeCell ref="A851:B851"/>
    <mergeCell ref="A854:B854"/>
    <mergeCell ref="H851:H854"/>
    <mergeCell ref="H858:H860"/>
    <mergeCell ref="A859:B859"/>
    <mergeCell ref="H1284:H1285"/>
    <mergeCell ref="C1292:H1292"/>
    <mergeCell ref="A1255:B1255"/>
    <mergeCell ref="A890:B890"/>
    <mergeCell ref="A891:B891"/>
    <mergeCell ref="A892:B892"/>
    <mergeCell ref="A893:B893"/>
    <mergeCell ref="B973:F973"/>
    <mergeCell ref="A976:B976"/>
    <mergeCell ref="H931:H932"/>
    <mergeCell ref="H915:H918"/>
    <mergeCell ref="H922:H923"/>
    <mergeCell ref="A918:B918"/>
    <mergeCell ref="A922:B922"/>
    <mergeCell ref="A926:B926"/>
    <mergeCell ref="A927:B927"/>
    <mergeCell ref="A931:B931"/>
    <mergeCell ref="A1284:B1284"/>
    <mergeCell ref="A1276:B1276"/>
    <mergeCell ref="A1292:B1292"/>
    <mergeCell ref="A1298:B1298"/>
    <mergeCell ref="A1314:B1314"/>
    <mergeCell ref="A1598:B1598"/>
    <mergeCell ref="H1598:H1599"/>
    <mergeCell ref="A1588:B1588"/>
    <mergeCell ref="A1589:B1589"/>
    <mergeCell ref="A1590:B1590"/>
    <mergeCell ref="H1584:H1590"/>
    <mergeCell ref="A1596:H1596"/>
    <mergeCell ref="A1554:B1554"/>
    <mergeCell ref="H1551:H1554"/>
    <mergeCell ref="A1587:B1587"/>
    <mergeCell ref="A1571:B1571"/>
    <mergeCell ref="C1571:H1571"/>
    <mergeCell ref="B1573:F1573"/>
    <mergeCell ref="A1577:B1577"/>
    <mergeCell ref="H1577:H1580"/>
    <mergeCell ref="A1584:B1584"/>
    <mergeCell ref="H1562:H1563"/>
    <mergeCell ref="A1585:B1585"/>
    <mergeCell ref="A1586:B1586"/>
    <mergeCell ref="A1552:B1552"/>
    <mergeCell ref="A1553:B1553"/>
    <mergeCell ref="A1562:B1562"/>
    <mergeCell ref="B817:F817"/>
    <mergeCell ref="A820:B820"/>
    <mergeCell ref="A821:B821"/>
    <mergeCell ref="A824:B824"/>
    <mergeCell ref="A828:B828"/>
    <mergeCell ref="B1390:F1390"/>
    <mergeCell ref="C1388:H1388"/>
    <mergeCell ref="A1371:B1371"/>
    <mergeCell ref="A1372:B1372"/>
    <mergeCell ref="A1367:B1367"/>
    <mergeCell ref="A1369:B1369"/>
    <mergeCell ref="A1368:B1368"/>
    <mergeCell ref="A1323:B1323"/>
    <mergeCell ref="A1329:B1329"/>
    <mergeCell ref="A1336:B1336"/>
    <mergeCell ref="A1338:B1338"/>
    <mergeCell ref="A1346:B1346"/>
    <mergeCell ref="H1329:H1332"/>
    <mergeCell ref="H1336:H1338"/>
    <mergeCell ref="H1368:H1372"/>
    <mergeCell ref="H1178:H1181"/>
    <mergeCell ref="H1185:H1187"/>
    <mergeCell ref="A882:B882"/>
    <mergeCell ref="A896:B896"/>
    <mergeCell ref="H1530:H1531"/>
    <mergeCell ref="A1531:B1531"/>
    <mergeCell ref="A1538:B1538"/>
    <mergeCell ref="C1538:H1538"/>
    <mergeCell ref="H1195:H1196"/>
    <mergeCell ref="C1203:H1203"/>
    <mergeCell ref="B1205:F1205"/>
    <mergeCell ref="H1226:H1227"/>
    <mergeCell ref="H1346:H1347"/>
    <mergeCell ref="H1209:H1212"/>
    <mergeCell ref="H1216:H1218"/>
    <mergeCell ref="C1234:H1234"/>
    <mergeCell ref="B1236:F1236"/>
    <mergeCell ref="H1255:H1256"/>
    <mergeCell ref="H1240:H1243"/>
    <mergeCell ref="C1263:H1263"/>
    <mergeCell ref="B1265:F1265"/>
    <mergeCell ref="H1269:H1272"/>
    <mergeCell ref="D1475:G1475"/>
    <mergeCell ref="B1477:F1477"/>
    <mergeCell ref="A1480:B1480"/>
    <mergeCell ref="H1515:H1518"/>
    <mergeCell ref="A1518:B1518"/>
    <mergeCell ref="A1522:B1522"/>
    <mergeCell ref="H943:H946"/>
    <mergeCell ref="A946:B946"/>
    <mergeCell ref="A923:B923"/>
    <mergeCell ref="A1008:C1008"/>
    <mergeCell ref="D1008:H1008"/>
    <mergeCell ref="A1021:B1021"/>
    <mergeCell ref="H1000:H1001"/>
    <mergeCell ref="A1001:B1001"/>
    <mergeCell ref="A1012:B1012"/>
    <mergeCell ref="H977:H980"/>
    <mergeCell ref="A984:B984"/>
    <mergeCell ref="H984:H992"/>
    <mergeCell ref="A985:B985"/>
    <mergeCell ref="A986:B986"/>
    <mergeCell ref="A989:B989"/>
    <mergeCell ref="A990:B990"/>
    <mergeCell ref="A1014:B1014"/>
    <mergeCell ref="A1015:B1015"/>
    <mergeCell ref="A992:B992"/>
    <mergeCell ref="A987:B987"/>
    <mergeCell ref="A988:B988"/>
    <mergeCell ref="A991:B991"/>
    <mergeCell ref="A1016:B1016"/>
    <mergeCell ref="A1017:B1017"/>
    <mergeCell ref="H1079:H1082"/>
    <mergeCell ref="H1086:H1090"/>
    <mergeCell ref="A1079:B1079"/>
    <mergeCell ref="A1086:B1086"/>
    <mergeCell ref="A1087:B1087"/>
    <mergeCell ref="A1088:B1088"/>
    <mergeCell ref="A1089:B1089"/>
    <mergeCell ref="A1081:B1081"/>
    <mergeCell ref="H1121:H1125"/>
    <mergeCell ref="A1090:B1090"/>
    <mergeCell ref="A18:B18"/>
    <mergeCell ref="H18:H20"/>
    <mergeCell ref="A20:B20"/>
    <mergeCell ref="A19:B19"/>
    <mergeCell ref="A28:B28"/>
    <mergeCell ref="H28:H29"/>
    <mergeCell ref="A29:B29"/>
    <mergeCell ref="A50:B50"/>
    <mergeCell ref="A51:B51"/>
    <mergeCell ref="A52:B52"/>
    <mergeCell ref="A53:B53"/>
    <mergeCell ref="A49:B49"/>
    <mergeCell ref="A54:B54"/>
    <mergeCell ref="A83:B83"/>
    <mergeCell ref="A84:B84"/>
    <mergeCell ref="H62:H63"/>
    <mergeCell ref="H49:H54"/>
    <mergeCell ref="B71:F71"/>
    <mergeCell ref="A74:B74"/>
    <mergeCell ref="A75:B75"/>
    <mergeCell ref="A78:B78"/>
    <mergeCell ref="A82:B82"/>
    <mergeCell ref="A10:B10"/>
    <mergeCell ref="A11:B11"/>
    <mergeCell ref="A23:B23"/>
    <mergeCell ref="A24:B24"/>
    <mergeCell ref="H11:H14"/>
    <mergeCell ref="A14:B14"/>
    <mergeCell ref="B38:F38"/>
    <mergeCell ref="A41:B41"/>
    <mergeCell ref="A42:B42"/>
    <mergeCell ref="H42:H45"/>
    <mergeCell ref="A45:B45"/>
    <mergeCell ref="A121:B121"/>
    <mergeCell ref="A122:B122"/>
    <mergeCell ref="A126:B126"/>
    <mergeCell ref="H126:H127"/>
    <mergeCell ref="A127:B127"/>
    <mergeCell ref="A57:B57"/>
    <mergeCell ref="A58:B58"/>
    <mergeCell ref="A62:B62"/>
    <mergeCell ref="A63:B63"/>
    <mergeCell ref="B105:F105"/>
    <mergeCell ref="A108:B108"/>
    <mergeCell ref="A109:B109"/>
    <mergeCell ref="A112:B112"/>
    <mergeCell ref="A117:B117"/>
    <mergeCell ref="A118:B118"/>
    <mergeCell ref="A116:B116"/>
    <mergeCell ref="A90:B90"/>
    <mergeCell ref="A91:B91"/>
    <mergeCell ref="A95:B95"/>
    <mergeCell ref="H95:H96"/>
    <mergeCell ref="A96:B96"/>
    <mergeCell ref="A153:B153"/>
    <mergeCell ref="H140:H143"/>
    <mergeCell ref="H147:H149"/>
    <mergeCell ref="B167:F167"/>
    <mergeCell ref="A170:B170"/>
    <mergeCell ref="A179:B179"/>
    <mergeCell ref="A180:B180"/>
    <mergeCell ref="A157:B157"/>
    <mergeCell ref="H157:H158"/>
    <mergeCell ref="A158:B158"/>
    <mergeCell ref="D165:G165"/>
    <mergeCell ref="A152:B152"/>
    <mergeCell ref="A143:B143"/>
    <mergeCell ref="A147:B147"/>
    <mergeCell ref="A148:B148"/>
    <mergeCell ref="A149:B149"/>
    <mergeCell ref="A189:B189"/>
    <mergeCell ref="D196:G196"/>
    <mergeCell ref="A201:B201"/>
    <mergeCell ref="A202:B202"/>
    <mergeCell ref="A205:B205"/>
    <mergeCell ref="A209:B209"/>
    <mergeCell ref="A210:B210"/>
    <mergeCell ref="A211:B211"/>
    <mergeCell ref="A188:B188"/>
    <mergeCell ref="A214:B214"/>
    <mergeCell ref="A215:B215"/>
    <mergeCell ref="A219:B219"/>
    <mergeCell ref="A220:B220"/>
    <mergeCell ref="D228:G228"/>
    <mergeCell ref="B198:F198"/>
    <mergeCell ref="A234:B234"/>
    <mergeCell ref="A237:B237"/>
    <mergeCell ref="A246:B246"/>
    <mergeCell ref="B230:F230"/>
    <mergeCell ref="A233:B233"/>
    <mergeCell ref="B293:F293"/>
    <mergeCell ref="A296:B296"/>
    <mergeCell ref="A297:B297"/>
    <mergeCell ref="A279:B279"/>
    <mergeCell ref="A283:B283"/>
    <mergeCell ref="A284:B284"/>
    <mergeCell ref="D291:G291"/>
    <mergeCell ref="H297:H300"/>
    <mergeCell ref="H304:H308"/>
    <mergeCell ref="H390:H393"/>
    <mergeCell ref="H397:H399"/>
    <mergeCell ref="H109:H112"/>
    <mergeCell ref="H116:H118"/>
    <mergeCell ref="H241:H243"/>
    <mergeCell ref="H283:H284"/>
    <mergeCell ref="H266:H269"/>
    <mergeCell ref="H273:H275"/>
    <mergeCell ref="H316:H317"/>
    <mergeCell ref="H188:H189"/>
    <mergeCell ref="A278:B278"/>
    <mergeCell ref="B262:F262"/>
    <mergeCell ref="A265:B265"/>
    <mergeCell ref="A266:B266"/>
    <mergeCell ref="A269:B269"/>
    <mergeCell ref="A273:B273"/>
    <mergeCell ref="A274:B274"/>
    <mergeCell ref="A275:B275"/>
    <mergeCell ref="A241:B241"/>
    <mergeCell ref="A242:B242"/>
    <mergeCell ref="A243:B243"/>
    <mergeCell ref="A247:B247"/>
    <mergeCell ref="A251:B251"/>
    <mergeCell ref="A252:B252"/>
    <mergeCell ref="D260:G260"/>
    <mergeCell ref="D323:G323"/>
    <mergeCell ref="B325:F325"/>
    <mergeCell ref="A304:B304"/>
    <mergeCell ref="A305:B305"/>
    <mergeCell ref="A332:B332"/>
    <mergeCell ref="A363:B363"/>
    <mergeCell ref="A393:B393"/>
    <mergeCell ref="H329:H332"/>
    <mergeCell ref="H360:H363"/>
    <mergeCell ref="H336:H338"/>
    <mergeCell ref="H347:H348"/>
    <mergeCell ref="D354:G354"/>
    <mergeCell ref="B356:F356"/>
    <mergeCell ref="A371:B371"/>
    <mergeCell ref="A376:B376"/>
    <mergeCell ref="A377:B377"/>
    <mergeCell ref="D384:G384"/>
    <mergeCell ref="B386:F386"/>
    <mergeCell ref="H376:H377"/>
    <mergeCell ref="A329:B329"/>
    <mergeCell ref="A338:B338"/>
    <mergeCell ref="A339:B339"/>
    <mergeCell ref="A336:B336"/>
    <mergeCell ref="A337:B337"/>
    <mergeCell ref="D415:G415"/>
    <mergeCell ref="B417:F417"/>
    <mergeCell ref="A400:B400"/>
    <mergeCell ref="A402:B402"/>
    <mergeCell ref="A403:B403"/>
    <mergeCell ref="A407:B407"/>
    <mergeCell ref="A408:B408"/>
    <mergeCell ref="A398:B398"/>
    <mergeCell ref="A399:B399"/>
    <mergeCell ref="H407:H408"/>
    <mergeCell ref="H171:H174"/>
    <mergeCell ref="H178:H180"/>
    <mergeCell ref="H219:H220"/>
    <mergeCell ref="H202:H205"/>
    <mergeCell ref="H209:H211"/>
    <mergeCell ref="H251:H252"/>
    <mergeCell ref="H234:H237"/>
    <mergeCell ref="A424:B424"/>
    <mergeCell ref="H421:H424"/>
    <mergeCell ref="A306:B306"/>
    <mergeCell ref="A307:B307"/>
    <mergeCell ref="A308:B308"/>
    <mergeCell ref="A309:B309"/>
    <mergeCell ref="A311:B311"/>
    <mergeCell ref="A312:B312"/>
    <mergeCell ref="A316:B316"/>
    <mergeCell ref="A317:B317"/>
    <mergeCell ref="A300:B300"/>
    <mergeCell ref="A340:B340"/>
    <mergeCell ref="A342:B342"/>
    <mergeCell ref="A347:B347"/>
    <mergeCell ref="A348:B348"/>
    <mergeCell ref="A328:B328"/>
    <mergeCell ref="A428:B428"/>
    <mergeCell ref="A429:B429"/>
    <mergeCell ref="A431:B431"/>
    <mergeCell ref="A432:B432"/>
    <mergeCell ref="A436:B436"/>
    <mergeCell ref="A420:B420"/>
    <mergeCell ref="A421:B421"/>
    <mergeCell ref="D444:G444"/>
    <mergeCell ref="B446:F446"/>
    <mergeCell ref="A479:B479"/>
    <mergeCell ref="A482:B482"/>
    <mergeCell ref="A460:B460"/>
    <mergeCell ref="A461:B461"/>
    <mergeCell ref="H450:H453"/>
    <mergeCell ref="H465:H466"/>
    <mergeCell ref="H436:H437"/>
    <mergeCell ref="D473:G473"/>
    <mergeCell ref="B475:F475"/>
    <mergeCell ref="A478:B478"/>
    <mergeCell ref="H479:H482"/>
    <mergeCell ref="A465:B465"/>
    <mergeCell ref="A466:B466"/>
    <mergeCell ref="H509:H512"/>
    <mergeCell ref="H516:H520"/>
    <mergeCell ref="A517:B517"/>
    <mergeCell ref="A518:B518"/>
    <mergeCell ref="A519:B519"/>
    <mergeCell ref="A520:B520"/>
    <mergeCell ref="A496:B496"/>
    <mergeCell ref="A486:B486"/>
    <mergeCell ref="A487:B487"/>
    <mergeCell ref="A489:B489"/>
    <mergeCell ref="A491:B491"/>
    <mergeCell ref="A492:B492"/>
    <mergeCell ref="A497:B497"/>
    <mergeCell ref="H566:H567"/>
    <mergeCell ref="D574:G574"/>
    <mergeCell ref="A561:B561"/>
    <mergeCell ref="H496:H497"/>
    <mergeCell ref="H486:H488"/>
    <mergeCell ref="A521:B521"/>
    <mergeCell ref="A523:B523"/>
    <mergeCell ref="A524:B524"/>
    <mergeCell ref="H528:H529"/>
    <mergeCell ref="A516:B516"/>
    <mergeCell ref="A552:B552"/>
    <mergeCell ref="A553:B553"/>
    <mergeCell ref="A528:B528"/>
    <mergeCell ref="A529:B529"/>
    <mergeCell ref="D536:G536"/>
    <mergeCell ref="B538:F538"/>
    <mergeCell ref="A541:B541"/>
    <mergeCell ref="H542:H546"/>
    <mergeCell ref="H550:H558"/>
    <mergeCell ref="A555:B555"/>
    <mergeCell ref="A556:B556"/>
    <mergeCell ref="A557:B557"/>
    <mergeCell ref="A558:B558"/>
    <mergeCell ref="B505:F505"/>
    <mergeCell ref="A343:B343"/>
    <mergeCell ref="A360:B360"/>
    <mergeCell ref="A370:B370"/>
    <mergeCell ref="A359:B359"/>
    <mergeCell ref="A389:B389"/>
    <mergeCell ref="A390:B390"/>
    <mergeCell ref="A367:B367"/>
    <mergeCell ref="A368:B368"/>
    <mergeCell ref="A611:B611"/>
    <mergeCell ref="A567:B567"/>
    <mergeCell ref="A566:B566"/>
    <mergeCell ref="A397:B397"/>
    <mergeCell ref="A554:B554"/>
    <mergeCell ref="A544:B544"/>
    <mergeCell ref="A545:B545"/>
    <mergeCell ref="A508:B508"/>
    <mergeCell ref="A509:B509"/>
    <mergeCell ref="A512:B512"/>
    <mergeCell ref="A457:B457"/>
    <mergeCell ref="A458:B458"/>
    <mergeCell ref="A449:B449"/>
    <mergeCell ref="A450:B450"/>
    <mergeCell ref="A453:B453"/>
    <mergeCell ref="A437:B437"/>
    <mergeCell ref="A614:B614"/>
    <mergeCell ref="A618:B618"/>
    <mergeCell ref="H618:H620"/>
    <mergeCell ref="A619:B619"/>
    <mergeCell ref="A623:B623"/>
    <mergeCell ref="A628:B628"/>
    <mergeCell ref="H628:H629"/>
    <mergeCell ref="A629:B629"/>
    <mergeCell ref="H597:H598"/>
    <mergeCell ref="H611:H614"/>
    <mergeCell ref="D636:G636"/>
    <mergeCell ref="B638:F638"/>
    <mergeCell ref="A641:B641"/>
    <mergeCell ref="A642:B642"/>
    <mergeCell ref="H642:H645"/>
    <mergeCell ref="A645:B645"/>
    <mergeCell ref="A650:B650"/>
    <mergeCell ref="A653:B653"/>
    <mergeCell ref="H649:H650"/>
    <mergeCell ref="H690:H691"/>
    <mergeCell ref="H680:H682"/>
    <mergeCell ref="A681:B681"/>
    <mergeCell ref="A682:B682"/>
    <mergeCell ref="A685:B685"/>
    <mergeCell ref="A686:B686"/>
    <mergeCell ref="A649:B649"/>
    <mergeCell ref="A690:B690"/>
    <mergeCell ref="A691:B691"/>
    <mergeCell ref="H658:H659"/>
    <mergeCell ref="D667:G667"/>
    <mergeCell ref="B669:F669"/>
    <mergeCell ref="A672:B672"/>
    <mergeCell ref="A673:B673"/>
    <mergeCell ref="H673:H676"/>
    <mergeCell ref="A676:B676"/>
    <mergeCell ref="A658:B658"/>
    <mergeCell ref="A659:B659"/>
    <mergeCell ref="D698:G698"/>
    <mergeCell ref="B700:F700"/>
    <mergeCell ref="A703:B703"/>
    <mergeCell ref="A680:B680"/>
    <mergeCell ref="A704:B704"/>
    <mergeCell ref="A707:B707"/>
    <mergeCell ref="A711:B711"/>
    <mergeCell ref="A714:B714"/>
    <mergeCell ref="A719:B719"/>
    <mergeCell ref="A744:B744"/>
    <mergeCell ref="H719:H720"/>
    <mergeCell ref="A720:B720"/>
    <mergeCell ref="D727:G727"/>
    <mergeCell ref="B729:F729"/>
    <mergeCell ref="A732:B732"/>
    <mergeCell ref="H704:H707"/>
    <mergeCell ref="A715:B715"/>
    <mergeCell ref="A733:B733"/>
    <mergeCell ref="A736:B736"/>
    <mergeCell ref="H1502:H1503"/>
    <mergeCell ref="A1489:B1489"/>
    <mergeCell ref="A1490:B1490"/>
    <mergeCell ref="A1491:B1491"/>
    <mergeCell ref="A1493:B1493"/>
    <mergeCell ref="A1494:B1494"/>
    <mergeCell ref="H1488:H1494"/>
    <mergeCell ref="D787:G787"/>
    <mergeCell ref="A770:B770"/>
    <mergeCell ref="A771:B771"/>
    <mergeCell ref="A792:B792"/>
    <mergeCell ref="A793:B793"/>
    <mergeCell ref="A801:B801"/>
    <mergeCell ref="A803:B803"/>
    <mergeCell ref="A804:B804"/>
    <mergeCell ref="A809:B809"/>
    <mergeCell ref="A774:B774"/>
    <mergeCell ref="A775:B775"/>
    <mergeCell ref="A779:B779"/>
    <mergeCell ref="A780:B780"/>
    <mergeCell ref="H1133:H1134"/>
    <mergeCell ref="A1108:B1108"/>
    <mergeCell ref="C1108:H1108"/>
    <mergeCell ref="H1114:H1117"/>
    <mergeCell ref="A1525:B1525"/>
    <mergeCell ref="A1526:B1526"/>
    <mergeCell ref="A1481:B1481"/>
    <mergeCell ref="A1484:B1484"/>
    <mergeCell ref="A1488:B1488"/>
    <mergeCell ref="A1492:B1492"/>
    <mergeCell ref="A1497:B1497"/>
    <mergeCell ref="A1551:B1551"/>
    <mergeCell ref="A1544:B1544"/>
    <mergeCell ref="B1540:F1540"/>
    <mergeCell ref="D1509:G1509"/>
    <mergeCell ref="B1511:F1511"/>
    <mergeCell ref="A1514:B1514"/>
    <mergeCell ref="A1515:B1515"/>
    <mergeCell ref="A1530:B1530"/>
    <mergeCell ref="A1498:B1498"/>
    <mergeCell ref="A1502:B1502"/>
    <mergeCell ref="A1503:B1503"/>
    <mergeCell ref="A1462:B1462"/>
    <mergeCell ref="A1463:B1463"/>
    <mergeCell ref="A1467:B1467"/>
    <mergeCell ref="A1468:B1468"/>
    <mergeCell ref="A1439:B1439"/>
    <mergeCell ref="H1439:H1440"/>
    <mergeCell ref="A1440:B1440"/>
    <mergeCell ref="D1446:G1446"/>
    <mergeCell ref="B1448:F1448"/>
    <mergeCell ref="A1451:B1451"/>
    <mergeCell ref="A1452:B1452"/>
    <mergeCell ref="H1452:H1455"/>
    <mergeCell ref="A1455:B1455"/>
    <mergeCell ref="H1467:H1468"/>
    <mergeCell ref="A550:B550"/>
    <mergeCell ref="A551:B551"/>
    <mergeCell ref="A588:B588"/>
    <mergeCell ref="A589:B589"/>
    <mergeCell ref="A592:B592"/>
    <mergeCell ref="A597:B597"/>
    <mergeCell ref="A598:B598"/>
    <mergeCell ref="H809:H810"/>
    <mergeCell ref="A810:B810"/>
    <mergeCell ref="B789:F789"/>
    <mergeCell ref="A763:B763"/>
    <mergeCell ref="A766:B766"/>
    <mergeCell ref="H763:H766"/>
    <mergeCell ref="H770:H771"/>
    <mergeCell ref="H779:H780"/>
    <mergeCell ref="A740:B740"/>
    <mergeCell ref="A743:B743"/>
    <mergeCell ref="A748:B748"/>
    <mergeCell ref="H748:H749"/>
    <mergeCell ref="A749:B749"/>
    <mergeCell ref="D757:G757"/>
    <mergeCell ref="B759:F759"/>
    <mergeCell ref="A762:B762"/>
    <mergeCell ref="H733:H736"/>
    <mergeCell ref="D5:G5"/>
    <mergeCell ref="B7:F7"/>
    <mergeCell ref="H580:H583"/>
    <mergeCell ref="H587:H589"/>
    <mergeCell ref="B576:F576"/>
    <mergeCell ref="A579:B579"/>
    <mergeCell ref="D605:G605"/>
    <mergeCell ref="B607:F607"/>
    <mergeCell ref="A610:B610"/>
    <mergeCell ref="A587:B587"/>
    <mergeCell ref="D134:G134"/>
    <mergeCell ref="B136:F136"/>
    <mergeCell ref="H75:H78"/>
    <mergeCell ref="H82:H87"/>
    <mergeCell ref="A86:B86"/>
    <mergeCell ref="A87:B87"/>
    <mergeCell ref="A85:B85"/>
    <mergeCell ref="A139:B139"/>
    <mergeCell ref="A140:B140"/>
    <mergeCell ref="A183:B183"/>
    <mergeCell ref="A184:B184"/>
    <mergeCell ref="A171:B171"/>
    <mergeCell ref="A174:B174"/>
    <mergeCell ref="A178:B178"/>
    <mergeCell ref="H793:H796"/>
    <mergeCell ref="H838:H839"/>
    <mergeCell ref="A861:B861"/>
    <mergeCell ref="A863:B863"/>
    <mergeCell ref="A950:B950"/>
    <mergeCell ref="A951:B951"/>
    <mergeCell ref="A796:B796"/>
    <mergeCell ref="A800:B800"/>
    <mergeCell ref="A831:B831"/>
    <mergeCell ref="A833:B833"/>
    <mergeCell ref="A834:B834"/>
    <mergeCell ref="H821:H824"/>
    <mergeCell ref="A901:B901"/>
    <mergeCell ref="H901:H902"/>
    <mergeCell ref="A902:B902"/>
    <mergeCell ref="D909:G909"/>
    <mergeCell ref="B911:F911"/>
    <mergeCell ref="A860:B860"/>
    <mergeCell ref="A864:B864"/>
    <mergeCell ref="A868:B868"/>
    <mergeCell ref="H868:H869"/>
    <mergeCell ref="A869:B869"/>
    <mergeCell ref="A858:B858"/>
    <mergeCell ref="B879:F879"/>
    <mergeCell ref="H1423:H1426"/>
    <mergeCell ref="A1426:B1426"/>
    <mergeCell ref="A1430:B1430"/>
    <mergeCell ref="H1430:H1431"/>
    <mergeCell ref="A1431:B1431"/>
    <mergeCell ref="A1432:B1432"/>
    <mergeCell ref="A1434:B1434"/>
    <mergeCell ref="H828:H830"/>
    <mergeCell ref="A1460:B1460"/>
    <mergeCell ref="H1410:H1411"/>
    <mergeCell ref="H1394:H1397"/>
    <mergeCell ref="H1380:H1381"/>
    <mergeCell ref="H1033:H1034"/>
    <mergeCell ref="H1021:H1025"/>
    <mergeCell ref="H1014:H1017"/>
    <mergeCell ref="H1054:H1058"/>
    <mergeCell ref="H1098:H1099"/>
    <mergeCell ref="A1156:B1156"/>
    <mergeCell ref="A1041:B1041"/>
    <mergeCell ref="C1041:H1041"/>
    <mergeCell ref="H1047:H1050"/>
    <mergeCell ref="A1047:B1047"/>
    <mergeCell ref="A1073:B1073"/>
    <mergeCell ref="C1073:H1073"/>
    <mergeCell ref="H1544:H1547"/>
    <mergeCell ref="H1066:H1067"/>
    <mergeCell ref="A952:B952"/>
    <mergeCell ref="A953:B953"/>
    <mergeCell ref="A954:B954"/>
    <mergeCell ref="A955:B955"/>
    <mergeCell ref="H950:H955"/>
    <mergeCell ref="A956:B956"/>
    <mergeCell ref="A958:B958"/>
    <mergeCell ref="A959:B959"/>
    <mergeCell ref="A963:B963"/>
    <mergeCell ref="H963:H964"/>
    <mergeCell ref="A964:B964"/>
    <mergeCell ref="A1022:B1022"/>
    <mergeCell ref="A1023:B1023"/>
    <mergeCell ref="A1024:B1024"/>
    <mergeCell ref="A1025:B1025"/>
    <mergeCell ref="A1354:B1354"/>
    <mergeCell ref="C1354:H1354"/>
    <mergeCell ref="B1356:F1356"/>
    <mergeCell ref="A1360:B1360"/>
    <mergeCell ref="H1360:H1363"/>
    <mergeCell ref="A1370:B1370"/>
    <mergeCell ref="H1481:H1484"/>
  </mergeCells>
  <pageMargins left="0.7" right="0.7" top="0.75" bottom="0.75" header="0" footer="0"/>
  <pageSetup orientation="portrait"/>
  <rowBreaks count="25" manualBreakCount="25">
    <brk id="1413" man="1"/>
    <brk id="30" man="1"/>
    <brk id="935" man="1"/>
    <brk id="751" man="1"/>
    <brk id="693" man="1"/>
    <brk id="1259" man="1"/>
    <brk id="567" man="1"/>
    <brk id="1534" man="1"/>
    <brk id="286" man="1"/>
    <brk id="98" man="1"/>
    <brk id="1199" man="1"/>
    <brk id="498" man="1"/>
    <brk id="872" man="1"/>
    <brk id="631" man="1"/>
    <brk id="129" man="1"/>
    <brk id="191" man="1"/>
    <brk id="1136" man="1"/>
    <brk id="378" man="1"/>
    <brk id="254" man="1"/>
    <brk id="221" man="1"/>
    <brk id="319" man="1"/>
    <brk id="64" man="1"/>
    <brk id="1468" man="1"/>
    <brk id="1319" man="1"/>
    <brk id="160" man="1"/>
  </rowBreaks>
  <colBreaks count="1" manualBreakCount="1">
    <brk id="8" man="1"/>
  </col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21"/>
  <sheetViews>
    <sheetView workbookViewId="0"/>
  </sheetViews>
  <sheetFormatPr defaultColWidth="14.44140625" defaultRowHeight="15" customHeight="1"/>
  <cols>
    <col min="1" max="1" width="11.5546875" customWidth="1"/>
    <col min="2" max="2" width="41.44140625" customWidth="1"/>
    <col min="3" max="5" width="11.5546875" customWidth="1"/>
    <col min="6" max="6" width="14.33203125" customWidth="1"/>
    <col min="7" max="7" width="17.109375" customWidth="1"/>
    <col min="8" max="11" width="11.5546875" customWidth="1"/>
  </cols>
  <sheetData>
    <row r="1" spans="1:7" ht="14.25" customHeight="1">
      <c r="A1" s="309"/>
      <c r="B1" s="310" t="s">
        <v>425</v>
      </c>
      <c r="C1" s="311"/>
      <c r="D1" s="311"/>
      <c r="E1" s="311"/>
      <c r="F1" s="309"/>
      <c r="G1" s="309"/>
    </row>
    <row r="2" spans="1:7" ht="14.25" customHeight="1">
      <c r="A2" s="309"/>
      <c r="B2" s="310"/>
      <c r="C2" s="311"/>
      <c r="D2" s="311"/>
      <c r="E2" s="311"/>
      <c r="F2" s="309"/>
      <c r="G2" s="309"/>
    </row>
    <row r="3" spans="1:7" ht="14.25" customHeight="1">
      <c r="A3" s="309"/>
      <c r="B3" s="310"/>
      <c r="C3" s="311"/>
      <c r="D3" s="311"/>
      <c r="E3" s="311"/>
      <c r="F3" s="309"/>
      <c r="G3" s="309"/>
    </row>
    <row r="4" spans="1:7" ht="14.25" customHeight="1">
      <c r="A4" s="309"/>
      <c r="B4" s="310"/>
      <c r="C4" s="311"/>
      <c r="D4" s="311"/>
      <c r="E4" s="311"/>
      <c r="F4" s="309"/>
      <c r="G4" s="309"/>
    </row>
    <row r="5" spans="1:7" ht="14.25" customHeight="1">
      <c r="A5" s="309"/>
      <c r="B5" s="310"/>
      <c r="C5" s="311"/>
      <c r="D5" s="311"/>
      <c r="E5" s="311"/>
      <c r="F5" s="309"/>
      <c r="G5" s="309"/>
    </row>
    <row r="6" spans="1:7" ht="14.25" customHeight="1">
      <c r="A6" s="309"/>
      <c r="B6" s="310"/>
      <c r="C6" s="311"/>
      <c r="D6" s="311"/>
      <c r="E6" s="311"/>
      <c r="F6" s="309"/>
      <c r="G6" s="309"/>
    </row>
    <row r="7" spans="1:7" ht="14.25" customHeight="1">
      <c r="A7" s="309"/>
      <c r="B7" s="310"/>
      <c r="C7" s="311"/>
      <c r="D7" s="311"/>
      <c r="E7" s="311"/>
      <c r="F7" s="309"/>
      <c r="G7" s="309"/>
    </row>
    <row r="8" spans="1:7" ht="14.25" customHeight="1">
      <c r="A8" s="463" t="s">
        <v>137</v>
      </c>
      <c r="B8" s="430"/>
      <c r="C8" s="261"/>
      <c r="D8" s="214" t="s">
        <v>426</v>
      </c>
      <c r="E8" s="214"/>
      <c r="F8" s="214"/>
      <c r="G8" s="214"/>
    </row>
    <row r="9" spans="1:7" ht="14.25" customHeight="1">
      <c r="A9" s="309"/>
      <c r="B9" s="312"/>
      <c r="C9" s="311"/>
      <c r="D9" s="311"/>
      <c r="E9" s="311"/>
      <c r="F9" s="313" t="s">
        <v>427</v>
      </c>
      <c r="G9" s="313" t="s">
        <v>428</v>
      </c>
    </row>
    <row r="10" spans="1:7" ht="14.25" customHeight="1">
      <c r="A10" s="309"/>
      <c r="B10" s="312"/>
      <c r="C10" s="311"/>
      <c r="D10" s="311"/>
      <c r="E10" s="311"/>
      <c r="F10" s="309"/>
      <c r="G10" s="309"/>
    </row>
    <row r="11" spans="1:7" ht="14.25" customHeight="1">
      <c r="A11" s="498" t="s">
        <v>429</v>
      </c>
      <c r="B11" s="451"/>
      <c r="C11" s="314" t="s">
        <v>24</v>
      </c>
      <c r="D11" s="314"/>
      <c r="E11" s="314"/>
      <c r="F11" s="315" t="s">
        <v>143</v>
      </c>
      <c r="G11" s="316">
        <f>G22+G25+G27</f>
        <v>80642</v>
      </c>
    </row>
    <row r="12" spans="1:7" ht="14.25" customHeight="1">
      <c r="A12" s="317" t="s">
        <v>430</v>
      </c>
      <c r="B12" s="317" t="s">
        <v>431</v>
      </c>
      <c r="C12" s="317" t="s">
        <v>48</v>
      </c>
      <c r="D12" s="317" t="s">
        <v>63</v>
      </c>
      <c r="E12" s="317" t="s">
        <v>432</v>
      </c>
      <c r="F12" s="317" t="s">
        <v>433</v>
      </c>
      <c r="G12" s="317" t="s">
        <v>434</v>
      </c>
    </row>
    <row r="13" spans="1:7" ht="14.25" customHeight="1">
      <c r="A13" s="500">
        <v>9.1999999999999998E-2</v>
      </c>
      <c r="B13" s="318" t="s">
        <v>435</v>
      </c>
      <c r="C13" s="319"/>
      <c r="D13" s="319"/>
      <c r="E13" s="319"/>
      <c r="F13" s="319"/>
      <c r="G13" s="319"/>
    </row>
    <row r="14" spans="1:7" ht="14.25" customHeight="1">
      <c r="A14" s="480"/>
      <c r="B14" s="320" t="s">
        <v>436</v>
      </c>
      <c r="C14" s="314" t="s">
        <v>24</v>
      </c>
      <c r="D14" s="314">
        <v>10</v>
      </c>
      <c r="E14" s="314"/>
      <c r="F14" s="321">
        <v>1234</v>
      </c>
      <c r="G14" s="321">
        <f t="shared" ref="G14:G21" si="0">+D14*F14</f>
        <v>12340</v>
      </c>
    </row>
    <row r="15" spans="1:7" ht="14.25" customHeight="1">
      <c r="A15" s="480"/>
      <c r="B15" s="320" t="s">
        <v>437</v>
      </c>
      <c r="C15" s="314" t="s">
        <v>24</v>
      </c>
      <c r="D15" s="314">
        <v>5</v>
      </c>
      <c r="E15" s="314">
        <f t="shared" ref="E15:E21" si="1">0</f>
        <v>0</v>
      </c>
      <c r="F15" s="321">
        <v>2300</v>
      </c>
      <c r="G15" s="321">
        <f t="shared" si="0"/>
        <v>11500</v>
      </c>
    </row>
    <row r="16" spans="1:7" ht="14.25" customHeight="1">
      <c r="A16" s="480"/>
      <c r="B16" s="320" t="s">
        <v>438</v>
      </c>
      <c r="C16" s="314" t="s">
        <v>15</v>
      </c>
      <c r="D16" s="314">
        <v>2</v>
      </c>
      <c r="E16" s="314">
        <f t="shared" si="1"/>
        <v>0</v>
      </c>
      <c r="F16" s="321">
        <v>1150</v>
      </c>
      <c r="G16" s="321">
        <f t="shared" si="0"/>
        <v>2300</v>
      </c>
    </row>
    <row r="17" spans="1:7" ht="14.25" customHeight="1">
      <c r="A17" s="480"/>
      <c r="B17" s="320" t="s">
        <v>439</v>
      </c>
      <c r="C17" s="314" t="s">
        <v>15</v>
      </c>
      <c r="D17" s="314">
        <v>2</v>
      </c>
      <c r="E17" s="314">
        <f t="shared" si="1"/>
        <v>0</v>
      </c>
      <c r="F17" s="321">
        <v>441</v>
      </c>
      <c r="G17" s="321">
        <f t="shared" si="0"/>
        <v>882</v>
      </c>
    </row>
    <row r="18" spans="1:7" ht="14.25" customHeight="1">
      <c r="A18" s="480"/>
      <c r="B18" s="320" t="s">
        <v>440</v>
      </c>
      <c r="C18" s="314" t="s">
        <v>15</v>
      </c>
      <c r="D18" s="314">
        <v>1</v>
      </c>
      <c r="E18" s="314">
        <f t="shared" si="1"/>
        <v>0</v>
      </c>
      <c r="F18" s="321">
        <v>5457</v>
      </c>
      <c r="G18" s="321">
        <f t="shared" si="0"/>
        <v>5457</v>
      </c>
    </row>
    <row r="19" spans="1:7" ht="14.25" customHeight="1">
      <c r="A19" s="480"/>
      <c r="B19" s="320" t="s">
        <v>441</v>
      </c>
      <c r="C19" s="314" t="s">
        <v>15</v>
      </c>
      <c r="D19" s="314">
        <v>1</v>
      </c>
      <c r="E19" s="314">
        <f t="shared" si="1"/>
        <v>0</v>
      </c>
      <c r="F19" s="321">
        <v>1653</v>
      </c>
      <c r="G19" s="321">
        <f t="shared" si="0"/>
        <v>1653</v>
      </c>
    </row>
    <row r="20" spans="1:7" ht="14.25" customHeight="1">
      <c r="A20" s="480"/>
      <c r="B20" s="320" t="s">
        <v>442</v>
      </c>
      <c r="C20" s="314" t="s">
        <v>443</v>
      </c>
      <c r="D20" s="314">
        <v>0.05</v>
      </c>
      <c r="E20" s="314">
        <f t="shared" si="1"/>
        <v>0</v>
      </c>
      <c r="F20" s="321">
        <v>8650</v>
      </c>
      <c r="G20" s="321">
        <f t="shared" si="0"/>
        <v>432.5</v>
      </c>
    </row>
    <row r="21" spans="1:7" ht="14.25" customHeight="1">
      <c r="A21" s="480"/>
      <c r="B21" s="320" t="s">
        <v>444</v>
      </c>
      <c r="C21" s="314" t="s">
        <v>445</v>
      </c>
      <c r="D21" s="314">
        <v>0.01</v>
      </c>
      <c r="E21" s="314">
        <f t="shared" si="1"/>
        <v>0</v>
      </c>
      <c r="F21" s="321">
        <v>97750</v>
      </c>
      <c r="G21" s="321">
        <f t="shared" si="0"/>
        <v>977.5</v>
      </c>
    </row>
    <row r="22" spans="1:7" ht="14.25" customHeight="1">
      <c r="A22" s="480"/>
      <c r="B22" s="320"/>
      <c r="C22" s="314"/>
      <c r="D22" s="314"/>
      <c r="E22" s="314"/>
      <c r="F22" s="322" t="s">
        <v>434</v>
      </c>
      <c r="G22" s="315">
        <f>SUM(G14:G21)</f>
        <v>35542</v>
      </c>
    </row>
    <row r="23" spans="1:7" ht="14.25" customHeight="1">
      <c r="A23" s="480"/>
      <c r="B23" s="320"/>
      <c r="C23" s="314"/>
      <c r="D23" s="314"/>
      <c r="E23" s="314"/>
      <c r="F23" s="321"/>
      <c r="G23" s="321"/>
    </row>
    <row r="24" spans="1:7" ht="14.25" customHeight="1">
      <c r="A24" s="480"/>
      <c r="B24" s="320" t="s">
        <v>446</v>
      </c>
      <c r="C24" s="314" t="s">
        <v>445</v>
      </c>
      <c r="D24" s="314">
        <f>1</f>
        <v>1</v>
      </c>
      <c r="E24" s="314">
        <f>0</f>
        <v>0</v>
      </c>
      <c r="F24" s="321">
        <f>100</f>
        <v>100</v>
      </c>
      <c r="G24" s="321">
        <f>+D24*F24</f>
        <v>100</v>
      </c>
    </row>
    <row r="25" spans="1:7" ht="14.25" customHeight="1">
      <c r="A25" s="480"/>
      <c r="B25" s="320"/>
      <c r="C25" s="314"/>
      <c r="D25" s="314"/>
      <c r="E25" s="314"/>
      <c r="F25" s="322" t="s">
        <v>434</v>
      </c>
      <c r="G25" s="315">
        <f>SUM(G24)</f>
        <v>100</v>
      </c>
    </row>
    <row r="26" spans="1:7" ht="14.25" customHeight="1">
      <c r="A26" s="480"/>
      <c r="B26" s="323" t="s">
        <v>447</v>
      </c>
      <c r="C26" s="314"/>
      <c r="D26" s="314"/>
      <c r="E26" s="314"/>
      <c r="F26" s="321"/>
      <c r="G26" s="321"/>
    </row>
    <row r="27" spans="1:7" ht="14.25" customHeight="1">
      <c r="A27" s="480"/>
      <c r="B27" s="228" t="s">
        <v>177</v>
      </c>
      <c r="C27" s="228" t="s">
        <v>448</v>
      </c>
      <c r="D27" s="225">
        <v>55000</v>
      </c>
      <c r="E27" s="324">
        <v>0.5</v>
      </c>
      <c r="F27" s="321">
        <f t="shared" ref="F27:F28" si="2">D27*E27</f>
        <v>27500</v>
      </c>
      <c r="G27" s="495">
        <f>F27+F28</f>
        <v>45000</v>
      </c>
    </row>
    <row r="28" spans="1:7" ht="14.25" customHeight="1">
      <c r="A28" s="501"/>
      <c r="B28" s="228" t="s">
        <v>178</v>
      </c>
      <c r="C28" s="228" t="s">
        <v>448</v>
      </c>
      <c r="D28" s="230">
        <v>35000</v>
      </c>
      <c r="E28" s="325">
        <v>0.5</v>
      </c>
      <c r="F28" s="321">
        <f t="shared" si="2"/>
        <v>17500</v>
      </c>
      <c r="G28" s="469"/>
    </row>
    <row r="29" spans="1:7" ht="14.25" customHeight="1">
      <c r="A29" s="326"/>
      <c r="B29" s="261"/>
      <c r="C29" s="261"/>
      <c r="D29" s="270"/>
      <c r="E29" s="327"/>
      <c r="F29" s="328"/>
      <c r="G29" s="329"/>
    </row>
    <row r="30" spans="1:7" ht="14.25" customHeight="1">
      <c r="A30" s="326"/>
      <c r="B30" s="261"/>
      <c r="C30" s="261"/>
      <c r="D30" s="270"/>
      <c r="E30" s="327"/>
      <c r="F30" s="328"/>
      <c r="G30" s="329"/>
    </row>
    <row r="31" spans="1:7" ht="14.25" customHeight="1">
      <c r="A31" s="326"/>
      <c r="B31" s="261"/>
      <c r="C31" s="261"/>
      <c r="D31" s="270"/>
      <c r="E31" s="327"/>
      <c r="F31" s="328"/>
      <c r="G31" s="329"/>
    </row>
    <row r="32" spans="1:7" ht="14.25" customHeight="1">
      <c r="A32" s="326"/>
      <c r="B32" s="261"/>
      <c r="C32" s="261"/>
      <c r="D32" s="270"/>
      <c r="E32" s="327"/>
      <c r="F32" s="328"/>
      <c r="G32" s="329"/>
    </row>
    <row r="33" spans="1:7" ht="14.25" customHeight="1">
      <c r="A33" s="326"/>
      <c r="B33" s="261"/>
      <c r="C33" s="261"/>
      <c r="D33" s="270"/>
      <c r="E33" s="327"/>
      <c r="F33" s="328"/>
      <c r="G33" s="329"/>
    </row>
    <row r="34" spans="1:7" ht="14.25" customHeight="1">
      <c r="A34" s="463" t="s">
        <v>137</v>
      </c>
      <c r="B34" s="430"/>
      <c r="C34" s="261"/>
      <c r="D34" s="214" t="s">
        <v>449</v>
      </c>
      <c r="E34" s="214"/>
      <c r="F34" s="214"/>
      <c r="G34" s="214"/>
    </row>
    <row r="35" spans="1:7" ht="14.25" customHeight="1">
      <c r="A35" s="309"/>
      <c r="B35" s="312"/>
      <c r="C35" s="311"/>
      <c r="D35" s="311"/>
      <c r="E35" s="311"/>
      <c r="F35" s="313" t="s">
        <v>427</v>
      </c>
      <c r="G35" s="313" t="s">
        <v>450</v>
      </c>
    </row>
    <row r="36" spans="1:7" ht="14.25" customHeight="1">
      <c r="A36" s="310" t="s">
        <v>451</v>
      </c>
      <c r="B36" s="310"/>
      <c r="C36" s="313" t="s">
        <v>15</v>
      </c>
      <c r="D36" s="313"/>
      <c r="E36" s="313"/>
      <c r="F36" s="330" t="s">
        <v>143</v>
      </c>
      <c r="G36" s="331">
        <f>SUM(G48+G50+G53)</f>
        <v>44005</v>
      </c>
    </row>
    <row r="37" spans="1:7" ht="14.25" customHeight="1">
      <c r="A37" s="317" t="s">
        <v>430</v>
      </c>
      <c r="B37" s="317" t="s">
        <v>431</v>
      </c>
      <c r="C37" s="317" t="s">
        <v>48</v>
      </c>
      <c r="D37" s="317" t="s">
        <v>63</v>
      </c>
      <c r="E37" s="317" t="s">
        <v>432</v>
      </c>
      <c r="F37" s="317" t="s">
        <v>433</v>
      </c>
      <c r="G37" s="317" t="s">
        <v>434</v>
      </c>
    </row>
    <row r="38" spans="1:7" ht="14.25" customHeight="1">
      <c r="A38" s="497">
        <v>9.0999999999999998E-2</v>
      </c>
      <c r="B38" s="318" t="s">
        <v>435</v>
      </c>
      <c r="C38" s="319"/>
      <c r="D38" s="319"/>
      <c r="E38" s="319"/>
      <c r="F38" s="319"/>
      <c r="G38" s="319"/>
    </row>
    <row r="39" spans="1:7" ht="14.25" customHeight="1">
      <c r="A39" s="468"/>
      <c r="B39" s="320" t="s">
        <v>436</v>
      </c>
      <c r="C39" s="314" t="s">
        <v>24</v>
      </c>
      <c r="D39" s="314">
        <v>10</v>
      </c>
      <c r="E39" s="314"/>
      <c r="F39" s="332">
        <v>1234</v>
      </c>
      <c r="G39" s="332">
        <f t="shared" ref="G39:G47" si="3">+D39*F39</f>
        <v>12340</v>
      </c>
    </row>
    <row r="40" spans="1:7" ht="14.25" customHeight="1">
      <c r="A40" s="468"/>
      <c r="B40" s="320" t="s">
        <v>437</v>
      </c>
      <c r="C40" s="314" t="s">
        <v>24</v>
      </c>
      <c r="D40" s="314">
        <v>5</v>
      </c>
      <c r="E40" s="314"/>
      <c r="F40" s="332">
        <v>2300</v>
      </c>
      <c r="G40" s="332">
        <f t="shared" si="3"/>
        <v>11500</v>
      </c>
    </row>
    <row r="41" spans="1:7" ht="14.25" customHeight="1">
      <c r="A41" s="468"/>
      <c r="B41" s="320" t="s">
        <v>438</v>
      </c>
      <c r="C41" s="314" t="s">
        <v>15</v>
      </c>
      <c r="D41" s="314">
        <v>2</v>
      </c>
      <c r="E41" s="314"/>
      <c r="F41" s="332">
        <v>1150</v>
      </c>
      <c r="G41" s="332">
        <f t="shared" si="3"/>
        <v>2300</v>
      </c>
    </row>
    <row r="42" spans="1:7" ht="14.25" customHeight="1">
      <c r="A42" s="468"/>
      <c r="B42" s="320" t="s">
        <v>439</v>
      </c>
      <c r="C42" s="314" t="s">
        <v>15</v>
      </c>
      <c r="D42" s="314">
        <v>2</v>
      </c>
      <c r="E42" s="314"/>
      <c r="F42" s="332">
        <v>441</v>
      </c>
      <c r="G42" s="332">
        <f t="shared" si="3"/>
        <v>882</v>
      </c>
    </row>
    <row r="43" spans="1:7" ht="14.25" customHeight="1">
      <c r="A43" s="468"/>
      <c r="B43" s="320" t="s">
        <v>452</v>
      </c>
      <c r="C43" s="314" t="s">
        <v>15</v>
      </c>
      <c r="D43" s="314">
        <v>1</v>
      </c>
      <c r="E43" s="314"/>
      <c r="F43" s="332">
        <v>12570</v>
      </c>
      <c r="G43" s="332">
        <f t="shared" si="3"/>
        <v>12570</v>
      </c>
    </row>
    <row r="44" spans="1:7" ht="14.25" customHeight="1">
      <c r="A44" s="468"/>
      <c r="B44" s="320" t="s">
        <v>441</v>
      </c>
      <c r="C44" s="333" t="s">
        <v>15</v>
      </c>
      <c r="D44" s="314">
        <v>1</v>
      </c>
      <c r="E44" s="314"/>
      <c r="F44" s="332">
        <v>1653</v>
      </c>
      <c r="G44" s="332">
        <f t="shared" si="3"/>
        <v>1653</v>
      </c>
    </row>
    <row r="45" spans="1:7" ht="14.25" customHeight="1">
      <c r="A45" s="468"/>
      <c r="B45" s="320" t="s">
        <v>442</v>
      </c>
      <c r="C45" s="314" t="s">
        <v>443</v>
      </c>
      <c r="D45" s="314">
        <v>0.05</v>
      </c>
      <c r="E45" s="314"/>
      <c r="F45" s="332">
        <v>8650</v>
      </c>
      <c r="G45" s="332">
        <f t="shared" si="3"/>
        <v>432.5</v>
      </c>
    </row>
    <row r="46" spans="1:7" ht="14.25" customHeight="1">
      <c r="A46" s="468"/>
      <c r="B46" s="320" t="s">
        <v>444</v>
      </c>
      <c r="C46" s="314" t="s">
        <v>445</v>
      </c>
      <c r="D46" s="314">
        <v>0.01</v>
      </c>
      <c r="E46" s="314"/>
      <c r="F46" s="332">
        <v>97750</v>
      </c>
      <c r="G46" s="332">
        <f t="shared" si="3"/>
        <v>977.5</v>
      </c>
    </row>
    <row r="47" spans="1:7" ht="14.25" customHeight="1">
      <c r="A47" s="468"/>
      <c r="B47" s="320" t="s">
        <v>453</v>
      </c>
      <c r="C47" s="314" t="s">
        <v>15</v>
      </c>
      <c r="D47" s="314">
        <v>1</v>
      </c>
      <c r="E47" s="314"/>
      <c r="F47" s="332">
        <v>1250</v>
      </c>
      <c r="G47" s="332">
        <f t="shared" si="3"/>
        <v>1250</v>
      </c>
    </row>
    <row r="48" spans="1:7" ht="14.25" customHeight="1">
      <c r="A48" s="468"/>
      <c r="B48" s="320"/>
      <c r="C48" s="314"/>
      <c r="D48" s="314"/>
      <c r="E48" s="314"/>
      <c r="F48" s="322" t="s">
        <v>434</v>
      </c>
      <c r="G48" s="334">
        <f>SUM(G39:G47)</f>
        <v>43905</v>
      </c>
    </row>
    <row r="49" spans="1:7" ht="14.25" customHeight="1">
      <c r="A49" s="468"/>
      <c r="B49" s="320" t="s">
        <v>454</v>
      </c>
      <c r="C49" s="314" t="s">
        <v>455</v>
      </c>
      <c r="D49" s="314">
        <v>1</v>
      </c>
      <c r="E49" s="320"/>
      <c r="F49" s="332">
        <v>100</v>
      </c>
      <c r="G49" s="332">
        <f>+D49*F49</f>
        <v>100</v>
      </c>
    </row>
    <row r="50" spans="1:7" ht="14.25" customHeight="1">
      <c r="A50" s="468"/>
      <c r="B50" s="320"/>
      <c r="C50" s="314"/>
      <c r="D50" s="314"/>
      <c r="E50" s="320"/>
      <c r="F50" s="322" t="s">
        <v>434</v>
      </c>
      <c r="G50" s="334">
        <f>SUM(G49)</f>
        <v>100</v>
      </c>
    </row>
    <row r="51" spans="1:7" ht="14.25" customHeight="1">
      <c r="A51" s="468"/>
      <c r="B51" s="323" t="s">
        <v>447</v>
      </c>
      <c r="C51" s="314"/>
      <c r="D51" s="314"/>
      <c r="E51" s="320"/>
      <c r="F51" s="332"/>
      <c r="G51" s="332"/>
    </row>
    <row r="52" spans="1:7" ht="14.25" customHeight="1">
      <c r="A52" s="468"/>
      <c r="B52" s="228" t="s">
        <v>177</v>
      </c>
      <c r="C52" s="228" t="s">
        <v>448</v>
      </c>
      <c r="D52" s="225">
        <v>55000</v>
      </c>
      <c r="E52" s="324">
        <v>0.7</v>
      </c>
      <c r="F52" s="321">
        <f t="shared" ref="F52:F53" si="4">D52*E52</f>
        <v>38500</v>
      </c>
      <c r="G52" s="495">
        <f>F52+F53</f>
        <v>63000</v>
      </c>
    </row>
    <row r="53" spans="1:7" ht="14.25" customHeight="1">
      <c r="A53" s="469"/>
      <c r="B53" s="228" t="s">
        <v>178</v>
      </c>
      <c r="C53" s="228" t="s">
        <v>448</v>
      </c>
      <c r="D53" s="230">
        <v>35000</v>
      </c>
      <c r="E53" s="325">
        <v>0.7</v>
      </c>
      <c r="F53" s="321">
        <f t="shared" si="4"/>
        <v>24500</v>
      </c>
      <c r="G53" s="469"/>
    </row>
    <row r="54" spans="1:7" ht="14.25" customHeight="1">
      <c r="A54" s="309"/>
      <c r="B54" s="309"/>
      <c r="C54" s="311"/>
      <c r="D54" s="311"/>
      <c r="E54" s="311"/>
      <c r="F54" s="309"/>
      <c r="G54" s="309"/>
    </row>
    <row r="55" spans="1:7" ht="14.25" customHeight="1">
      <c r="A55" s="309"/>
      <c r="B55" s="309"/>
      <c r="C55" s="311"/>
      <c r="D55" s="311"/>
      <c r="E55" s="311"/>
      <c r="F55" s="309"/>
      <c r="G55" s="309"/>
    </row>
    <row r="56" spans="1:7" ht="14.25" customHeight="1">
      <c r="A56" s="309"/>
      <c r="B56" s="309"/>
      <c r="C56" s="311"/>
      <c r="D56" s="311"/>
      <c r="E56" s="311"/>
      <c r="F56" s="309"/>
      <c r="G56" s="309"/>
    </row>
    <row r="57" spans="1:7" ht="14.25" customHeight="1">
      <c r="A57" s="309"/>
      <c r="B57" s="309"/>
      <c r="C57" s="311"/>
      <c r="D57" s="311"/>
      <c r="E57" s="311"/>
      <c r="F57" s="309"/>
      <c r="G57" s="309"/>
    </row>
    <row r="58" spans="1:7" ht="14.25" customHeight="1">
      <c r="A58" s="309"/>
      <c r="B58" s="309"/>
      <c r="C58" s="311"/>
      <c r="D58" s="311"/>
      <c r="E58" s="311"/>
      <c r="F58" s="309"/>
      <c r="G58" s="309"/>
    </row>
    <row r="59" spans="1:7" ht="14.25" customHeight="1">
      <c r="A59" s="463" t="s">
        <v>137</v>
      </c>
      <c r="B59" s="430"/>
      <c r="C59" s="261"/>
      <c r="D59" s="214" t="s">
        <v>456</v>
      </c>
      <c r="E59" s="214"/>
      <c r="F59" s="214"/>
      <c r="G59" s="214"/>
    </row>
    <row r="60" spans="1:7" ht="14.25" customHeight="1">
      <c r="A60" s="309"/>
      <c r="B60" s="312"/>
      <c r="C60" s="311"/>
      <c r="D60" s="311"/>
      <c r="E60" s="311"/>
      <c r="F60" s="313" t="s">
        <v>427</v>
      </c>
      <c r="G60" s="313" t="s">
        <v>457</v>
      </c>
    </row>
    <row r="61" spans="1:7" ht="14.25" customHeight="1">
      <c r="A61" s="323" t="s">
        <v>458</v>
      </c>
      <c r="B61" s="320"/>
      <c r="C61" s="320"/>
      <c r="D61" s="320"/>
      <c r="E61" s="320"/>
      <c r="F61" s="335" t="s">
        <v>459</v>
      </c>
      <c r="G61" s="336">
        <f>SUM(G72+G74+G77)</f>
        <v>69158</v>
      </c>
    </row>
    <row r="62" spans="1:7" ht="14.25" customHeight="1">
      <c r="A62" s="317" t="s">
        <v>430</v>
      </c>
      <c r="B62" s="317" t="s">
        <v>431</v>
      </c>
      <c r="C62" s="317" t="s">
        <v>48</v>
      </c>
      <c r="D62" s="317" t="s">
        <v>63</v>
      </c>
      <c r="E62" s="317" t="s">
        <v>432</v>
      </c>
      <c r="F62" s="317" t="s">
        <v>433</v>
      </c>
      <c r="G62" s="317" t="s">
        <v>434</v>
      </c>
    </row>
    <row r="63" spans="1:7" ht="14.25" customHeight="1">
      <c r="A63" s="497">
        <v>6.4000000000000001E-2</v>
      </c>
      <c r="B63" s="318" t="s">
        <v>435</v>
      </c>
      <c r="C63" s="319"/>
      <c r="D63" s="319"/>
      <c r="E63" s="319"/>
      <c r="F63" s="319"/>
      <c r="G63" s="319"/>
    </row>
    <row r="64" spans="1:7" ht="14.25" customHeight="1">
      <c r="A64" s="468"/>
      <c r="B64" s="320" t="s">
        <v>436</v>
      </c>
      <c r="C64" s="314" t="s">
        <v>24</v>
      </c>
      <c r="D64" s="314">
        <v>24</v>
      </c>
      <c r="E64" s="314">
        <f t="shared" ref="E64:E71" si="5">0</f>
        <v>0</v>
      </c>
      <c r="F64" s="337">
        <v>1234</v>
      </c>
      <c r="G64" s="337">
        <f t="shared" ref="G64:G71" si="6">+D64*F64</f>
        <v>29616</v>
      </c>
    </row>
    <row r="65" spans="1:7" ht="14.25" customHeight="1">
      <c r="A65" s="468"/>
      <c r="B65" s="320" t="s">
        <v>437</v>
      </c>
      <c r="C65" s="314" t="s">
        <v>24</v>
      </c>
      <c r="D65" s="314">
        <v>8</v>
      </c>
      <c r="E65" s="314">
        <f t="shared" si="5"/>
        <v>0</v>
      </c>
      <c r="F65" s="337">
        <v>2300</v>
      </c>
      <c r="G65" s="337">
        <f t="shared" si="6"/>
        <v>18400</v>
      </c>
    </row>
    <row r="66" spans="1:7" ht="14.25" customHeight="1">
      <c r="A66" s="468"/>
      <c r="B66" s="320" t="s">
        <v>438</v>
      </c>
      <c r="C66" s="314" t="s">
        <v>15</v>
      </c>
      <c r="D66" s="314">
        <v>2</v>
      </c>
      <c r="E66" s="314">
        <f t="shared" si="5"/>
        <v>0</v>
      </c>
      <c r="F66" s="337">
        <v>1150</v>
      </c>
      <c r="G66" s="337">
        <f t="shared" si="6"/>
        <v>2300</v>
      </c>
    </row>
    <row r="67" spans="1:7" ht="14.25" customHeight="1">
      <c r="A67" s="468"/>
      <c r="B67" s="320" t="s">
        <v>439</v>
      </c>
      <c r="C67" s="314" t="s">
        <v>15</v>
      </c>
      <c r="D67" s="314">
        <v>2</v>
      </c>
      <c r="E67" s="314">
        <f t="shared" si="5"/>
        <v>0</v>
      </c>
      <c r="F67" s="337">
        <v>441</v>
      </c>
      <c r="G67" s="337">
        <f t="shared" si="6"/>
        <v>882</v>
      </c>
    </row>
    <row r="68" spans="1:7" ht="14.25" customHeight="1">
      <c r="A68" s="468"/>
      <c r="B68" s="320" t="s">
        <v>460</v>
      </c>
      <c r="C68" s="314" t="s">
        <v>15</v>
      </c>
      <c r="D68" s="314">
        <v>1</v>
      </c>
      <c r="E68" s="314">
        <f t="shared" si="5"/>
        <v>0</v>
      </c>
      <c r="F68" s="337">
        <v>14500</v>
      </c>
      <c r="G68" s="337">
        <f t="shared" si="6"/>
        <v>14500</v>
      </c>
    </row>
    <row r="69" spans="1:7" ht="14.25" customHeight="1">
      <c r="A69" s="468"/>
      <c r="B69" s="320" t="s">
        <v>461</v>
      </c>
      <c r="C69" s="314" t="s">
        <v>15</v>
      </c>
      <c r="D69" s="314">
        <v>1</v>
      </c>
      <c r="E69" s="314">
        <f t="shared" si="5"/>
        <v>0</v>
      </c>
      <c r="F69" s="337">
        <v>1950</v>
      </c>
      <c r="G69" s="337">
        <f t="shared" si="6"/>
        <v>1950</v>
      </c>
    </row>
    <row r="70" spans="1:7" ht="14.25" customHeight="1">
      <c r="A70" s="468"/>
      <c r="B70" s="320" t="s">
        <v>442</v>
      </c>
      <c r="C70" s="314" t="s">
        <v>443</v>
      </c>
      <c r="D70" s="314">
        <v>0.05</v>
      </c>
      <c r="E70" s="314">
        <f t="shared" si="5"/>
        <v>0</v>
      </c>
      <c r="F70" s="337">
        <v>8650</v>
      </c>
      <c r="G70" s="337">
        <f t="shared" si="6"/>
        <v>432.5</v>
      </c>
    </row>
    <row r="71" spans="1:7" ht="14.25" customHeight="1">
      <c r="A71" s="468"/>
      <c r="B71" s="320" t="s">
        <v>444</v>
      </c>
      <c r="C71" s="314" t="s">
        <v>445</v>
      </c>
      <c r="D71" s="314">
        <v>0.01</v>
      </c>
      <c r="E71" s="314">
        <f t="shared" si="5"/>
        <v>0</v>
      </c>
      <c r="F71" s="337">
        <v>97750</v>
      </c>
      <c r="G71" s="337">
        <f t="shared" si="6"/>
        <v>977.5</v>
      </c>
    </row>
    <row r="72" spans="1:7" ht="14.25" customHeight="1">
      <c r="A72" s="468"/>
      <c r="B72" s="320"/>
      <c r="C72" s="314"/>
      <c r="D72" s="314"/>
      <c r="E72" s="314"/>
      <c r="F72" s="322" t="s">
        <v>434</v>
      </c>
      <c r="G72" s="335">
        <f>SUM(G64:G71)</f>
        <v>69058</v>
      </c>
    </row>
    <row r="73" spans="1:7" ht="14.25" customHeight="1">
      <c r="A73" s="468"/>
      <c r="B73" s="320" t="s">
        <v>454</v>
      </c>
      <c r="C73" s="314" t="s">
        <v>279</v>
      </c>
      <c r="D73" s="314">
        <v>1</v>
      </c>
      <c r="E73" s="314">
        <f>0</f>
        <v>0</v>
      </c>
      <c r="F73" s="337">
        <v>100</v>
      </c>
      <c r="G73" s="337">
        <f>+D73*F73</f>
        <v>100</v>
      </c>
    </row>
    <row r="74" spans="1:7" ht="14.25" customHeight="1">
      <c r="A74" s="468"/>
      <c r="B74" s="320"/>
      <c r="C74" s="314"/>
      <c r="D74" s="314"/>
      <c r="E74" s="314"/>
      <c r="F74" s="322" t="s">
        <v>434</v>
      </c>
      <c r="G74" s="335">
        <f>SUM(G73)</f>
        <v>100</v>
      </c>
    </row>
    <row r="75" spans="1:7" ht="14.25" customHeight="1">
      <c r="A75" s="468"/>
      <c r="B75" s="323" t="s">
        <v>447</v>
      </c>
      <c r="C75" s="314"/>
      <c r="D75" s="314"/>
      <c r="E75" s="314"/>
      <c r="F75" s="337"/>
      <c r="G75" s="335"/>
    </row>
    <row r="76" spans="1:7" ht="14.25" customHeight="1">
      <c r="A76" s="469"/>
      <c r="B76" s="228" t="s">
        <v>177</v>
      </c>
      <c r="C76" s="228" t="s">
        <v>448</v>
      </c>
      <c r="D76" s="225">
        <v>55000</v>
      </c>
      <c r="E76" s="324">
        <v>0.7</v>
      </c>
      <c r="F76" s="321">
        <f t="shared" ref="F76:F77" si="7">D76*E76</f>
        <v>38500</v>
      </c>
      <c r="G76" s="495">
        <f>F76+F77</f>
        <v>63000</v>
      </c>
    </row>
    <row r="77" spans="1:7" ht="14.25" customHeight="1">
      <c r="A77" s="309"/>
      <c r="B77" s="228" t="s">
        <v>178</v>
      </c>
      <c r="C77" s="228" t="s">
        <v>448</v>
      </c>
      <c r="D77" s="230">
        <v>35000</v>
      </c>
      <c r="E77" s="325">
        <v>0.7</v>
      </c>
      <c r="F77" s="321">
        <f t="shared" si="7"/>
        <v>24500</v>
      </c>
      <c r="G77" s="469"/>
    </row>
    <row r="78" spans="1:7" ht="14.25" customHeight="1">
      <c r="A78" s="309"/>
      <c r="B78" s="312"/>
      <c r="C78" s="311"/>
      <c r="D78" s="311"/>
      <c r="E78" s="311"/>
      <c r="F78" s="309"/>
      <c r="G78" s="309"/>
    </row>
    <row r="79" spans="1:7" ht="14.25" customHeight="1">
      <c r="A79" s="309"/>
      <c r="B79" s="312"/>
      <c r="C79" s="311"/>
      <c r="D79" s="311"/>
      <c r="E79" s="311"/>
      <c r="F79" s="309"/>
      <c r="G79" s="309"/>
    </row>
    <row r="80" spans="1:7" ht="14.25" customHeight="1">
      <c r="A80" s="309"/>
      <c r="B80" s="309"/>
      <c r="C80" s="309"/>
      <c r="D80" s="309"/>
      <c r="E80" s="309"/>
      <c r="F80" s="309"/>
      <c r="G80" s="309"/>
    </row>
    <row r="81" spans="1:7" ht="14.25" customHeight="1">
      <c r="A81" s="499" t="s">
        <v>462</v>
      </c>
      <c r="B81" s="451"/>
      <c r="C81" s="314"/>
      <c r="D81" s="314"/>
      <c r="E81" s="314"/>
      <c r="F81" s="335" t="s">
        <v>143</v>
      </c>
      <c r="G81" s="338" t="e">
        <f>SUM(G87+G89+G92)</f>
        <v>#REF!</v>
      </c>
    </row>
    <row r="82" spans="1:7" ht="14.25" customHeight="1">
      <c r="A82" s="317" t="s">
        <v>430</v>
      </c>
      <c r="B82" s="317" t="s">
        <v>431</v>
      </c>
      <c r="C82" s="317" t="s">
        <v>48</v>
      </c>
      <c r="D82" s="317" t="s">
        <v>63</v>
      </c>
      <c r="E82" s="317" t="s">
        <v>432</v>
      </c>
      <c r="F82" s="317" t="s">
        <v>433</v>
      </c>
      <c r="G82" s="317" t="s">
        <v>434</v>
      </c>
    </row>
    <row r="83" spans="1:7" ht="14.25" customHeight="1">
      <c r="A83" s="497">
        <v>6.5000000000000002E-2</v>
      </c>
      <c r="B83" s="318" t="s">
        <v>435</v>
      </c>
      <c r="C83" s="319"/>
      <c r="D83" s="319"/>
      <c r="E83" s="319"/>
      <c r="F83" s="319"/>
      <c r="G83" s="319"/>
    </row>
    <row r="84" spans="1:7" ht="14.25" customHeight="1">
      <c r="A84" s="468"/>
      <c r="B84" s="339" t="e">
        <f>[1]Insumos!#REF!</f>
        <v>#REF!</v>
      </c>
      <c r="C84" s="314" t="s">
        <v>15</v>
      </c>
      <c r="D84" s="314">
        <v>1</v>
      </c>
      <c r="E84" s="314">
        <f t="shared" ref="E84:E86" si="8">0</f>
        <v>0</v>
      </c>
      <c r="F84" s="337" t="e">
        <f>[1]Insumos!#REF!</f>
        <v>#REF!</v>
      </c>
      <c r="G84" s="337" t="e">
        <f t="shared" ref="G84:G86" si="9">+D84*F84</f>
        <v>#REF!</v>
      </c>
    </row>
    <row r="85" spans="1:7" ht="14.25" customHeight="1">
      <c r="A85" s="468"/>
      <c r="B85" s="339" t="e">
        <f>[1]Insumos!#REF!</f>
        <v>#REF!</v>
      </c>
      <c r="C85" s="314" t="s">
        <v>15</v>
      </c>
      <c r="D85" s="314">
        <v>3</v>
      </c>
      <c r="E85" s="314">
        <f t="shared" si="8"/>
        <v>0</v>
      </c>
      <c r="F85" s="337" t="e">
        <f>[1]Insumos!#REF!</f>
        <v>#REF!</v>
      </c>
      <c r="G85" s="337" t="e">
        <f t="shared" si="9"/>
        <v>#REF!</v>
      </c>
    </row>
    <row r="86" spans="1:7" ht="14.25" customHeight="1">
      <c r="A86" s="468"/>
      <c r="B86" s="320" t="e">
        <f>[1]Insumos!#REF!</f>
        <v>#REF!</v>
      </c>
      <c r="C86" s="314" t="s">
        <v>443</v>
      </c>
      <c r="D86" s="314">
        <v>0.05</v>
      </c>
      <c r="E86" s="314">
        <f t="shared" si="8"/>
        <v>0</v>
      </c>
      <c r="F86" s="337">
        <v>8100</v>
      </c>
      <c r="G86" s="337">
        <f t="shared" si="9"/>
        <v>405</v>
      </c>
    </row>
    <row r="87" spans="1:7" ht="14.25" customHeight="1">
      <c r="A87" s="468"/>
      <c r="B87" s="320"/>
      <c r="C87" s="314"/>
      <c r="D87" s="314"/>
      <c r="E87" s="314"/>
      <c r="F87" s="322" t="s">
        <v>434</v>
      </c>
      <c r="G87" s="335" t="e">
        <f>SUM(G84:G86)</f>
        <v>#REF!</v>
      </c>
    </row>
    <row r="88" spans="1:7" ht="14.25" customHeight="1">
      <c r="A88" s="468"/>
      <c r="B88" s="320" t="s">
        <v>463</v>
      </c>
      <c r="C88" s="314" t="s">
        <v>279</v>
      </c>
      <c r="D88" s="314">
        <v>1</v>
      </c>
      <c r="E88" s="314">
        <f>0</f>
        <v>0</v>
      </c>
      <c r="F88" s="337">
        <v>100</v>
      </c>
      <c r="G88" s="337">
        <f>+D88*F88</f>
        <v>100</v>
      </c>
    </row>
    <row r="89" spans="1:7" ht="14.25" customHeight="1">
      <c r="A89" s="468"/>
      <c r="B89" s="340"/>
      <c r="C89" s="341"/>
      <c r="D89" s="341"/>
      <c r="E89" s="341"/>
      <c r="F89" s="322" t="s">
        <v>434</v>
      </c>
      <c r="G89" s="342">
        <f>SUM(G88)</f>
        <v>100</v>
      </c>
    </row>
    <row r="90" spans="1:7" ht="14.25" customHeight="1">
      <c r="A90" s="468"/>
      <c r="B90" s="343" t="s">
        <v>447</v>
      </c>
      <c r="C90" s="341"/>
      <c r="D90" s="341"/>
      <c r="E90" s="341"/>
      <c r="F90" s="344"/>
      <c r="G90" s="342"/>
    </row>
    <row r="91" spans="1:7" ht="14.25" customHeight="1">
      <c r="A91" s="468"/>
      <c r="B91" s="345" t="e">
        <f>[1]SALARIOS!#REF!</f>
        <v>#REF!</v>
      </c>
      <c r="C91" s="341" t="e">
        <f>[1]SALARIOS!#REF!</f>
        <v>#REF!</v>
      </c>
      <c r="D91" s="341">
        <f>0.7</f>
        <v>0.7</v>
      </c>
      <c r="E91" s="341">
        <f>0</f>
        <v>0</v>
      </c>
      <c r="F91" s="344" t="e">
        <f>[1]SALARIOS!#REF!</f>
        <v>#REF!</v>
      </c>
      <c r="G91" s="344" t="e">
        <f>+D91*F91</f>
        <v>#REF!</v>
      </c>
    </row>
    <row r="92" spans="1:7" ht="14.25" customHeight="1">
      <c r="A92" s="469"/>
      <c r="B92" s="346"/>
      <c r="C92" s="347"/>
      <c r="D92" s="347"/>
      <c r="E92" s="347"/>
      <c r="F92" s="322" t="s">
        <v>434</v>
      </c>
      <c r="G92" s="335" t="e">
        <f>SUM(G91)</f>
        <v>#REF!</v>
      </c>
    </row>
    <row r="93" spans="1:7" ht="14.25" customHeight="1">
      <c r="A93" s="309"/>
      <c r="B93" s="312"/>
      <c r="C93" s="311"/>
      <c r="D93" s="311"/>
      <c r="E93" s="311"/>
      <c r="F93" s="309"/>
      <c r="G93" s="309"/>
    </row>
    <row r="94" spans="1:7" ht="14.25" customHeight="1">
      <c r="A94" s="309"/>
      <c r="B94" s="312"/>
      <c r="C94" s="311"/>
      <c r="D94" s="311"/>
      <c r="E94" s="311"/>
      <c r="F94" s="309"/>
      <c r="G94" s="309"/>
    </row>
    <row r="95" spans="1:7" ht="14.25" customHeight="1">
      <c r="A95" s="498" t="s">
        <v>464</v>
      </c>
      <c r="B95" s="451"/>
      <c r="C95" s="348"/>
      <c r="D95" s="314"/>
      <c r="E95" s="314"/>
      <c r="F95" s="318" t="s">
        <v>143</v>
      </c>
      <c r="G95" s="315" t="e">
        <f>G98+G99+G100+G103+G104</f>
        <v>#REF!</v>
      </c>
    </row>
    <row r="96" spans="1:7" ht="14.25" customHeight="1">
      <c r="A96" s="319" t="s">
        <v>430</v>
      </c>
      <c r="B96" s="319" t="s">
        <v>465</v>
      </c>
      <c r="C96" s="319" t="s">
        <v>466</v>
      </c>
      <c r="D96" s="319" t="s">
        <v>467</v>
      </c>
      <c r="E96" s="317" t="s">
        <v>432</v>
      </c>
      <c r="F96" s="319" t="s">
        <v>468</v>
      </c>
      <c r="G96" s="319" t="s">
        <v>469</v>
      </c>
    </row>
    <row r="97" spans="1:7" ht="14.25" customHeight="1">
      <c r="A97" s="497">
        <v>6.6000000000000003E-2</v>
      </c>
      <c r="B97" s="320" t="s">
        <v>470</v>
      </c>
      <c r="C97" s="348"/>
      <c r="D97" s="314"/>
      <c r="E97" s="314"/>
      <c r="F97" s="314"/>
      <c r="G97" s="314"/>
    </row>
    <row r="98" spans="1:7" ht="14.25" customHeight="1">
      <c r="A98" s="468"/>
      <c r="B98" s="320" t="e">
        <f>[1]Insumos!#REF!</f>
        <v>#REF!</v>
      </c>
      <c r="C98" s="314" t="s">
        <v>471</v>
      </c>
      <c r="D98" s="314">
        <v>5</v>
      </c>
      <c r="E98" s="314">
        <f t="shared" ref="E98:E100" si="10">0</f>
        <v>0</v>
      </c>
      <c r="F98" s="314" t="e">
        <f>[1]Insumos!#REF!</f>
        <v>#REF!</v>
      </c>
      <c r="G98" s="349" t="e">
        <f>D98*F98</f>
        <v>#REF!</v>
      </c>
    </row>
    <row r="99" spans="1:7" ht="14.25" customHeight="1">
      <c r="A99" s="468"/>
      <c r="B99" s="320" t="e">
        <f>[1]Insumos!#REF!</f>
        <v>#REF!</v>
      </c>
      <c r="C99" s="314" t="s">
        <v>471</v>
      </c>
      <c r="D99" s="314">
        <v>6</v>
      </c>
      <c r="E99" s="314">
        <f t="shared" si="10"/>
        <v>0</v>
      </c>
      <c r="F99" s="314" t="e">
        <f>[1]Insumos!#REF!</f>
        <v>#REF!</v>
      </c>
      <c r="G99" s="349" t="e">
        <f t="shared" ref="G99:G100" si="11">+D99*F99</f>
        <v>#REF!</v>
      </c>
    </row>
    <row r="100" spans="1:7" ht="14.25" customHeight="1">
      <c r="A100" s="468"/>
      <c r="B100" s="320" t="s">
        <v>472</v>
      </c>
      <c r="C100" s="314" t="s">
        <v>466</v>
      </c>
      <c r="D100" s="314">
        <v>1</v>
      </c>
      <c r="E100" s="314">
        <f t="shared" si="10"/>
        <v>0</v>
      </c>
      <c r="F100" s="314">
        <v>88800</v>
      </c>
      <c r="G100" s="349">
        <f t="shared" si="11"/>
        <v>88800</v>
      </c>
    </row>
    <row r="101" spans="1:7" ht="14.25" customHeight="1">
      <c r="A101" s="468"/>
      <c r="B101" s="320"/>
      <c r="C101" s="314"/>
      <c r="D101" s="314"/>
      <c r="E101" s="314"/>
      <c r="F101" s="314" t="s">
        <v>434</v>
      </c>
      <c r="G101" s="350" t="e">
        <f>SUM(G98:G100)</f>
        <v>#REF!</v>
      </c>
    </row>
    <row r="102" spans="1:7" ht="14.25" customHeight="1">
      <c r="A102" s="468"/>
      <c r="B102" s="323" t="s">
        <v>447</v>
      </c>
      <c r="C102" s="314"/>
      <c r="D102" s="314"/>
      <c r="E102" s="314"/>
      <c r="F102" s="314"/>
      <c r="G102" s="349"/>
    </row>
    <row r="103" spans="1:7" ht="14.25" customHeight="1">
      <c r="A103" s="468"/>
      <c r="B103" s="320"/>
      <c r="C103" s="314"/>
      <c r="D103" s="314"/>
      <c r="E103" s="314"/>
      <c r="F103" s="351"/>
      <c r="G103" s="349"/>
    </row>
    <row r="104" spans="1:7" ht="14.25" customHeight="1">
      <c r="A104" s="468"/>
      <c r="B104" s="320" t="e">
        <f>[1]SALARIOS!#REF!</f>
        <v>#REF!</v>
      </c>
      <c r="C104" s="314" t="s">
        <v>473</v>
      </c>
      <c r="D104" s="314">
        <v>0.7</v>
      </c>
      <c r="E104" s="314"/>
      <c r="F104" s="351" t="e">
        <f>[1]SALARIOS!#REF!</f>
        <v>#REF!</v>
      </c>
      <c r="G104" s="349" t="e">
        <f>+D104*F104</f>
        <v>#REF!</v>
      </c>
    </row>
    <row r="105" spans="1:7" ht="14.25" customHeight="1">
      <c r="A105" s="469"/>
      <c r="B105" s="320"/>
      <c r="C105" s="314"/>
      <c r="D105" s="314"/>
      <c r="E105" s="314"/>
      <c r="F105" s="319" t="s">
        <v>434</v>
      </c>
      <c r="G105" s="352" t="e">
        <f>G104</f>
        <v>#REF!</v>
      </c>
    </row>
    <row r="106" spans="1:7" ht="14.25" customHeight="1">
      <c r="A106" s="309"/>
      <c r="B106" s="312"/>
      <c r="C106" s="311"/>
      <c r="D106" s="311"/>
      <c r="E106" s="311"/>
      <c r="F106" s="309"/>
      <c r="G106" s="309"/>
    </row>
    <row r="107" spans="1:7" ht="14.25" customHeight="1">
      <c r="A107" s="496" t="s">
        <v>474</v>
      </c>
      <c r="B107" s="451"/>
      <c r="C107" s="348"/>
      <c r="D107" s="314"/>
      <c r="E107" s="314"/>
      <c r="F107" s="318" t="s">
        <v>143</v>
      </c>
      <c r="G107" s="315" t="e">
        <f>G109+G111+G112</f>
        <v>#REF!</v>
      </c>
    </row>
    <row r="108" spans="1:7" ht="14.25" customHeight="1">
      <c r="A108" s="319" t="s">
        <v>430</v>
      </c>
      <c r="B108" s="319" t="s">
        <v>465</v>
      </c>
      <c r="C108" s="319" t="s">
        <v>466</v>
      </c>
      <c r="D108" s="319" t="s">
        <v>467</v>
      </c>
      <c r="E108" s="317" t="s">
        <v>432</v>
      </c>
      <c r="F108" s="319" t="s">
        <v>468</v>
      </c>
      <c r="G108" s="319" t="s">
        <v>469</v>
      </c>
    </row>
    <row r="109" spans="1:7" ht="14.25" customHeight="1">
      <c r="A109" s="497">
        <v>6.7000000000000004E-2</v>
      </c>
      <c r="B109" s="353" t="e">
        <f>[1]Insumos!#REF!</f>
        <v>#REF!</v>
      </c>
      <c r="C109" s="314" t="s">
        <v>466</v>
      </c>
      <c r="D109" s="314">
        <f>1</f>
        <v>1</v>
      </c>
      <c r="E109" s="314">
        <f>0</f>
        <v>0</v>
      </c>
      <c r="F109" s="320" t="e">
        <f>[1]Insumos!#REF!</f>
        <v>#REF!</v>
      </c>
      <c r="G109" s="320" t="e">
        <f>D109*F109</f>
        <v>#REF!</v>
      </c>
    </row>
    <row r="110" spans="1:7" ht="14.25" customHeight="1">
      <c r="A110" s="468"/>
      <c r="B110" s="348"/>
      <c r="C110" s="314"/>
      <c r="D110" s="314"/>
      <c r="E110" s="314"/>
      <c r="F110" s="323" t="s">
        <v>475</v>
      </c>
      <c r="G110" s="323" t="e">
        <f>SUM(G109)</f>
        <v>#REF!</v>
      </c>
    </row>
    <row r="111" spans="1:7" ht="14.25" customHeight="1">
      <c r="A111" s="468"/>
      <c r="B111" s="348" t="e">
        <f>[1]SALARIOS!#REF!</f>
        <v>#REF!</v>
      </c>
      <c r="C111" s="314" t="e">
        <f>[1]SALARIOS!#REF!</f>
        <v>#REF!</v>
      </c>
      <c r="D111" s="314">
        <f>0.35</f>
        <v>0.35</v>
      </c>
      <c r="E111" s="314"/>
      <c r="F111" s="321" t="e">
        <f>[1]SALARIOS!#REF!</f>
        <v>#REF!</v>
      </c>
      <c r="G111" s="321" t="e">
        <f>D111*F111</f>
        <v>#REF!</v>
      </c>
    </row>
    <row r="112" spans="1:7" ht="14.25" customHeight="1">
      <c r="A112" s="469"/>
      <c r="B112" s="348"/>
      <c r="C112" s="314"/>
      <c r="D112" s="314"/>
      <c r="E112" s="314"/>
      <c r="F112" s="323" t="s">
        <v>434</v>
      </c>
      <c r="G112" s="315" t="e">
        <f>G111</f>
        <v>#REF!</v>
      </c>
    </row>
    <row r="113" spans="1:7" ht="14.25" customHeight="1">
      <c r="A113" s="309"/>
      <c r="B113" s="312"/>
      <c r="C113" s="311"/>
      <c r="D113" s="311"/>
      <c r="E113" s="311"/>
      <c r="F113" s="309"/>
      <c r="G113" s="309"/>
    </row>
    <row r="114" spans="1:7" ht="14.25" customHeight="1">
      <c r="A114" s="323" t="s">
        <v>476</v>
      </c>
      <c r="B114" s="318"/>
      <c r="C114" s="319"/>
      <c r="D114" s="319"/>
      <c r="E114" s="319"/>
      <c r="F114" s="323" t="s">
        <v>143</v>
      </c>
      <c r="G114" s="335" t="e">
        <f>G116+G120+G121</f>
        <v>#REF!</v>
      </c>
    </row>
    <row r="115" spans="1:7" ht="14.25" customHeight="1">
      <c r="A115" s="323" t="s">
        <v>430</v>
      </c>
      <c r="B115" s="318" t="s">
        <v>465</v>
      </c>
      <c r="C115" s="319" t="s">
        <v>466</v>
      </c>
      <c r="D115" s="319" t="s">
        <v>467</v>
      </c>
      <c r="E115" s="319" t="s">
        <v>432</v>
      </c>
      <c r="F115" s="323" t="s">
        <v>468</v>
      </c>
      <c r="G115" s="323" t="s">
        <v>469</v>
      </c>
    </row>
    <row r="116" spans="1:7" ht="14.25" customHeight="1">
      <c r="A116" s="497">
        <v>6.8000000000000005E-2</v>
      </c>
      <c r="B116" s="348" t="e">
        <f>[1]Insumos!#REF!</f>
        <v>#REF!</v>
      </c>
      <c r="C116" s="314" t="s">
        <v>466</v>
      </c>
      <c r="D116" s="314">
        <f t="shared" ref="D116:D117" si="12">1</f>
        <v>1</v>
      </c>
      <c r="E116" s="314">
        <f t="shared" ref="E116:E117" si="13">0</f>
        <v>0</v>
      </c>
      <c r="F116" s="337" t="e">
        <f>[1]Insumos!#REF!</f>
        <v>#REF!</v>
      </c>
      <c r="G116" s="337" t="e">
        <f t="shared" ref="G116:G117" si="14">D116*F116</f>
        <v>#REF!</v>
      </c>
    </row>
    <row r="117" spans="1:7" ht="14.25" customHeight="1">
      <c r="A117" s="468"/>
      <c r="B117" s="348" t="e">
        <f>[1]Insumos!#REF!</f>
        <v>#REF!</v>
      </c>
      <c r="C117" s="314" t="s">
        <v>466</v>
      </c>
      <c r="D117" s="314">
        <f t="shared" si="12"/>
        <v>1</v>
      </c>
      <c r="E117" s="314">
        <f t="shared" si="13"/>
        <v>0</v>
      </c>
      <c r="F117" s="337" t="e">
        <f>[1]Insumos!#REF!</f>
        <v>#REF!</v>
      </c>
      <c r="G117" s="337" t="e">
        <f t="shared" si="14"/>
        <v>#REF!</v>
      </c>
    </row>
    <row r="118" spans="1:7" ht="14.25" customHeight="1">
      <c r="A118" s="468"/>
      <c r="B118" s="348"/>
      <c r="C118" s="314"/>
      <c r="D118" s="314"/>
      <c r="E118" s="314"/>
      <c r="F118" s="320"/>
      <c r="G118" s="337"/>
    </row>
    <row r="119" spans="1:7" ht="14.25" customHeight="1">
      <c r="A119" s="468"/>
      <c r="B119" s="348"/>
      <c r="C119" s="314"/>
      <c r="D119" s="314"/>
      <c r="E119" s="314"/>
      <c r="F119" s="320" t="s">
        <v>475</v>
      </c>
      <c r="G119" s="337" t="e">
        <f>SUM(G116+G117)</f>
        <v>#REF!</v>
      </c>
    </row>
    <row r="120" spans="1:7" ht="14.25" customHeight="1">
      <c r="A120" s="468"/>
      <c r="B120" s="348" t="e">
        <f>[1]SALARIOS!#REF!</f>
        <v>#REF!</v>
      </c>
      <c r="C120" s="314" t="e">
        <f>[1]SALARIOS!#REF!</f>
        <v>#REF!</v>
      </c>
      <c r="D120" s="314">
        <f>0.15</f>
        <v>0.15</v>
      </c>
      <c r="E120" s="314"/>
      <c r="F120" s="321" t="e">
        <f>[1]SALARIOS!#REF!</f>
        <v>#REF!</v>
      </c>
      <c r="G120" s="337" t="e">
        <f>D120*F120</f>
        <v>#REF!</v>
      </c>
    </row>
    <row r="121" spans="1:7" ht="14.25" customHeight="1">
      <c r="A121" s="469"/>
      <c r="B121" s="348"/>
      <c r="C121" s="314"/>
      <c r="D121" s="314"/>
      <c r="E121" s="314"/>
      <c r="F121" s="323" t="s">
        <v>475</v>
      </c>
      <c r="G121" s="337" t="e">
        <f>G120</f>
        <v>#REF!</v>
      </c>
    </row>
  </sheetData>
  <mergeCells count="17">
    <mergeCell ref="A107:B107"/>
    <mergeCell ref="A109:A112"/>
    <mergeCell ref="A116:A121"/>
    <mergeCell ref="A8:B8"/>
    <mergeCell ref="A11:B11"/>
    <mergeCell ref="A81:B81"/>
    <mergeCell ref="A83:A92"/>
    <mergeCell ref="A13:A28"/>
    <mergeCell ref="A38:A53"/>
    <mergeCell ref="A63:A76"/>
    <mergeCell ref="A97:A105"/>
    <mergeCell ref="A95:B95"/>
    <mergeCell ref="G27:G28"/>
    <mergeCell ref="G52:G53"/>
    <mergeCell ref="G76:G77"/>
    <mergeCell ref="A59:B59"/>
    <mergeCell ref="A34:B34"/>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Ppto PLANTAS ELECTRICAS </vt:lpstr>
      <vt:lpstr>Especificaciones TECNICAS </vt:lpstr>
      <vt:lpstr>Especificaciones </vt:lpstr>
      <vt:lpstr>COTIZACION 1</vt:lpstr>
      <vt:lpstr>COTIZACION 2</vt:lpstr>
      <vt:lpstr>PROMEDIO</vt:lpstr>
      <vt:lpstr>A.P.U.</vt:lpstr>
      <vt:lpstr>A.P.U.2</vt:lpstr>
      <vt:lpstr>'Ppto PLANTAS ELECTRICAS '!_Hlk32324144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Sandra Milena Escobar Munevar</cp:lastModifiedBy>
  <cp:lastPrinted>2019-07-09T17:01:30Z</cp:lastPrinted>
  <dcterms:created xsi:type="dcterms:W3CDTF">2015-02-12T15:59:46Z</dcterms:created>
  <dcterms:modified xsi:type="dcterms:W3CDTF">2020-07-16T00:19:40Z</dcterms:modified>
</cp:coreProperties>
</file>