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arlo\OneDrive\Desktop\Documentos SMS\Sec. Salud 2025\Proyectos Salud 2025\2. Proyecto PIC 2025\Documentos Contratacion\Documentos PIC Wayuu Talatshi Contratacion\"/>
    </mc:Choice>
  </mc:AlternateContent>
  <xr:revisionPtr revIDLastSave="0" documentId="13_ncr:1_{CA35F53D-DCBB-496A-9A73-DB3B24F51ED8}" xr6:coauthVersionLast="47" xr6:coauthVersionMax="47" xr10:uidLastSave="{00000000-0000-0000-0000-000000000000}"/>
  <bookViews>
    <workbookView xWindow="-120" yWindow="-120" windowWidth="20730" windowHeight="11160" tabRatio="665" activeTab="1" xr2:uid="{00000000-000D-0000-FFFF-FFFF00000000}"/>
  </bookViews>
  <sheets>
    <sheet name="Anexo Tec _ PIC_25_WT" sheetId="14" r:id="rId1"/>
    <sheet name="Cpte_Financiero_WT_PIC25" sheetId="16" r:id="rId2"/>
    <sheet name="Presupuesto_WT_PIC25" sheetId="17" r:id="rId3"/>
    <sheet name="DTB_EBS_WT_PIC25" sheetId="18" r:id="rId4"/>
    <sheet name="Cadena de Valor" sheetId="15" state="hidden" r:id="rId5"/>
    <sheet name="Seguimiento" sheetId="19" state="hidden" r:id="rId6"/>
  </sheets>
  <externalReferences>
    <externalReference r:id="rId7"/>
    <externalReference r:id="rId8"/>
  </externalReferences>
  <definedNames>
    <definedName name="_xlnm._FilterDatabase" localSheetId="0" hidden="1">'Anexo Tec _ PIC_25_WT'!$A$6:$AZ$82</definedName>
    <definedName name="_xlnm.Print_Area" localSheetId="0">'Anexo Tec _ PIC_25_WT'!$A$1:$AR$36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81" i="14" l="1"/>
  <c r="AG80" i="14"/>
  <c r="AG79" i="14"/>
  <c r="AG78" i="14"/>
  <c r="AG77" i="14"/>
  <c r="AG76" i="14"/>
  <c r="AG75" i="14"/>
  <c r="AG74" i="14"/>
  <c r="AG73" i="14"/>
  <c r="AG72" i="14"/>
  <c r="AG71" i="14"/>
  <c r="AG70" i="14"/>
  <c r="AG69" i="14"/>
  <c r="AG68" i="14"/>
  <c r="AG67" i="14"/>
  <c r="AG66" i="14"/>
  <c r="AG65" i="14"/>
  <c r="AG64" i="14"/>
  <c r="AG63" i="14"/>
  <c r="AG62" i="14"/>
  <c r="AG61" i="14"/>
  <c r="AG60" i="14"/>
  <c r="AG59" i="14"/>
  <c r="AG58" i="14"/>
  <c r="AG57" i="14"/>
  <c r="AG56" i="14"/>
  <c r="AG55" i="14"/>
  <c r="AG54" i="14"/>
  <c r="AG53" i="14"/>
  <c r="AG52" i="14"/>
  <c r="AG51" i="14"/>
  <c r="AG50" i="14"/>
  <c r="AG49" i="14"/>
  <c r="AG48" i="14"/>
  <c r="AG47" i="14"/>
  <c r="AG46" i="14"/>
  <c r="AG45" i="14"/>
  <c r="AG44" i="14"/>
  <c r="AG43" i="14"/>
  <c r="AG42" i="14"/>
  <c r="AG41" i="14"/>
  <c r="AG40" i="14"/>
  <c r="AG39" i="14"/>
  <c r="AG38" i="14"/>
  <c r="AG37" i="14"/>
  <c r="AG36" i="14"/>
  <c r="AG35" i="14"/>
  <c r="AG34" i="14"/>
  <c r="AG33" i="14"/>
  <c r="AG32" i="14"/>
  <c r="AG31" i="14"/>
  <c r="AG30" i="14"/>
  <c r="AG29" i="14"/>
  <c r="AG28" i="14"/>
  <c r="AG27" i="14"/>
  <c r="AG26" i="14"/>
  <c r="AG25" i="14"/>
  <c r="AG24" i="14"/>
  <c r="AG23" i="14"/>
  <c r="AG22" i="14"/>
  <c r="AG21" i="14"/>
  <c r="AG20" i="14"/>
  <c r="AG19" i="14"/>
  <c r="AG18" i="14"/>
  <c r="AG17" i="14"/>
  <c r="AG16" i="14"/>
  <c r="AG15" i="14"/>
  <c r="AG14" i="14"/>
  <c r="AG13" i="14"/>
  <c r="AG12" i="14"/>
  <c r="AG11" i="14"/>
  <c r="AG10" i="14"/>
  <c r="AG9" i="14"/>
  <c r="AG8" i="14"/>
  <c r="AG7" i="14"/>
  <c r="AF81" i="14"/>
  <c r="AF80" i="14"/>
  <c r="AF79" i="14"/>
  <c r="AF78" i="14"/>
  <c r="AF77" i="14"/>
  <c r="AF76" i="14"/>
  <c r="AF75" i="14"/>
  <c r="AF74" i="14"/>
  <c r="AF73" i="14"/>
  <c r="AF72" i="14"/>
  <c r="AF71" i="14"/>
  <c r="AF70" i="14"/>
  <c r="AF69" i="14"/>
  <c r="AF68" i="14"/>
  <c r="AF67" i="14"/>
  <c r="AF66" i="14"/>
  <c r="AF65" i="14"/>
  <c r="AF64" i="14"/>
  <c r="AF63" i="14"/>
  <c r="AF62" i="14"/>
  <c r="AF61" i="14"/>
  <c r="AF60" i="14"/>
  <c r="AF59" i="14"/>
  <c r="AF58" i="14"/>
  <c r="AF57" i="14"/>
  <c r="AF56" i="14"/>
  <c r="AF55" i="14"/>
  <c r="AF54" i="14"/>
  <c r="AF53" i="14"/>
  <c r="AF52" i="14"/>
  <c r="AF51" i="14"/>
  <c r="AF50" i="14"/>
  <c r="AF49" i="14"/>
  <c r="AF48" i="14"/>
  <c r="AF47" i="14"/>
  <c r="AF46" i="14"/>
  <c r="AF45" i="14"/>
  <c r="AF44" i="14"/>
  <c r="AF43" i="14"/>
  <c r="AF42" i="14"/>
  <c r="AF41" i="14"/>
  <c r="AF40" i="14"/>
  <c r="AF39" i="14"/>
  <c r="AF38" i="14"/>
  <c r="AF37" i="14"/>
  <c r="AF36" i="14"/>
  <c r="AF35" i="14"/>
  <c r="AF34" i="14"/>
  <c r="AF33" i="14"/>
  <c r="AF32" i="14"/>
  <c r="AF31" i="14"/>
  <c r="AF30" i="14"/>
  <c r="AF29" i="14"/>
  <c r="AF28" i="14"/>
  <c r="AF27" i="14"/>
  <c r="AF26" i="14"/>
  <c r="AF25" i="14"/>
  <c r="AF24" i="14"/>
  <c r="AF23" i="14"/>
  <c r="AF22" i="14"/>
  <c r="AF21" i="14"/>
  <c r="AF20" i="14"/>
  <c r="AF19" i="14"/>
  <c r="AF18" i="14"/>
  <c r="AF17" i="14"/>
  <c r="AF16" i="14"/>
  <c r="AF15" i="14"/>
  <c r="AF14" i="14"/>
  <c r="AF13" i="14"/>
  <c r="AF12" i="14"/>
  <c r="AF11" i="14"/>
  <c r="AF10" i="14"/>
  <c r="AF9" i="14"/>
  <c r="AF8" i="14"/>
  <c r="AF7" i="14"/>
  <c r="P22" i="15"/>
  <c r="P21" i="15"/>
  <c r="L19" i="15"/>
  <c r="L20" i="15"/>
  <c r="L10" i="15"/>
  <c r="L11" i="15"/>
  <c r="L12" i="15"/>
  <c r="L13" i="15"/>
  <c r="L14" i="15"/>
  <c r="L15" i="15"/>
  <c r="L16" i="15"/>
  <c r="L17" i="15"/>
  <c r="L18" i="15"/>
  <c r="L9" i="15"/>
  <c r="AE82" i="14"/>
  <c r="E42" i="16" s="1"/>
  <c r="AD81" i="14"/>
  <c r="AC81" i="14"/>
  <c r="AB81" i="14"/>
  <c r="Z81" i="14"/>
  <c r="AD80" i="14"/>
  <c r="AC80" i="14"/>
  <c r="AB80" i="14"/>
  <c r="Z80" i="14"/>
  <c r="AD79" i="14"/>
  <c r="AC79" i="14"/>
  <c r="AB79" i="14"/>
  <c r="AA79" i="14"/>
  <c r="Z79" i="14"/>
  <c r="AD78" i="14"/>
  <c r="AC78" i="14"/>
  <c r="AB78" i="14"/>
  <c r="AA78" i="14"/>
  <c r="Z78" i="14"/>
  <c r="Y78" i="14" l="1"/>
  <c r="Y80" i="14"/>
  <c r="Y79" i="14"/>
  <c r="AG82" i="14"/>
  <c r="E52" i="16" s="1"/>
  <c r="Y81" i="14"/>
  <c r="AF82" i="14"/>
  <c r="E47" i="16" s="1"/>
  <c r="E57" i="16" l="1"/>
  <c r="G24" i="16"/>
  <c r="F24" i="16"/>
  <c r="H24" i="16" s="1"/>
  <c r="B24" i="16"/>
  <c r="F9" i="16"/>
  <c r="F8" i="16"/>
  <c r="F7" i="16"/>
  <c r="F6" i="16"/>
  <c r="B22" i="18"/>
  <c r="D17" i="16" s="1"/>
  <c r="B21" i="18"/>
  <c r="D16" i="16" s="1"/>
  <c r="B20" i="18"/>
  <c r="D15" i="16" s="1"/>
  <c r="B19" i="18"/>
  <c r="D14" i="16" s="1"/>
  <c r="B16" i="18"/>
  <c r="D13" i="16" s="1"/>
  <c r="B15" i="18"/>
  <c r="D12" i="16" s="1"/>
  <c r="B14" i="18"/>
  <c r="D11" i="16" s="1"/>
  <c r="B13" i="18"/>
  <c r="D10" i="16" s="1"/>
  <c r="B10" i="18"/>
  <c r="D9" i="16" s="1"/>
  <c r="B9" i="18"/>
  <c r="D8" i="16" s="1"/>
  <c r="B8" i="18"/>
  <c r="D7" i="16" s="1"/>
  <c r="B7" i="18"/>
  <c r="D6" i="16" s="1"/>
  <c r="B4" i="18"/>
  <c r="I22" i="17"/>
  <c r="I18" i="17"/>
  <c r="I19" i="17" s="1"/>
  <c r="B18" i="17"/>
  <c r="H17" i="17"/>
  <c r="B17" i="17"/>
  <c r="H16" i="17"/>
  <c r="I13" i="17"/>
  <c r="I14" i="17" s="1"/>
  <c r="H10" i="17"/>
  <c r="I10" i="17" s="1"/>
  <c r="B10" i="17"/>
  <c r="H9" i="17"/>
  <c r="G17" i="16" s="1"/>
  <c r="H17" i="16" s="1"/>
  <c r="B9" i="17"/>
  <c r="H8" i="17"/>
  <c r="I8" i="17" s="1"/>
  <c r="B8" i="17"/>
  <c r="H7" i="17"/>
  <c r="I7" i="17" s="1"/>
  <c r="B7" i="17"/>
  <c r="H6" i="17"/>
  <c r="I6" i="17" s="1"/>
  <c r="B6" i="17"/>
  <c r="H5" i="17"/>
  <c r="I5" i="17" s="1"/>
  <c r="B5" i="17"/>
  <c r="H4" i="17"/>
  <c r="I4" i="17" s="1"/>
  <c r="B4" i="17"/>
  <c r="I9" i="17" l="1"/>
  <c r="I11" i="17" s="1"/>
  <c r="I24" i="17" s="1"/>
  <c r="H18" i="17"/>
  <c r="G6" i="16"/>
  <c r="G10" i="16"/>
  <c r="G14" i="16"/>
  <c r="H14" i="16" s="1"/>
  <c r="G7" i="16"/>
  <c r="G11" i="16"/>
  <c r="G15" i="16"/>
  <c r="H15" i="16" s="1"/>
  <c r="G8" i="16"/>
  <c r="G12" i="16"/>
  <c r="G16" i="16"/>
  <c r="H16" i="16" s="1"/>
  <c r="G9" i="16"/>
  <c r="G13" i="16"/>
  <c r="E48" i="16" l="1"/>
  <c r="E53" i="16"/>
  <c r="E58" i="16"/>
  <c r="B37" i="16"/>
  <c r="B36" i="16"/>
  <c r="F13" i="16"/>
  <c r="F12" i="16"/>
  <c r="F11" i="16"/>
  <c r="F10" i="16"/>
  <c r="D18" i="16"/>
  <c r="X81" i="14" l="1"/>
  <c r="X77" i="14"/>
  <c r="X73" i="14"/>
  <c r="X69" i="14"/>
  <c r="X65" i="14"/>
  <c r="X61" i="14"/>
  <c r="X57" i="14"/>
  <c r="X53" i="14"/>
  <c r="X49" i="14"/>
  <c r="X45" i="14"/>
  <c r="X41" i="14"/>
  <c r="X37" i="14"/>
  <c r="X33" i="14"/>
  <c r="X29" i="14"/>
  <c r="X25" i="14"/>
  <c r="X21" i="14"/>
  <c r="X17" i="14"/>
  <c r="X13" i="14"/>
  <c r="X9" i="14"/>
  <c r="X80" i="14"/>
  <c r="X76" i="14"/>
  <c r="X72" i="14"/>
  <c r="X68" i="14"/>
  <c r="X64" i="14"/>
  <c r="X60" i="14"/>
  <c r="X56" i="14"/>
  <c r="X52" i="14"/>
  <c r="X48" i="14"/>
  <c r="X44" i="14"/>
  <c r="X40" i="14"/>
  <c r="X36" i="14"/>
  <c r="X32" i="14"/>
  <c r="X28" i="14"/>
  <c r="X24" i="14"/>
  <c r="X20" i="14"/>
  <c r="X16" i="14"/>
  <c r="X12" i="14"/>
  <c r="X8" i="14"/>
  <c r="X79" i="14"/>
  <c r="X75" i="14"/>
  <c r="X71" i="14"/>
  <c r="X67" i="14"/>
  <c r="X63" i="14"/>
  <c r="X59" i="14"/>
  <c r="X55" i="14"/>
  <c r="X51" i="14"/>
  <c r="X47" i="14"/>
  <c r="X43" i="14"/>
  <c r="X39" i="14"/>
  <c r="X35" i="14"/>
  <c r="X31" i="14"/>
  <c r="X27" i="14"/>
  <c r="X23" i="14"/>
  <c r="X19" i="14"/>
  <c r="X15" i="14"/>
  <c r="X11" i="14"/>
  <c r="X7" i="14"/>
  <c r="X14" i="14"/>
  <c r="X78" i="14"/>
  <c r="X74" i="14"/>
  <c r="X70" i="14"/>
  <c r="X66" i="14"/>
  <c r="X62" i="14"/>
  <c r="X58" i="14"/>
  <c r="X54" i="14"/>
  <c r="X50" i="14"/>
  <c r="X46" i="14"/>
  <c r="X42" i="14"/>
  <c r="X38" i="14"/>
  <c r="X34" i="14"/>
  <c r="X30" i="14"/>
  <c r="X26" i="14"/>
  <c r="X22" i="14"/>
  <c r="X18" i="14"/>
  <c r="X10" i="14"/>
  <c r="H25" i="16"/>
  <c r="B31" i="16"/>
  <c r="B30" i="16"/>
  <c r="B29" i="16"/>
  <c r="W80" i="14" l="1"/>
  <c r="W76" i="14"/>
  <c r="W72" i="14"/>
  <c r="W68" i="14"/>
  <c r="W64" i="14"/>
  <c r="W60" i="14"/>
  <c r="W56" i="14"/>
  <c r="W52" i="14"/>
  <c r="W48" i="14"/>
  <c r="W44" i="14"/>
  <c r="W40" i="14"/>
  <c r="W36" i="14"/>
  <c r="W32" i="14"/>
  <c r="W28" i="14"/>
  <c r="W24" i="14"/>
  <c r="W20" i="14"/>
  <c r="W16" i="14"/>
  <c r="W12" i="14"/>
  <c r="W8" i="14"/>
  <c r="W79" i="14"/>
  <c r="W75" i="14"/>
  <c r="W71" i="14"/>
  <c r="W67" i="14"/>
  <c r="W63" i="14"/>
  <c r="W59" i="14"/>
  <c r="W55" i="14"/>
  <c r="W51" i="14"/>
  <c r="W47" i="14"/>
  <c r="W43" i="14"/>
  <c r="W39" i="14"/>
  <c r="W35" i="14"/>
  <c r="W31" i="14"/>
  <c r="W27" i="14"/>
  <c r="W23" i="14"/>
  <c r="W19" i="14"/>
  <c r="W15" i="14"/>
  <c r="W11" i="14"/>
  <c r="W7" i="14"/>
  <c r="W78" i="14"/>
  <c r="W74" i="14"/>
  <c r="W70" i="14"/>
  <c r="W66" i="14"/>
  <c r="W62" i="14"/>
  <c r="W58" i="14"/>
  <c r="W54" i="14"/>
  <c r="W50" i="14"/>
  <c r="W46" i="14"/>
  <c r="W42" i="14"/>
  <c r="W38" i="14"/>
  <c r="W34" i="14"/>
  <c r="W30" i="14"/>
  <c r="W26" i="14"/>
  <c r="W22" i="14"/>
  <c r="W18" i="14"/>
  <c r="W14" i="14"/>
  <c r="W10" i="14"/>
  <c r="W57" i="14"/>
  <c r="W45" i="14"/>
  <c r="W37" i="14"/>
  <c r="W29" i="14"/>
  <c r="W21" i="14"/>
  <c r="W13" i="14"/>
  <c r="W81" i="14"/>
  <c r="W77" i="14"/>
  <c r="W73" i="14"/>
  <c r="W69" i="14"/>
  <c r="W65" i="14"/>
  <c r="W61" i="14"/>
  <c r="W53" i="14"/>
  <c r="W49" i="14"/>
  <c r="W41" i="14"/>
  <c r="W33" i="14"/>
  <c r="W25" i="14"/>
  <c r="W17" i="14"/>
  <c r="W9" i="14"/>
  <c r="E43" i="16"/>
  <c r="H12" i="16" l="1"/>
  <c r="H8" i="16"/>
  <c r="H11" i="16"/>
  <c r="H7" i="16"/>
  <c r="H10" i="16"/>
  <c r="H13" i="16"/>
  <c r="H9" i="16"/>
  <c r="H6" i="16"/>
  <c r="G18" i="16"/>
  <c r="H18" i="16" s="1"/>
  <c r="H19" i="16" l="1"/>
  <c r="H6" i="15"/>
  <c r="I7" i="15"/>
  <c r="O11" i="15" s="1"/>
  <c r="P11" i="15" s="1"/>
  <c r="I8" i="15"/>
  <c r="O12" i="15" s="1"/>
  <c r="P12" i="15" s="1"/>
  <c r="I9" i="15"/>
  <c r="O13" i="15" s="1"/>
  <c r="P13" i="15" s="1"/>
  <c r="I10" i="15"/>
  <c r="O14" i="15" s="1"/>
  <c r="P14" i="15" s="1"/>
  <c r="I11" i="15"/>
  <c r="O15" i="15" s="1"/>
  <c r="P15" i="15" s="1"/>
  <c r="I12" i="15"/>
  <c r="O16" i="15" s="1"/>
  <c r="P16" i="15" s="1"/>
  <c r="I13" i="15"/>
  <c r="O17" i="15" s="1"/>
  <c r="P17" i="15" s="1"/>
  <c r="I15" i="15"/>
  <c r="I16" i="15"/>
  <c r="I17" i="15"/>
  <c r="I18" i="15"/>
  <c r="I19" i="15"/>
  <c r="I20" i="15"/>
  <c r="I21" i="15"/>
  <c r="O19" i="15" s="1"/>
  <c r="P19" i="15" s="1"/>
  <c r="I22" i="15"/>
  <c r="O20" i="15" s="1"/>
  <c r="P20" i="15" s="1"/>
  <c r="H5" i="15"/>
  <c r="H4" i="15"/>
  <c r="H3" i="15"/>
  <c r="G14" i="15"/>
  <c r="G6" i="15"/>
  <c r="G5" i="15"/>
  <c r="G4" i="15"/>
  <c r="G3" i="15"/>
  <c r="F14" i="15"/>
  <c r="F6" i="15"/>
  <c r="F5" i="15"/>
  <c r="F4" i="15"/>
  <c r="F3" i="15"/>
  <c r="V78" i="14" l="1"/>
  <c r="U78" i="14" s="1"/>
  <c r="T78" i="14" s="1"/>
  <c r="V70" i="14"/>
  <c r="V62" i="14"/>
  <c r="V54" i="14"/>
  <c r="V46" i="14"/>
  <c r="V38" i="14"/>
  <c r="V30" i="14"/>
  <c r="V22" i="14"/>
  <c r="V14" i="14"/>
  <c r="V81" i="14"/>
  <c r="U81" i="14" s="1"/>
  <c r="T81" i="14" s="1"/>
  <c r="V76" i="14"/>
  <c r="V68" i="14"/>
  <c r="V60" i="14"/>
  <c r="V52" i="14"/>
  <c r="V44" i="14"/>
  <c r="V36" i="14"/>
  <c r="V28" i="14"/>
  <c r="V12" i="14"/>
  <c r="V67" i="14"/>
  <c r="V59" i="14"/>
  <c r="V43" i="14"/>
  <c r="V27" i="14"/>
  <c r="V11" i="14"/>
  <c r="V66" i="14"/>
  <c r="V50" i="14"/>
  <c r="V34" i="14"/>
  <c r="V26" i="14"/>
  <c r="V65" i="14"/>
  <c r="V49" i="14"/>
  <c r="V33" i="14"/>
  <c r="V17" i="14"/>
  <c r="V72" i="14"/>
  <c r="V56" i="14"/>
  <c r="V40" i="14"/>
  <c r="V24" i="14"/>
  <c r="V16" i="14"/>
  <c r="V71" i="14"/>
  <c r="V55" i="14"/>
  <c r="V39" i="14"/>
  <c r="V23" i="14"/>
  <c r="V7" i="14"/>
  <c r="V77" i="14"/>
  <c r="V69" i="14"/>
  <c r="V61" i="14"/>
  <c r="V53" i="14"/>
  <c r="V45" i="14"/>
  <c r="V37" i="14"/>
  <c r="V29" i="14"/>
  <c r="V21" i="14"/>
  <c r="V13" i="14"/>
  <c r="V20" i="14"/>
  <c r="V75" i="14"/>
  <c r="V51" i="14"/>
  <c r="V35" i="14"/>
  <c r="V19" i="14"/>
  <c r="V74" i="14"/>
  <c r="V58" i="14"/>
  <c r="V42" i="14"/>
  <c r="V18" i="14"/>
  <c r="V10" i="14"/>
  <c r="V73" i="14"/>
  <c r="V57" i="14"/>
  <c r="V41" i="14"/>
  <c r="V25" i="14"/>
  <c r="V9" i="14"/>
  <c r="V80" i="14"/>
  <c r="U80" i="14" s="1"/>
  <c r="T80" i="14" s="1"/>
  <c r="V64" i="14"/>
  <c r="V48" i="14"/>
  <c r="V32" i="14"/>
  <c r="V8" i="14"/>
  <c r="V79" i="14"/>
  <c r="U79" i="14" s="1"/>
  <c r="T79" i="14" s="1"/>
  <c r="V63" i="14"/>
  <c r="V47" i="14"/>
  <c r="V31" i="14"/>
  <c r="V15" i="14"/>
  <c r="I3" i="15"/>
  <c r="O3" i="15" s="1"/>
  <c r="P3" i="15" s="1"/>
  <c r="P5" i="15" s="1"/>
  <c r="I4" i="15"/>
  <c r="O4" i="15" s="1"/>
  <c r="P4" i="15" s="1"/>
  <c r="I5" i="15"/>
  <c r="O9" i="15" s="1"/>
  <c r="P9" i="15" s="1"/>
  <c r="I14" i="15"/>
  <c r="O18" i="15" s="1"/>
  <c r="P18" i="15" s="1"/>
  <c r="Z63" i="14"/>
  <c r="Z23" i="14"/>
  <c r="Z62" i="14"/>
  <c r="Z30" i="14"/>
  <c r="Z61" i="14"/>
  <c r="Z21" i="14"/>
  <c r="Z76" i="14"/>
  <c r="Z68" i="14"/>
  <c r="Z60" i="14"/>
  <c r="Z52" i="14"/>
  <c r="Z44" i="14"/>
  <c r="Z36" i="14"/>
  <c r="Z28" i="14"/>
  <c r="Y28" i="14" s="1"/>
  <c r="Z20" i="14"/>
  <c r="Z12" i="14"/>
  <c r="Z66" i="14"/>
  <c r="Z42" i="14"/>
  <c r="Z26" i="14"/>
  <c r="Z10" i="14"/>
  <c r="Z64" i="14"/>
  <c r="Z48" i="14"/>
  <c r="Z16" i="14"/>
  <c r="Y16" i="14" s="1"/>
  <c r="Z75" i="14"/>
  <c r="Z67" i="14"/>
  <c r="Z59" i="14"/>
  <c r="Z51" i="14"/>
  <c r="Z43" i="14"/>
  <c r="Z35" i="14"/>
  <c r="Z27" i="14"/>
  <c r="Z19" i="14"/>
  <c r="Z11" i="14"/>
  <c r="Z74" i="14"/>
  <c r="Z58" i="14"/>
  <c r="Z34" i="14"/>
  <c r="Z18" i="14"/>
  <c r="Z72" i="14"/>
  <c r="Z32" i="14"/>
  <c r="Z55" i="14"/>
  <c r="Z15" i="14"/>
  <c r="Z54" i="14"/>
  <c r="Z22" i="14"/>
  <c r="Z14" i="14"/>
  <c r="Z77" i="14"/>
  <c r="Z37" i="14"/>
  <c r="Z50" i="14"/>
  <c r="Z24" i="14"/>
  <c r="Z71" i="14"/>
  <c r="Z31" i="14"/>
  <c r="Z70" i="14"/>
  <c r="Z38" i="14"/>
  <c r="Z69" i="14"/>
  <c r="Z29" i="14"/>
  <c r="Y29" i="14" s="1"/>
  <c r="Z73" i="14"/>
  <c r="Z65" i="14"/>
  <c r="Z57" i="14"/>
  <c r="Z49" i="14"/>
  <c r="Z41" i="14"/>
  <c r="Z33" i="14"/>
  <c r="Z25" i="14"/>
  <c r="Z17" i="14"/>
  <c r="Z9" i="14"/>
  <c r="Z56" i="14"/>
  <c r="Z40" i="14"/>
  <c r="Y40" i="14" s="1"/>
  <c r="Z8" i="14"/>
  <c r="Z47" i="14"/>
  <c r="Z7" i="14"/>
  <c r="Z46" i="14"/>
  <c r="Z45" i="14"/>
  <c r="Z53" i="14"/>
  <c r="Z39" i="14"/>
  <c r="Z13" i="14"/>
  <c r="AB73" i="14"/>
  <c r="AB65" i="14"/>
  <c r="AB57" i="14"/>
  <c r="AB49" i="14"/>
  <c r="AB39" i="14"/>
  <c r="AB72" i="14"/>
  <c r="AB37" i="14"/>
  <c r="AB36" i="14"/>
  <c r="AB70" i="14"/>
  <c r="AB62" i="14"/>
  <c r="AB54" i="14"/>
  <c r="AB46" i="14"/>
  <c r="AB34" i="14"/>
  <c r="AB24" i="14"/>
  <c r="AB12" i="14"/>
  <c r="AB68" i="14"/>
  <c r="AB52" i="14"/>
  <c r="AB32" i="14"/>
  <c r="AB10" i="14"/>
  <c r="AB17" i="14"/>
  <c r="AB77" i="14"/>
  <c r="AB69" i="14"/>
  <c r="AB61" i="14"/>
  <c r="AB53" i="14"/>
  <c r="AB45" i="14"/>
  <c r="AB33" i="14"/>
  <c r="AB23" i="14"/>
  <c r="AB11" i="14"/>
  <c r="AB76" i="14"/>
  <c r="AB60" i="14"/>
  <c r="AB44" i="14"/>
  <c r="AB22" i="14"/>
  <c r="AB27" i="14"/>
  <c r="AB48" i="14"/>
  <c r="AB63" i="14"/>
  <c r="AB25" i="14"/>
  <c r="AB64" i="14"/>
  <c r="AB26" i="14"/>
  <c r="AB71" i="14"/>
  <c r="AB47" i="14"/>
  <c r="AB75" i="14"/>
  <c r="AB67" i="14"/>
  <c r="AB59" i="14"/>
  <c r="AB51" i="14"/>
  <c r="AB43" i="14"/>
  <c r="AB31" i="14"/>
  <c r="AB21" i="14"/>
  <c r="AB9" i="14"/>
  <c r="AB74" i="14"/>
  <c r="AB66" i="14"/>
  <c r="AB58" i="14"/>
  <c r="AB50" i="14"/>
  <c r="AB42" i="14"/>
  <c r="AB30" i="14"/>
  <c r="AB20" i="14"/>
  <c r="AB8" i="14"/>
  <c r="AB7" i="14"/>
  <c r="AB56" i="14"/>
  <c r="AB14" i="14"/>
  <c r="AB55" i="14"/>
  <c r="AB13" i="14"/>
  <c r="AD75" i="14"/>
  <c r="AD67" i="14"/>
  <c r="AD59" i="14"/>
  <c r="AD51" i="14"/>
  <c r="AD42" i="14"/>
  <c r="AD32" i="14"/>
  <c r="AD22" i="14"/>
  <c r="AD13" i="14"/>
  <c r="AD58" i="14"/>
  <c r="AD39" i="14"/>
  <c r="AD49" i="14"/>
  <c r="AD11" i="14"/>
  <c r="AD72" i="14"/>
  <c r="AD64" i="14"/>
  <c r="AD56" i="14"/>
  <c r="AD48" i="14"/>
  <c r="AD37" i="14"/>
  <c r="AD27" i="14"/>
  <c r="AD19" i="14"/>
  <c r="AD8" i="14"/>
  <c r="AD70" i="14"/>
  <c r="AD46" i="14"/>
  <c r="AD35" i="14"/>
  <c r="AD25" i="14"/>
  <c r="AD17" i="14"/>
  <c r="AD71" i="14"/>
  <c r="AD63" i="14"/>
  <c r="AD55" i="14"/>
  <c r="AD47" i="14"/>
  <c r="AD36" i="14"/>
  <c r="AD26" i="14"/>
  <c r="AD18" i="14"/>
  <c r="AD7" i="14"/>
  <c r="AD62" i="14"/>
  <c r="AD31" i="14"/>
  <c r="AD57" i="14"/>
  <c r="AD20" i="14"/>
  <c r="AD54" i="14"/>
  <c r="AD66" i="14"/>
  <c r="AD50" i="14"/>
  <c r="AD21" i="14"/>
  <c r="AD73" i="14"/>
  <c r="AD38" i="14"/>
  <c r="AD77" i="14"/>
  <c r="AD69" i="14"/>
  <c r="AD61" i="14"/>
  <c r="AD53" i="14"/>
  <c r="AD45" i="14"/>
  <c r="AD34" i="14"/>
  <c r="AD24" i="14"/>
  <c r="AD15" i="14"/>
  <c r="AD76" i="14"/>
  <c r="AD68" i="14"/>
  <c r="AD60" i="14"/>
  <c r="AD52" i="14"/>
  <c r="AD44" i="14"/>
  <c r="AD33" i="14"/>
  <c r="AD23" i="14"/>
  <c r="AD14" i="14"/>
  <c r="AD74" i="14"/>
  <c r="AD12" i="14"/>
  <c r="AD65" i="14"/>
  <c r="AD30" i="14"/>
  <c r="AD10" i="14"/>
  <c r="AD9" i="14"/>
  <c r="AC74" i="14"/>
  <c r="AC66" i="14"/>
  <c r="AC58" i="14"/>
  <c r="AC50" i="14"/>
  <c r="AC14" i="14"/>
  <c r="AC23" i="14"/>
  <c r="AC33" i="14"/>
  <c r="AC41" i="14"/>
  <c r="AC73" i="14"/>
  <c r="AC49" i="14"/>
  <c r="AC48" i="14"/>
  <c r="AC11" i="14"/>
  <c r="AC71" i="14"/>
  <c r="AC63" i="14"/>
  <c r="AC55" i="14"/>
  <c r="AC47" i="14"/>
  <c r="AC18" i="14"/>
  <c r="AC26" i="14"/>
  <c r="AC36" i="14"/>
  <c r="AC7" i="14"/>
  <c r="AC69" i="14"/>
  <c r="AC61" i="14"/>
  <c r="AC45" i="14"/>
  <c r="AC38" i="14"/>
  <c r="AC70" i="14"/>
  <c r="AC62" i="14"/>
  <c r="AC54" i="14"/>
  <c r="AC46" i="14"/>
  <c r="AC19" i="14"/>
  <c r="AC27" i="14"/>
  <c r="AC37" i="14"/>
  <c r="AC77" i="14"/>
  <c r="AC53" i="14"/>
  <c r="AC20" i="14"/>
  <c r="AC57" i="14"/>
  <c r="AC34" i="14"/>
  <c r="AC56" i="14"/>
  <c r="AC25" i="14"/>
  <c r="AC30" i="14"/>
  <c r="AC65" i="14"/>
  <c r="AC24" i="14"/>
  <c r="AC72" i="14"/>
  <c r="AC17" i="14"/>
  <c r="AC76" i="14"/>
  <c r="AC68" i="14"/>
  <c r="AC60" i="14"/>
  <c r="AC52" i="14"/>
  <c r="AC44" i="14"/>
  <c r="AC21" i="14"/>
  <c r="AC31" i="14"/>
  <c r="AC39" i="14"/>
  <c r="AC75" i="14"/>
  <c r="AC67" i="14"/>
  <c r="AC59" i="14"/>
  <c r="AC51" i="14"/>
  <c r="AC12" i="14"/>
  <c r="AC22" i="14"/>
  <c r="AC32" i="14"/>
  <c r="AC42" i="14"/>
  <c r="AC15" i="14"/>
  <c r="AC13" i="14"/>
  <c r="AC64" i="14"/>
  <c r="AC35" i="14"/>
  <c r="AC9" i="14"/>
  <c r="AC8" i="14"/>
  <c r="AC10" i="14"/>
  <c r="AA64" i="14"/>
  <c r="AA63" i="14"/>
  <c r="AA8" i="14"/>
  <c r="AA50" i="14"/>
  <c r="AA74" i="14"/>
  <c r="AA60" i="14"/>
  <c r="AA49" i="14"/>
  <c r="AA25" i="14"/>
  <c r="AA17" i="14"/>
  <c r="AA58" i="14"/>
  <c r="AA14" i="14"/>
  <c r="AA56" i="14"/>
  <c r="AA12" i="14"/>
  <c r="AA72" i="14"/>
  <c r="AA59" i="14"/>
  <c r="AA48" i="14"/>
  <c r="AA24" i="14"/>
  <c r="AA15" i="14"/>
  <c r="AA68" i="14"/>
  <c r="AA47" i="14"/>
  <c r="AA65" i="14"/>
  <c r="AA43" i="14"/>
  <c r="AA7" i="14"/>
  <c r="AA27" i="14"/>
  <c r="AA75" i="14"/>
  <c r="AA26" i="14"/>
  <c r="AA23" i="14"/>
  <c r="AA44" i="14"/>
  <c r="AA54" i="14"/>
  <c r="AA10" i="14"/>
  <c r="AA77" i="14"/>
  <c r="AA19" i="14"/>
  <c r="AA61" i="14"/>
  <c r="AA18" i="14"/>
  <c r="AA66" i="14"/>
  <c r="AA57" i="14"/>
  <c r="AA45" i="14"/>
  <c r="AA22" i="14"/>
  <c r="AA13" i="14"/>
  <c r="AA21" i="14"/>
  <c r="AA20" i="14"/>
  <c r="AA52" i="14"/>
  <c r="AA39" i="14"/>
  <c r="AA37" i="14"/>
  <c r="AA34" i="14"/>
  <c r="AA33" i="14"/>
  <c r="AA32" i="14"/>
  <c r="AA30" i="14"/>
  <c r="AA31" i="14"/>
  <c r="I6" i="15"/>
  <c r="O10" i="15" s="1"/>
  <c r="P10" i="15" s="1"/>
  <c r="P23" i="15" l="1"/>
  <c r="Y56" i="14"/>
  <c r="AB82" i="14"/>
  <c r="E31" i="16" s="1"/>
  <c r="Y49" i="14"/>
  <c r="U49" i="14" s="1"/>
  <c r="T49" i="14" s="1"/>
  <c r="Y67" i="14"/>
  <c r="U67" i="14" s="1"/>
  <c r="T67" i="14" s="1"/>
  <c r="Y66" i="14"/>
  <c r="U66" i="14" s="1"/>
  <c r="T66" i="14" s="1"/>
  <c r="Y68" i="14"/>
  <c r="U68" i="14" s="1"/>
  <c r="T68" i="14" s="1"/>
  <c r="Y8" i="14"/>
  <c r="Y13" i="14"/>
  <c r="Y57" i="14"/>
  <c r="U57" i="14" s="1"/>
  <c r="T57" i="14" s="1"/>
  <c r="Y71" i="14"/>
  <c r="U71" i="14" s="1"/>
  <c r="T71" i="14" s="1"/>
  <c r="Y15" i="14"/>
  <c r="Y11" i="14"/>
  <c r="Y75" i="14"/>
  <c r="U75" i="14" s="1"/>
  <c r="T75" i="14" s="1"/>
  <c r="Y12" i="14"/>
  <c r="Y76" i="14"/>
  <c r="U76" i="14" s="1"/>
  <c r="T76" i="14" s="1"/>
  <c r="Y31" i="14"/>
  <c r="Y39" i="14"/>
  <c r="U39" i="14" s="1"/>
  <c r="T39" i="14" s="1"/>
  <c r="Y65" i="14"/>
  <c r="U65" i="14" s="1"/>
  <c r="T65" i="14" s="1"/>
  <c r="Y24" i="14"/>
  <c r="Y55" i="14"/>
  <c r="U55" i="14" s="1"/>
  <c r="T55" i="14" s="1"/>
  <c r="Y19" i="14"/>
  <c r="Y20" i="14"/>
  <c r="Y21" i="14"/>
  <c r="AD82" i="14"/>
  <c r="E37" i="16" s="1"/>
  <c r="Y53" i="14"/>
  <c r="U53" i="14" s="1"/>
  <c r="T53" i="14" s="1"/>
  <c r="Y9" i="14"/>
  <c r="Y73" i="14"/>
  <c r="U73" i="14" s="1"/>
  <c r="T73" i="14" s="1"/>
  <c r="Y50" i="14"/>
  <c r="U50" i="14" s="1"/>
  <c r="T50" i="14" s="1"/>
  <c r="Y32" i="14"/>
  <c r="Y27" i="14"/>
  <c r="Y48" i="14"/>
  <c r="U48" i="14" s="1"/>
  <c r="T48" i="14" s="1"/>
  <c r="Y61" i="14"/>
  <c r="U61" i="14" s="1"/>
  <c r="T61" i="14" s="1"/>
  <c r="Y74" i="14"/>
  <c r="U74" i="14" s="1"/>
  <c r="T74" i="14" s="1"/>
  <c r="Y45" i="14"/>
  <c r="U45" i="14" s="1"/>
  <c r="T45" i="14" s="1"/>
  <c r="Y17" i="14"/>
  <c r="Y37" i="14"/>
  <c r="U37" i="14" s="1"/>
  <c r="T37" i="14" s="1"/>
  <c r="Y72" i="14"/>
  <c r="U72" i="14" s="1"/>
  <c r="T72" i="14" s="1"/>
  <c r="Y35" i="14"/>
  <c r="U35" i="14" s="1"/>
  <c r="T35" i="14" s="1"/>
  <c r="Y64" i="14"/>
  <c r="U64" i="14" s="1"/>
  <c r="T64" i="14" s="1"/>
  <c r="Y36" i="14"/>
  <c r="U36" i="14" s="1"/>
  <c r="T36" i="14" s="1"/>
  <c r="Y30" i="14"/>
  <c r="Y54" i="14"/>
  <c r="U54" i="14" s="1"/>
  <c r="T54" i="14" s="1"/>
  <c r="Y46" i="14"/>
  <c r="U46" i="14" s="1"/>
  <c r="T46" i="14" s="1"/>
  <c r="Y25" i="14"/>
  <c r="Y69" i="14"/>
  <c r="U69" i="14" s="1"/>
  <c r="T69" i="14" s="1"/>
  <c r="Y77" i="14"/>
  <c r="U77" i="14" s="1"/>
  <c r="T77" i="14" s="1"/>
  <c r="Y18" i="14"/>
  <c r="Y43" i="14"/>
  <c r="U43" i="14" s="1"/>
  <c r="T43" i="14" s="1"/>
  <c r="Y10" i="14"/>
  <c r="Y44" i="14"/>
  <c r="U44" i="14" s="1"/>
  <c r="T44" i="14" s="1"/>
  <c r="Y62" i="14"/>
  <c r="U62" i="14" s="1"/>
  <c r="T62" i="14" s="1"/>
  <c r="Z82" i="14"/>
  <c r="E29" i="16" s="1"/>
  <c r="Y7" i="14"/>
  <c r="U7" i="14" s="1"/>
  <c r="T7" i="14" s="1"/>
  <c r="Y33" i="14"/>
  <c r="Y38" i="14"/>
  <c r="U38" i="14" s="1"/>
  <c r="T38" i="14" s="1"/>
  <c r="Y14" i="14"/>
  <c r="Y34" i="14"/>
  <c r="U34" i="14" s="1"/>
  <c r="T34" i="14" s="1"/>
  <c r="Y51" i="14"/>
  <c r="U51" i="14" s="1"/>
  <c r="T51" i="14" s="1"/>
  <c r="Y26" i="14"/>
  <c r="Y52" i="14"/>
  <c r="U52" i="14" s="1"/>
  <c r="T52" i="14" s="1"/>
  <c r="Y23" i="14"/>
  <c r="AA82" i="14"/>
  <c r="E30" i="16" s="1"/>
  <c r="AC82" i="14"/>
  <c r="E36" i="16" s="1"/>
  <c r="Y47" i="14"/>
  <c r="U47" i="14" s="1"/>
  <c r="T47" i="14" s="1"/>
  <c r="Y41" i="14"/>
  <c r="U41" i="14" s="1"/>
  <c r="T41" i="14" s="1"/>
  <c r="Y70" i="14"/>
  <c r="U70" i="14" s="1"/>
  <c r="T70" i="14" s="1"/>
  <c r="Y22" i="14"/>
  <c r="Y58" i="14"/>
  <c r="U58" i="14" s="1"/>
  <c r="T58" i="14" s="1"/>
  <c r="Y59" i="14"/>
  <c r="U59" i="14" s="1"/>
  <c r="T59" i="14" s="1"/>
  <c r="Y42" i="14"/>
  <c r="U42" i="14" s="1"/>
  <c r="T42" i="14" s="1"/>
  <c r="Y60" i="14"/>
  <c r="U60" i="14" s="1"/>
  <c r="T60" i="14" s="1"/>
  <c r="Y63" i="14"/>
  <c r="U63" i="14" s="1"/>
  <c r="T63" i="14" s="1"/>
  <c r="U56" i="14"/>
  <c r="T56" i="14" s="1"/>
  <c r="U40" i="14"/>
  <c r="T40" i="14" s="1"/>
  <c r="E32" i="16" l="1"/>
  <c r="E38" i="16"/>
  <c r="U15" i="14"/>
  <c r="T15" i="14" s="1"/>
  <c r="U12" i="14"/>
  <c r="T12" i="14" s="1"/>
  <c r="U11" i="14"/>
  <c r="T11" i="14" s="1"/>
  <c r="U10" i="14"/>
  <c r="T10" i="14" s="1"/>
  <c r="U9" i="14"/>
  <c r="T9" i="14" s="1"/>
  <c r="E60" i="16" l="1"/>
  <c r="U33" i="14"/>
  <c r="T33" i="14" s="1"/>
  <c r="U23" i="14" l="1"/>
  <c r="T23" i="14" s="1"/>
  <c r="U32" i="14"/>
  <c r="T32" i="14" s="1"/>
  <c r="U31" i="14"/>
  <c r="T31" i="14" s="1"/>
  <c r="U30" i="14"/>
  <c r="T30" i="14" s="1"/>
  <c r="U29" i="14"/>
  <c r="T29" i="14" s="1"/>
  <c r="U28" i="14"/>
  <c r="T28" i="14" s="1"/>
  <c r="U27" i="14"/>
  <c r="T27" i="14" s="1"/>
  <c r="U26" i="14"/>
  <c r="T26" i="14" s="1"/>
  <c r="U25" i="14"/>
  <c r="T25" i="14" s="1"/>
  <c r="U24" i="14"/>
  <c r="T24" i="14" s="1"/>
  <c r="U22" i="14"/>
  <c r="T22" i="14" s="1"/>
  <c r="U8" i="14" l="1"/>
  <c r="T8" i="14" l="1"/>
  <c r="U16" i="14"/>
  <c r="T16" i="14" s="1"/>
  <c r="U17" i="14"/>
  <c r="T17" i="14" s="1"/>
  <c r="U21" i="14"/>
  <c r="T21" i="14" s="1"/>
  <c r="U20" i="14"/>
  <c r="T20" i="14" s="1"/>
  <c r="U19" i="14"/>
  <c r="T19" i="14" s="1"/>
  <c r="U18" i="14"/>
  <c r="T18" i="14" s="1"/>
  <c r="U14" i="14"/>
  <c r="T14" i="14" s="1"/>
  <c r="U13" i="14"/>
  <c r="T13" i="14" s="1"/>
</calcChain>
</file>

<file path=xl/sharedStrings.xml><?xml version="1.0" encoding="utf-8"?>
<sst xmlns="http://schemas.openxmlformats.org/spreadsheetml/2006/main" count="1809" uniqueCount="539">
  <si>
    <t>Resultado</t>
  </si>
  <si>
    <t>Fuente de Financiación Real</t>
  </si>
  <si>
    <t>Descripción de la Actividad</t>
  </si>
  <si>
    <t>Unidad de Medida</t>
  </si>
  <si>
    <t>Trimestre 1</t>
  </si>
  <si>
    <t>Trimestre 2</t>
  </si>
  <si>
    <t>numero</t>
  </si>
  <si>
    <t>Trimestre 3</t>
  </si>
  <si>
    <t>Trimestre 4</t>
  </si>
  <si>
    <t>Código Rubro Presupuestal</t>
  </si>
  <si>
    <t>Línea Operativa PDSP</t>
  </si>
  <si>
    <t>Medio de Verificaciòn Soporte</t>
  </si>
  <si>
    <t>Equipo Bàsico</t>
  </si>
  <si>
    <t>Entorno</t>
  </si>
  <si>
    <t>Poblaciòn Sujeto</t>
  </si>
  <si>
    <t>Microterritorio</t>
  </si>
  <si>
    <t>Resposable</t>
  </si>
  <si>
    <t>Perfiles Equipo Bàsico</t>
  </si>
  <si>
    <t>Secretaria de Salud Municipal de Maicao-Autoridad Sanitaria</t>
  </si>
  <si>
    <t>No. Personas</t>
  </si>
  <si>
    <t>No. Familias priorizadas</t>
  </si>
  <si>
    <t>No. Comunidades/Barrios</t>
  </si>
  <si>
    <t>0. Informe Tecnico-Operativo de Ejecucion PIC
1.Registro de Asistencia
2. Formato de Acta de Reunion-Formato Acta de Concertacion-Formato Acta de dialogo para Consesno o disenso
3. Formato de Registros Filmicos (Fotograficos/Videos).
4. Ficha de Caracterizacion Socio-Demografica.
5. Ficha de Monitoreo y Seguimiento.
6. Formato de monitoreo y seguimiento de la Adherencia a las Rutas integrales de atencion en salud.
7. Formato de Visita Domiciliaria
8. Formato de Canalizacion
9. Formato y oficio de Remision
10. Registro Individual de Prestacion de servicios-RIPS-Codigo unico de prestacion de servicios-CUPS
11.Formato de intervenciones Breves</t>
  </si>
  <si>
    <t>MUNICIPIO DE MAICAO - LA GUAJIRA</t>
  </si>
  <si>
    <t>FORTALECIMIENTO DE LA FORMULACION Y EJECUCION DEL PLAN DE SALUD PUBLICA DE INTERVENCIONES COLECTIVAS - PIC - EN LAS ACCIONES DE PROMOCION DE LA SALUD Y GESTION DEL RIESGO ENCAMINADAS A MODIFICAR POSITIVAMENTE LOS DETERMINANTES SOCIALES DE LA SALUD DEL MUNICIPIO DE MAICAO PARA VIGENCIA 2024.</t>
  </si>
  <si>
    <t>Costos indirectos</t>
  </si>
  <si>
    <t>Costos Directos_Talento Humano</t>
  </si>
  <si>
    <t>Costos Directos_ Transporte</t>
  </si>
  <si>
    <t>Costos Directos_ Gastos _Adtivo y Finac</t>
  </si>
  <si>
    <t>Costos total</t>
  </si>
  <si>
    <t xml:space="preserve">ADICION _ ANEXO TÉCNICO DE PLANES DE INTERVENCIONES COLECTIVAS - PIC - 2024 _ </t>
  </si>
  <si>
    <t>Id_Actividad</t>
  </si>
  <si>
    <t>Valor apropiación año 2025 (en pesos)</t>
  </si>
  <si>
    <t>Eje Estrategico PDSP</t>
  </si>
  <si>
    <t>Pueblos y comunidades étnicas y campesinas, mujeres, sectores LGBTIQ+ y otras poblaciones por condición y/o situación</t>
  </si>
  <si>
    <t>Determinantes Sociales de la Salud</t>
  </si>
  <si>
    <t>Objetivo Estrategico</t>
  </si>
  <si>
    <t>Contar con elementos para la acción que le permita aproximarse a las condiciones de vida y salud de las diferentes poblaciones de acuerdo con sus particularidades y necesidades, mediante el respeto a la integridad y la participación social, y como garante en la construcción conjunta de intervenciones desde el dialogo horizontal y respetuoso de sus saberes, prácticas y creencias.</t>
  </si>
  <si>
    <t>Transformar las circunstancias injustas relacionadas con peores resultados de salud de la población, mediante la definición de acciones de carácter inter y transectorial en los planes de desarrollo territorial, con el fin de avanzar en la reducción de brechas sociosanitarias.</t>
  </si>
  <si>
    <t>Valor apropiación fuente año 2025 (en pesos)</t>
  </si>
  <si>
    <t>Prácticas, saberes y conocimientos para la salud pública reconocidos y fortalecidos para Pueblos y comunidades étnicas, mujeres, población campesina, LBGTIQ+ y otras poblaciones por condición y/o situación</t>
  </si>
  <si>
    <t>Transformación cultural, movilización y organización social y popular por la vida, salud y la equidad en salud.</t>
  </si>
  <si>
    <t>Implementar cuatro (4) estrategias pedagógicas, dirigidas a la población de los micro-territorios priorizados en el municipio de Maicao, a través de acciones para reducir la contaminación del aire y el uso adecuado del agua, con el fin de promover adecuadas prácticas ambientales.</t>
  </si>
  <si>
    <t>Efectuar dos (2) actividades informativas en español y Wayuunaiki, dirigidas a la población en general de la zona rural, que incluyan sesiones educativas, folletos, volantes y cuñas radiales, para conmemorar el día de la salud mental programada para el 02 de octubre de 2025.</t>
  </si>
  <si>
    <t>Captar y caracterizar al 100% los sabedores de prácticas medicinales ancestrales en la etnia wayuu residentes en Maicao, en el marco del Sistema Indígena de Salud Propia e Intercultural SISPI y el decreto 1953 de 2014.</t>
  </si>
  <si>
    <t>Realizar una (1) movilización social, dirigida a la población en general del municipio de Maicao, para la conmemoración del día mundial para la prevención del suicidio, programado el 10 de septiembre de 2025.</t>
  </si>
  <si>
    <t>Efectuar dos (2) actividades educativas en español y Wayuunaiki, dirigidas a la población en general de la zona rural, que incluyan sesiones educativas, folletos, volantes y cuñas radiales, para conmemorar el día mundial de la salud mental programada para el 10 de octubre de 2025.</t>
  </si>
  <si>
    <t>Efectuar cuatro (4) actividades educativas en español y Wayuunaiki, dirigidas a la población en general de la zona urbana, que incluyan sesiones educativas, folletos, volantes y cuñas radiales, para conmemorar el día mundial de la salud mental programada para el 10 de octubre de 2025.</t>
  </si>
  <si>
    <t>Desarrollar un (1) foro educativo, dirigido a la población adolescente y adulta del municipio, donde se eduque sobre el control en el consumo de alcohol, en celebración al día mundial sin alcohol, programado para el 15 de noviembre de 2025.</t>
  </si>
  <si>
    <t>Realizar ocho (8) acciones pedagógicas con enfoque étnico, dirigido a la población adolescente de los micro-territorios y comunas priorizadas, donde se incluyan factores protectores frente a los trastornos mentales más comunes, con el fin de mitigar las conductas suicidas, el consumo de SPA y alteraciones en la salud mental de los jóvenes de las distintas etnias.</t>
  </si>
  <si>
    <t>Ejecutar una (1) estrategia informativa, dirigida a la población de los microterritorios priorizados, donde se promuevan las prácticas de salud visual, auditiva y comunicativa, con el fin de prevenir las alteraciones crónicas, no transmisibles.</t>
  </si>
  <si>
    <t>Hacer entrega mensual al proceso de gestión de la SSMM, mediante un informe y copia de la base de datos, de los avances en el proceso de captación y caracterización poblacional, programados para la vigencia 2025.</t>
  </si>
  <si>
    <t>Concertar con los actores sociales, la realización de una mesa de diálogo con enfoque étnico, en articulación con el proceso de gestión, en la que se informe y eduque sobre las acciones frente a casos de ITS, con el fin de capacitarlos en la identificación y notificación oportuna de los casos que se presenten en sus comunidades.</t>
  </si>
  <si>
    <t>Concertar con la comunidad de las comunas priorizadas, un encuentro educativo, en articulación con el proceso de gestión, en el que se eduque sobre temas de sexualidad, tipos de violencia y embarazo en adolescentes.</t>
  </si>
  <si>
    <t>Desarrollar una (1) estrategia informativa, dirigida a la población en general, a través de cuñas radiales con mensajes claros y sencillos, además del uso de volantes informativos y otros canales de comunicación, que sensibilice a la comunidad sobre la importancia de la educación sexual temprana y la prevención de abusos.</t>
  </si>
  <si>
    <t>Realizar una (1) estrategia educativa, dirigida a la población de los micro-territorios priorizados, a través pendones, talleres y sesiones educativas, en conmemoración del día internacional de la eliminación de la violencia contra la mujer, programada el día 25 de noviembre de 2025.</t>
  </si>
  <si>
    <t>Implementar una (1) estrategia educativa, dirigida a los hombres y mujeres a cargo de los estudiantes de las instituciones educativas de los micro-territorios priorizados, donde se eduque sobre estrategias de comunicación abierta y natural entre padres e hijos, métodos de respuesta a las preguntas de los niños sobre sexualidad de manera clara y creación de ambientes de confianza, con el fin de sensibilizar al cuidador sobre la importancia de la sexualidad saludable y responsable, previniendo abusos y garantizando el desarrollo integral de los niños.</t>
  </si>
  <si>
    <t>Desarrollar tres (3) talleres lúdicos con enfoque diferencial, dirigido a la población migrante con envejecimiento y vejez que residen en el municipio de Maicao, a través de talleres de estimulación cognitiva, como ejercicios de memoria, mente activa, juegos de mesa y lectura, con el fin de promover y mantener el bienestar mental, reduciendo el riesgo de enfermedades mentales, estrés y ansiedad en la vejez.</t>
  </si>
  <si>
    <t>Realizar cinco (5) campañas de atención integral, dirigida a los micro-territorios priorizados del municipio de Maicao, donde se identifique, capte y caracterice los eventos de interés en salud pública, que incluya activación de ruta y notificación oportuna del caso a los organismos interdisciplinares correspondientes.</t>
  </si>
  <si>
    <t>Realizar dos (2) talleres educativos, dirigido a la población de los micro-territorios priorizados del municipio de Maicao, donde se eduque sobre los signos de alteraciones mentales y conductas autolesivas, con el fin de capacitar en la identificación temprana, notificación oportuna y actuación eficiente, frente a las sospechas de dicha problemática.</t>
  </si>
  <si>
    <t>Realizar una (1) estrategia operativa de vacunación antirrábica, de los felinos y caninos de la zona urbana priorizada en el municipio de Maicao, en articulación con la Secretaría de Salud Departamental de la Guajira, con el fin de prevenir y controlar nuevos casos de rabia en perros y gatos.</t>
  </si>
  <si>
    <t>Realizar intervención de personas, familias y comunidades a través del modelo municipal de APS durante el desarrollo de las campañas programadas para los micro-territorios priorizados en la vigencia 2025.</t>
  </si>
  <si>
    <t>Realizar dos (2) campañas de promoción, dirigidas a la población en general, a través de volantes, folletos y talleres, donde se incentive a la comunidad a participar en la donación de hemo-componentes, en articulación con las Unidades Transfusionales autorizadas y el proceso de gestión de la secretaría de salud municipal.</t>
  </si>
  <si>
    <t>Hacer entrega de un informe mensual al proceso de gestión de la SSMM, de las bases de datos diligenciadas durante las jornadas de desparasitación antihelmíntica, donde se distinga el avance en la captación de cada niño que cumpla con el criterio de desparasitación y que se le garantice la segunda ronda en el periodo establecido.</t>
  </si>
  <si>
    <t>Hacer entrega de un informe mensual, al proceso de gestión de la SSMM, de los formatos diligenciados posterior a cada jornada de vacunación antirrábica a los felinos y caninos del municipio.</t>
  </si>
  <si>
    <t>Realizar tres (3) jornadas de atención en zonas rurales priorizadas en el municipio de Maicao, con enfoque diferencial, dirigidas a la población circundante, donde se realice tamizaje para ITS, mediante educación a través de folletos y volantes, y realización voluntaria de pruebas rápidas de VIH y Hepatitis B, que incluya la captación y caracterización de la población intervenida.</t>
  </si>
  <si>
    <t>Realizar tres (3) jornadas de atención en zonas abiertas urbanas priorizadas en el municipio de Maicao, con enfoque diferencial, dirigidas a la población circundante, donde se realice tamizaje para ITS, mediante educación a través de folletos y volantes, y realización voluntaria de pruebas rápidas de VIH y Hepatitis B, que incluya la captación y caracterización de la población intervenida.</t>
  </si>
  <si>
    <t>Realizar tres (3) jornadas de atención en zonas abiertas urbanas priorizadas en el municipio de Maicao, con enfoque integral, dirigidas a la población circundante, donde se realice tamizaje para riesgo nutricional, mediante educación a través de folletos y volantes, e identificación de alteraciones nutricionales en niños y adultos, que incluya la captación y caracterización de la población intervenida.</t>
  </si>
  <si>
    <t>Realizar tres (3) jornadas de atención en microterritorios priorizados en el municipio de Maicao, con enfoque integral, dirigidas a la población circundante, donde se realice tamizaje para riesgo nutricional, mediante educación a través de folletos y volantes, e identificación de alteraciones nutricionales en niños y adultos, que incluya la captación y caracterización de la población intervenida.</t>
  </si>
  <si>
    <t>Realizar dos (2) estrategias pedagógicas, dirigidas a la población de los micro-territorios priorizados en el municipio de Maicao, donde se eduque sobre las consecuencias negativas del trabajo infantil y se promuevan medidas alternativas de educación y recreación, con el fin de contribuir en la prevención del trabajo infantil.</t>
  </si>
  <si>
    <t>Captar y caracterizar al 100% de la población perteneciente a las comunas priorizadas del municipio de Maicao, que incluya datos generales de identificación de las familias, contextos de vivienda, situaciones socio-ambientales y condiciones de saneamiento básico.</t>
  </si>
  <si>
    <t>Captar y caracterizar al 100% de la población perteneciente a los micro-territorios priorizados del municipio de Maicao, que incluya datos generales de identificación de las familias, contextos de vivienda, situaciones socio-ambientales y condiciones de saneamiento básico.</t>
  </si>
  <si>
    <t>Realizar dos (2) estrategias pedagógicas con enfoque étnico, dirigidas a la población de los micro-territorios priorizados en el municipio de Maicao, donde se eduque sobre las consecuencias negativas del uso del cigarro y tabaco, además de los métodos alternativos para reducir la adicción a estos, con el fin de contribuir en la prevención de las enfermedades cardiopulmonares crónicas generadas por el uso de sustancias nocivas como el tabaco.</t>
  </si>
  <si>
    <t>Realizar la caracterización del 100% de la población afectada por situaciones de Emergencias y Desastres en el municipio de Maicao, en articulación con ONG, fundaciones, Red de Prestadores, Aseguradores, Comunidad y Transectorial.</t>
  </si>
  <si>
    <t>Realizar una (1) concertación con los docentes de las instituciones educativas priorizadas, en la que se desarrolle las capacidades en la identificación y actuación frente a los casos de crisis, ataques de pánico, y otros eventos psicológicos, con el fin de que el docente identifique, los signos de alteraciones mentales, consumo de sustancias psicoactivas, conductas autolesivas, entre otros; además de notificar oportunamente cada caso hallado.</t>
  </si>
  <si>
    <t xml:space="preserve">Hacer entrega mensual al proceso de gestión de la SSMM, de un informe de resultados con copia de la base de datos con el avance en el proceso de caracterización de trabajadores informales del mercado del municipio de Maicao. </t>
  </si>
  <si>
    <t>Hacer entrega mensual a los procesos de gestión de la SSMM de un informe general de actividades correspondientes a cada mes, con la descripción de la actividad, acciones, impacto y resultado obtenido, además de recomendaciones y conclusión, en la plantilla institucional de la entidad contratada.</t>
  </si>
  <si>
    <t xml:space="preserve">Captar y caracterizar a la población residente en los asentamientos ubicados en la zona periurbana del municipio de Maicao, que defina datos generales de cada miembro de las viviendas, datos generales de identificación, determinantes sociales y condiciones generales de vivienda y saneamiento básico. </t>
  </si>
  <si>
    <t xml:space="preserve">Desarrollar una (1) mesa de trabajo mensual, dirigida al proceso de gestión de la SSMM, en la que se proyecte el avance de los resultados programados, plasmados en los informes mensuales. </t>
  </si>
  <si>
    <t>Realizar un (1) taller educativo, dirigido a las madres de los micro-territorios priorizados del municipio de Maicao, donde se eduque sobre los signos de identificación de alarma que genera el dengue, con el fin de capacitarlas en la identificación temprana y actuación frente a las enfermedades transmitidas por vectores.</t>
  </si>
  <si>
    <t>Realizar una (1) campaña lúdica, dirigida a las instituciones educativas de básica primaria priorizadas en el municipio de Maicao, donde se eduque a los niños mediante juegos, bailes y dramas, acerca de el lavado de manos, manipulación de mascotas, y comunicación de sus síntomas a los cuidadores, con el fin de identificar oportunamente el contagio por zoonosis.</t>
  </si>
  <si>
    <t xml:space="preserve">Concertar con los actores sociales de la zona rural y urbana del municipio, la realización de cuatro (4) mesas de trabajo intersectoriales, con el fin de socializar el programa de tuberculosis, que incluya temas de identificación de signos y síntomas, diagnóstico, control médico y de enfermería, estrategia DOTS/TAES. </t>
  </si>
  <si>
    <t>Realizar cuatro (4) campañas educativas, dirigidas a la población de los micro-territorios priorizados, donde se promueva y prevenga los efectos nocivos de la exposición a radiaciones UV, se estimule el uso de productos con protección solar y demás medidas de protección contra las altas temperaturas, con el fin de reducir el riesgo de padecer cáncer de piel u otras afecciones en salud.</t>
  </si>
  <si>
    <t>Ejecutar cinco (5) campañas de arborización en las comunas priorizadas del municipio de Maicao, en articulación con el proceso de gestión de la SSMM, corpoguajira, y demás órganos interdisciplinarios según corresponda, para abarcar las áreas en las que se requieran plantaciones.</t>
  </si>
  <si>
    <t>Realizar cuatro (4) campañas educativas dirigidas a los estudiantes de los grados 9, 10 y 11 de las instituciones educativas rurales priorizadas, enfocadas a promover escenarios saludables, y de trato digno hacia la a la población discapacitada por situación o condición, con la finalidad de reducir la discriminación y el maltrato.</t>
  </si>
  <si>
    <t>Realizar dos (2) campañas educativas con enfoque étnico, dirigido a la población en edad fértil de los micro-territorios priorizados en el municipio de Maicao, acerca de la importancia de la adherencia al tratamiento para las enfermedades de transmisión sexual, además de educación sobre el adecuado uso de cada método anticonceptivo.</t>
  </si>
  <si>
    <t>Concertar con la comunidad de las comunas priorizadas, un encuentro educativo, en articulación con el proceso de gestión, en el que se eduque sobre las rutas integrales de atención y los medios de notificación oportuna de los casos de interés en salud pública.</t>
  </si>
  <si>
    <t>Realizar dos (2) campañas pedagógicas, dirigidas a la población estudiantil de las instituciones educativas rurales priorizadas en el municipio, a través de talleres educativos, volantes y pendones, sobre la promoción del programa de Servicios de Salud Amigables para Adolescente y Jóvenes (SSAAJ).</t>
  </si>
  <si>
    <t>Concertar con los actores sociales de la zona rural y urbana del municipio, la realización de cuatro (4) mesas de trabajo intersectoriales, con el fin de promocionar las estrategias municipales de la erradicación del trabajo Infantil y Adolescente, incluye poster informativo.</t>
  </si>
  <si>
    <t>Realizar cuatro (4) campañas educativas dirigidas a los estudiantes de los grados 9, 10 y 11 de las instituciones educativas priorizadas, enfocadas a promover escenarios saludables, y de trato digno hacia la a la población discapacitada por situación o condición, con la finalidad de reducir la discriminación y el maltrato.</t>
  </si>
  <si>
    <t>Concertar con los actores sociales la participación en las mesas de diálogo dirigidas por los procesos de gestión de la SSMM, y demás órganos interdisciplinarios; donde se socialicen las estrategias enfocadas al cumplimiento del PDSP 2022-2031, el SISPI y la sentencia T-302 de 2017, con el fin de incluir a los líderes sociales en los procesos de planeación en salud.</t>
  </si>
  <si>
    <t>Desarrollar tres (3) actividades educativas, en articulación con la Comisaría de familia y Personería municipal, dirigidas a la población en general, con el fin de establecer la línea de ayuda y promover la convivencia pacífica, para prevenir la violencia en el entorno familiar, de género, laboral, sexual y comunitario.</t>
  </si>
  <si>
    <t xml:space="preserve">Realizar dos (2) campañas educativas, en articulación con el proceso de gestión de la SSMM, dirigidas a los actores sociales del municipio, acerca del cambio Climático y las medidas de adaptación y mitigación que incidan en los determinantes de la Salud Ambiental, con el fin de capacitarlos en la identificación y notificación oportuna de las emergencias por eventos climáticos y catastróficos presentados en los micro-territorios y comunas que lideran.  </t>
  </si>
  <si>
    <t>Implementar cuatro (4) estrategias pedagógicas, dirigidas a la población de las comunas priorizadas en el municipio de Maicao, a través de acciones para reducir la contaminación del aire y el uso adecuado del agua, con el fin de promover adecuadas prácticas ambientales.</t>
  </si>
  <si>
    <t>Ejecutar dos (2) talleres educativos con enfoque étnico, dirigidos a los micro-territorios priorizados en el municipio de Maicao, acerca de la atención prehospitalaria, actuación ante situaciones de emergencias y evacuación, con el fin de promover el desarrollo de capacidades, en articulación con los organismos de socorro de la cruz roja, Bomberos y UMGRD.</t>
  </si>
  <si>
    <t>Ejecutar dos (2) talleres educativos con enfoque étnico, dirigidos a los barrios de las comunas priorizadas en el municipio de Maicao, acerca de la atención prehospitalaria, actuación ante situaciones de emergencias y evacuación, con el fin de promover el desarrollo de capacidades, en articulación con los organismos de socorro de la cruz roja, Bomberos y UMGRD.</t>
  </si>
  <si>
    <t xml:space="preserve">Desarrollar tres (3) talleres educativos, dirigidos a hombres y mujeres a cargo de los niños beneficiados por el programa piloto del ICBF en el municipio de Maicao, para la adecuada utilización de las raciones de alimentos entregadas, que incluya combinación y aprovechamiento en cantidades suficientes, para evitar el desperdicio de las provisiones. </t>
  </si>
  <si>
    <t>Realizar una (1) movilización social en el municipio de Maicao, dirigido a la población en general, con el fin de conmemorar la Semana de la lactancia materna, programada el 1-7 de agosto de 2025, que permita concientizar a la población acerca de los beneficios de lactar, para el niño, la madre y la familia.</t>
  </si>
  <si>
    <t>Desarrollar un (1) estrategia de inclusión, con periodicidad trimestral, dirigida a la población con envejecimiento y vejez que asisten al geriátrico abuelos de las barbas de maíz, del municipio de Maicao, que fomenten el autocuidado y prevención de enfermedades no transmisibles, mediante actividad física y ejercicios.</t>
  </si>
  <si>
    <t>Ejecutar una (1) estrategia informativa, dirigida a la población en edad fértil de las comunas priorizadas, donde se oriente y se eduque sobre el adecuado uso de cada método anticonceptivo, con la finalidad de contribuir en la disminución de embarazos no deseados.</t>
  </si>
  <si>
    <t>Desarrollar seis (6) estrategias educativas, dirigidas a la población de las comunas priorizadas, que incluyan sesiones educativas, folletos, volantes y cuñas radiales, en conmemoración al día mundial del corazón, programado el 29 de septiembre de 2025, con el fin de sensibilizar sobre la prevención de la obesidad y mantener estilos de vida saludable.</t>
  </si>
  <si>
    <t>Realizar cuatro (4) actividades educativas, dirigidas a la población de los micro-territorios priorizados en el municipio de Maicao, a través del diseño e implementación de talleres, folletos y volantes, con el fin de informar y sensibilizar sobre la actuación ante los casos de violencia sexual, intrafamiliar y de género.</t>
  </si>
  <si>
    <t>Realizar una (1) movilización social, donde se integre a la población en general, que incluya el diseño de volantes, cuñas radiales y pendones, en conmemoración del día internacional de la eliminación de la violencia contra la mujer, programada el día 25 de noviembre de 2025.</t>
  </si>
  <si>
    <t xml:space="preserve">Realizar una (1) campaña educativa, con enfoque diferencial, dirigida a la población étnica y migrante de los micro-territorios priorizados, acerca de la identificación oportuna de los signos de violencia y abuso sexual en niños y niñas. </t>
  </si>
  <si>
    <t>Realizar una (1) estrategia operativa de vacunación antirrábica, de los felinos y caninos de la zona rural priorizada en el municipio de Maicao, en articulación con la Secretaría de Salud Departamental de la Guajira, y demás órganos interdisciplinarios que se requieran, con el fin de prevenir y controlar nuevos casos de rabia en perros y gatos.</t>
  </si>
  <si>
    <t>Captar y caracterizar el 100% de los trabajadores informales del mercado municipal, donde se identifiquen datos generales de identificación, oficio, métodos de ingreso y gastos, condiciones de sus viviendas, medidas de distribución y almacenamiento de sus productos en venta.</t>
  </si>
  <si>
    <t>Realizar dos (2) estrategias informativas, dirigidas a la población en general, donde se sensibilice sobre los derechos de los niños y las leyes que protegen contra el trabajo infantil, a través de cuñas radiales y perifoneo, con el fin de contribuir en la prevención del trabajo infantil.</t>
  </si>
  <si>
    <t>Realizar tres (3) estrategias pedagógicas, dirigidas a la población de las comunas priorizadas del municipio de Maicao, donde se eduque sobre las consecuencias negativas del trabajo infantil y se promuevan medidas alternativas de educación y recreación, con el fin de contribuir en la prevención del trabajo infantil.</t>
  </si>
  <si>
    <t>Realizar una (1) estrategia informativa, dirigida a los propietarios de 40 empresas formales e informales del municipio de Maicao, donde se sensibilice sobre el uso racional de las bolsas plásticas, enmarcado en la resolución 2184 de 2019, a través de la educación, con el fin de promover la adecuada disposición de residuos.</t>
  </si>
  <si>
    <t>Realizar una (1) estrategia educativa, dirigida a la población estudiantil de los grados 6-8 de las instituciones educativas priorizadas de la zona urbana del municipio de Maicao, donde se eduque sobre el cambio climático, medidas de adaptación ante los determinantes sociales.</t>
  </si>
  <si>
    <t>Realizar cuatro (4) campañas educativas dirigidas a los estudiantes de primaria de las instituciones educativas rurales priorizadas, enfocadas a promover escenarios saludables, y de trato digno hacia la a la población discapacitada por situación o condición, con la finalidad de reducir la discriminación y el maltrato.</t>
  </si>
  <si>
    <t>Realizar intervención con enfoque integral y diferencial, de personas, familias y comunidades a través del modelo municipal de APS durante el desarrollo de las campañas programadas en los espacios abiertos, en la vigencia 2025.</t>
  </si>
  <si>
    <t>Realizar una (1) campaña educativa con enfoque étnico y diferencial, dirigida a la población de los micro-territorios priorizados del municipio, donde se informe de manera sencilla y atractiva, los métodos de prevención de enfermedades prevalentes de la infancia, con el fin de promover la identificación eficaz y notificación oportuna de los casos detectados.</t>
  </si>
  <si>
    <t>Intervenciòn  año 2025</t>
  </si>
  <si>
    <t>porcentaje</t>
  </si>
  <si>
    <t>Numero</t>
  </si>
  <si>
    <t>cuidado de la salud en el territorio</t>
  </si>
  <si>
    <t>EBS # 4</t>
  </si>
  <si>
    <t>1. Institucional
2. Laboral
3. Educativo
4. Comunitario
5. Familia Hogar</t>
  </si>
  <si>
    <t>1. Primera Infancia
2. Infancia
3. Adolescencia
4. Juventud
5. Adultez
6. Adulto mayor
7. Mujer Lactante-gestante
8. Etnicos: Indigenas, Afros, Negros, Raizales, Rrom
9. Victimas del conflicto Armado
10. Poblacion en situacion de discapacidad
11. Trabajador Informal: Estacionario-Ambulante
12. Comunidad LGTBIQ+</t>
  </si>
  <si>
    <t>CADENA DE VALOR INSUMOS MATERIALES PIC 2025</t>
  </si>
  <si>
    <t>CONCEPTO</t>
  </si>
  <si>
    <t>CONCEPTO COTIZACIONES</t>
  </si>
  <si>
    <t>VALOR COT. #1</t>
  </si>
  <si>
    <t>VALOR COT. #2</t>
  </si>
  <si>
    <t>VALOR COT. #3</t>
  </si>
  <si>
    <t>PROM. TOTAL VALOR</t>
  </si>
  <si>
    <t>ITEM</t>
  </si>
  <si>
    <t>Resmas Tamaño Oficio</t>
  </si>
  <si>
    <t>Resmas Tamaño Carta</t>
  </si>
  <si>
    <t>Lapiz Mongol N°2</t>
  </si>
  <si>
    <t>Sacapuntas Metalico</t>
  </si>
  <si>
    <t>Folder AZ Tamaño Oficio</t>
  </si>
  <si>
    <t>Folder AZ Tamaño Carta</t>
  </si>
  <si>
    <t>Estuche Resaltador 4 Colores</t>
  </si>
  <si>
    <t>Planilleros Plasticos</t>
  </si>
  <si>
    <t>Perforadora 2 Huecos</t>
  </si>
  <si>
    <t>Caja de Grapas x 5000 Unidades</t>
  </si>
  <si>
    <t>Grapadora Mediana Metalica</t>
  </si>
  <si>
    <t>Sacagrapas x 2 Unidades</t>
  </si>
  <si>
    <t>Cuña Radial</t>
  </si>
  <si>
    <t>Perifoneo Informativo</t>
  </si>
  <si>
    <t>Pendon 140x100 Cm</t>
  </si>
  <si>
    <t>Mapa de Maicao 100x150Cm</t>
  </si>
  <si>
    <t>Volante Informativo Full Color x 1000 Unidades</t>
  </si>
  <si>
    <t xml:space="preserve">Rotalofio Full Color </t>
  </si>
  <si>
    <t xml:space="preserve">Carnets PVC </t>
  </si>
  <si>
    <t>PRESUPUESTO DETALLADO PLAN DE INTERVENCIONES COLECTIVAS VIGENCIA 2025
WAYUU TALATSHI IPSI</t>
  </si>
  <si>
    <t>COORDINACIÓN DE ACTIVIDADES EN LA ZONA RURAL Y ZONA URBANA DEL MUNICIPIO DE MAICAO</t>
  </si>
  <si>
    <t>DESCRIPCION DE LA ACTIVIDAD</t>
  </si>
  <si>
    <t>CANTIDAD</t>
  </si>
  <si>
    <t>TIEMPO</t>
  </si>
  <si>
    <t>DURACION (MESES)</t>
  </si>
  <si>
    <t>VALOR UNITARIO</t>
  </si>
  <si>
    <t>VALOR TOTAL</t>
  </si>
  <si>
    <t>TALENTO HUMANO</t>
  </si>
  <si>
    <t>Mes</t>
  </si>
  <si>
    <t>9 meses</t>
  </si>
  <si>
    <t>TOTAL PRESUPUESTO TALENTO HUMANO PIC 2025</t>
  </si>
  <si>
    <t>VEHICULOS PIC 2025</t>
  </si>
  <si>
    <t>Transporte en vehículos cabinado (incluye conductor, combustible, peajes).</t>
  </si>
  <si>
    <t>TOTAL PRESUPUESTO VEHICULOS PIC 2025</t>
  </si>
  <si>
    <t>ACTIVIDADES A DESARROLLAR</t>
  </si>
  <si>
    <t>1. DESARROLLAR ACTIVIDADES DE PROMOCION DE LA SALUD Y GESTION DEL RIESGO DEL EJE ESTRATEGICO DETERMINANTES SOCIALES, DEL PLAN DECENAL DE SALUD 2022 - 2031</t>
  </si>
  <si>
    <t>TOTAL PRESUPUESTO ACTIVIDADES A DESARROLLAR</t>
  </si>
  <si>
    <t>GASTOS ADMINISTRATIVOS</t>
  </si>
  <si>
    <t>GASTOS ADMINISTRATIVOS, FINANCIERO, IMPUESTOS Y BANCARIOS 5%</t>
  </si>
  <si>
    <t>TOTAL GASTOS ADMINISTRATIVOS</t>
  </si>
  <si>
    <t>TOTAL PRESUPUESTO PROYECTO PIC 2025</t>
  </si>
  <si>
    <t>Piezas Comunicativas Impresas</t>
  </si>
  <si>
    <t>Total, Costo Indirectos</t>
  </si>
  <si>
    <t>Volantes Full Color 10x14 Cm, x1000 Uni</t>
  </si>
  <si>
    <t>Rotafolios 30Pg Full Color Propalcote 200Gr</t>
  </si>
  <si>
    <t>Pendon 140x100 Cm, en Banner con Tubos</t>
  </si>
  <si>
    <t>Piezas Comunicativas de Difucion</t>
  </si>
  <si>
    <t>Cuñas Radiales x30 Sg</t>
  </si>
  <si>
    <t xml:space="preserve">EQUIPO BASICO No. </t>
  </si>
  <si>
    <t>Vr UNITARIO</t>
  </si>
  <si>
    <t>Vr. TOTAL</t>
  </si>
  <si>
    <t>SUBTOTAL TALENTO HUMANO</t>
  </si>
  <si>
    <t>SUBTOTAL</t>
  </si>
  <si>
    <t>No. MESES</t>
  </si>
  <si>
    <t>Logistica</t>
  </si>
  <si>
    <t>EJE ESTRATEGICO DEL PLAN DECENAL DE SALUD PUBLICA 2022 - 2031</t>
  </si>
  <si>
    <t>DISTRIBUCION EQUIPOS BASICOS PLAN DE INTERVENCIONES COLECTIVAS VIGENCIA 2025
WAYUU TALATSHI IPSI</t>
  </si>
  <si>
    <t>APOYO TECNICO</t>
  </si>
  <si>
    <t>DESCRIPCION</t>
  </si>
  <si>
    <t>DESARROLLAR ACTIVIDADES DE PROMOCION DE LA SALUD Y GESTION DEL RIESGO DEL EJE ESTRATEGICO DETERMINANTES SOCIALES, DEL PLAN DECENAL DE SALUD 2022 - 2031</t>
  </si>
  <si>
    <t>DESARROLLAR ACTIVIDADES DE PROMOCION DE LA SALUD Y GESTION DEL RIESGO DEL EJE ESTRATEGICO POBLACION ETNICA Y VULNERABLE, DEL PLAN DECENAL DE SALUD PUBLICA 2022 - 2031</t>
  </si>
  <si>
    <t>TALENTO HUMANO
EQUIPO BASICO #4</t>
  </si>
  <si>
    <t>PERFIL PROFESIONAL DEL EBS</t>
  </si>
  <si>
    <t>MESES (9 Meses)</t>
  </si>
  <si>
    <t>PRESUPUESTO OFICIAL ADICION DEL PLAN DE INTERVENCIONES COLECTIVAS - PIC - 2025</t>
  </si>
  <si>
    <t>COMPONENTE No. 1.1 ASIGNACION DEL TALENTO HUMANO POR EQUIPOS BASICOS</t>
  </si>
  <si>
    <t>Apoyo Tecnico</t>
  </si>
  <si>
    <t>Apoyo EBS - WT</t>
  </si>
  <si>
    <t>COMPONENTE No. 2 TRANSPORTE</t>
  </si>
  <si>
    <t>COMPONENTE No. 2 VEHICULOS Y MOVILIZACION</t>
  </si>
  <si>
    <t>COMPONENTE No. 3. PIEZAS COMUNICATIVAS IMPRESAS</t>
  </si>
  <si>
    <t>COMPONENTE No. 3.1 PIEZAS COMUNICATIVAS DE DIFUSION</t>
  </si>
  <si>
    <t>Costos Directos, Gastos Administrativos y Financieros 5%</t>
  </si>
  <si>
    <t>TOTAL PRESUPUESTO OFICIAL DEL PIC 2025 IPSI WAYUU TALASHI</t>
  </si>
  <si>
    <t>Registros y Formatos (Papeleria)</t>
  </si>
  <si>
    <t>Insumos y Elementos (Articulos de Oficina)</t>
  </si>
  <si>
    <t>COMPONENTE No. 5 REGISTROS Y FORMATOS</t>
  </si>
  <si>
    <t>COMPONENTE No. 6 INSUMOS Y ELEMENTOS</t>
  </si>
  <si>
    <t>COMPONENTE No. 7 GASTOS ADMINISTRATIVOS</t>
  </si>
  <si>
    <t xml:space="preserve">COMPONENTE No. 1 TALENTO HUMANO </t>
  </si>
  <si>
    <t>FORMULACION Y EJECUCION DEL PLAN DE SALUD PUBLICA DE INTERVENCIONES COLECTIVAS - PIC - DEL MUNICIPIO DE MAICAO PARA VIGENCIA 2025.
IPSI WAYUU TALASHI</t>
  </si>
  <si>
    <t>Logistica (Ambientaciones locativas, hidratacion, Amplificacion de sonidos, proyecciones)</t>
  </si>
  <si>
    <t>Articulos de Oficina, Insumos, Elementos y Materiales</t>
  </si>
  <si>
    <t>Papeleria, Registros, Formatos, Actas, Asistencias</t>
  </si>
  <si>
    <t>Valor Unitario x Actividad</t>
  </si>
  <si>
    <t>TALENTO HUMANO
EQUIPO BASICO #5</t>
  </si>
  <si>
    <t>DESARROLLAR ACTIVIDADES DE PROMOCION DE LA SALUD Y GESTION DEL RIESGO DEL EJE ESTRATEGICO PERSONAL DE LA SALUD, DEL PLAN DECENAL DE SALUD PUBLICA 2022 - 2031</t>
  </si>
  <si>
    <t>TALENTO HUMANO
EQUIPO BASICO #6</t>
  </si>
  <si>
    <t>EBS # 5</t>
  </si>
  <si>
    <t>EBS # 6</t>
  </si>
  <si>
    <t>Personal de la Salud</t>
  </si>
  <si>
    <t>Crear y desarrollar mecanismos para mejorar la distribución, disponibilidad, formación, educación continua, así como, las condiciones de empleo y trabajo digno y decente del personal de salud.</t>
  </si>
  <si>
    <t>Personal de salud</t>
  </si>
  <si>
    <t xml:space="preserve">Capacidades fortalecidas para la gestión del conocimiento en salud pública  </t>
  </si>
  <si>
    <t>Participar durante el desarrollo del 100% de las jornadas de Ayuda Humanitaria, dirigidas a las comunidades vulnerables del municipio de Maicao, con el fin de contribuir en la reducción de consecuencias negativas en las  poblaciones afectadas por situaciones de Emergencias y Desastres en articulación con ONG, fundaciones, Red de Prestadores, Aseguradores, Comunidad y Transectorial.</t>
  </si>
  <si>
    <t>Desarrollo institucional y sectorial para el ejercicio de la autoridad sanitaria.</t>
  </si>
  <si>
    <t>Realizar diez (10) jornadas informativas, dirigidas a 40 empresas informales del municipio de Maicao, a través de la socialización de la resolución 2184 del 26 de diciembre de 2019 en articulación con el proceso de gestión de la SSMM.</t>
  </si>
  <si>
    <t>Realizar dos (2) verificaciónes de disponibilidad y uso de los elementos de Bioseguridad del personal sanitario del municipio de Maicao, con el fin de evitar el riesgo de propagación de la Infección Respiratoria Aguda (IRA) en ambientes laborales, garantizando los insumos necesarios para el lavado e higienización de manos, mascarillas quirúrgicas, respirador n95,guantes, etc</t>
  </si>
  <si>
    <t>Realizar un (1) diagnóstico para identificar las necesidades relacionadas con el desarrollo de capacidades, aptitudes, valores y conocimiento del talento humano de la SSMM y del Plan de Intervenciones Colectivas PIC.</t>
  </si>
  <si>
    <t>TOTAL VALOR</t>
  </si>
  <si>
    <t>MESES</t>
  </si>
  <si>
    <t>UNIDADES</t>
  </si>
  <si>
    <t>TOTAL, REGISTROS Y FORMATOS</t>
  </si>
  <si>
    <t>Sueter Tipo Polo Bordado (3Uni x Persona)</t>
  </si>
  <si>
    <t>Lapicero Punta Fina Negro 0.7</t>
  </si>
  <si>
    <t>Borrador Nata</t>
  </si>
  <si>
    <t>1.1.02.06.001.02.02</t>
  </si>
  <si>
    <t>SGP-SALUD-SALUD PUBLICA</t>
  </si>
  <si>
    <t>Trabajador Social, Enfermero, Promotor de Salud, Auxiliar de Enfermeria</t>
  </si>
  <si>
    <t>No Aplica</t>
  </si>
  <si>
    <t>Auditorio de Secretaria de Salud Municipal de Maicao, CAS</t>
  </si>
  <si>
    <t>T24. MT05
T26. MT07
T29. MT04</t>
  </si>
  <si>
    <t>T24. MT05. IEI N°1 sede principal limonsito, IEI N°1 sede naranjito 2
T26. MT07. IEI N°3. sede la esperanza
T29. MT04. IEI N°9. yaraliwou.</t>
  </si>
  <si>
    <t>200
250
250</t>
  </si>
  <si>
    <t>800
1000
1000</t>
  </si>
  <si>
    <t>no aplica</t>
  </si>
  <si>
    <t>auditorio de ssmm, CAS</t>
  </si>
  <si>
    <t>comuna 3
comuna 4
comuna 5</t>
  </si>
  <si>
    <t>CM 3. La pista
CM 4. Nueva esperanza
CM 5. comuneros</t>
  </si>
  <si>
    <t>650
200
450</t>
  </si>
  <si>
    <t>3250
1000
2250</t>
  </si>
  <si>
    <t>T24. MT05
Comuna 5</t>
  </si>
  <si>
    <t>T24. MT05. IEI N°1 sede principal limonsito
CM 5. Comuneros</t>
  </si>
  <si>
    <t>200
450</t>
  </si>
  <si>
    <t>800
2250</t>
  </si>
  <si>
    <t>comuna 2
comuna 3
comuna 4</t>
  </si>
  <si>
    <t>200
650
200</t>
  </si>
  <si>
    <t xml:space="preserve">1000
3250
1000
</t>
  </si>
  <si>
    <t>T23. MT02</t>
  </si>
  <si>
    <t>T23. MT02. Wamayao, Kasuto</t>
  </si>
  <si>
    <t>comuna 5</t>
  </si>
  <si>
    <t>CM 5. aprendiendo con amor.
mi mundo de sueños, sembrando huellas de amor.</t>
  </si>
  <si>
    <t>Plaza Simon Bolivar</t>
  </si>
  <si>
    <t>Comuna 5</t>
  </si>
  <si>
    <t>CM 5. Hogar geriatrico barbas de maiz</t>
  </si>
  <si>
    <t>comuna 1
comuna 4 
comuna 5</t>
  </si>
  <si>
    <t>90
200
450</t>
  </si>
  <si>
    <t>450
1250
2250</t>
  </si>
  <si>
    <t>T23. MT02. Wamayao, Kasuto, Kalapashon, Jularen</t>
  </si>
  <si>
    <t>T28. MT03</t>
  </si>
  <si>
    <t>T28. MT03. La Loma</t>
  </si>
  <si>
    <t>comuna 1</t>
  </si>
  <si>
    <t>mercado</t>
  </si>
  <si>
    <t>comuna 1
comuna 3</t>
  </si>
  <si>
    <t>250
650</t>
  </si>
  <si>
    <t>1250
3250</t>
  </si>
  <si>
    <t>centro y mercado</t>
  </si>
  <si>
    <t>comuna 3 
comuna 5</t>
  </si>
  <si>
    <t>CM 3. Perpetuo Socorro, Ljorge eliecer gaitán, San martín, San José Campestre.
CM 5. Erika beatríz, Camilo torres, madre laura campestre, Camilo torres</t>
  </si>
  <si>
    <t>650
450</t>
  </si>
  <si>
    <t>3250
2250</t>
  </si>
  <si>
    <t>T24. MT02.</t>
  </si>
  <si>
    <t>T24. MT02. Kasichi 1 y 2</t>
  </si>
  <si>
    <t>Enfermero, Nutricionista, Promotor de Salud, Auxiliar de Enfermeria</t>
  </si>
  <si>
    <t>Según Corresponda</t>
  </si>
  <si>
    <t>ASOCIACION DE CABILDOS Y/O AUTORIDADES TRADICIONALES DE LA GUAJIRA,  CLINICA DE ESPECIALISTAS GUAJIRA S.A., COMITÉ MUNICIPAL DE LA CRUZ ROJA DE MAICAO,  E.S.E. HOSPITAL SAN JOSE DE MAICAO, ERREJERIA WAYUU I.PS.I., FUNDACIÓN VIDA CON AMOR, SUMUYWAJAT, MEDIGROUP SAS, AYULEEPALA, ANASU AINWA, KOTTUSHI, KARAQUITA, PALAIMA, SOL WAYUU, SUPUULA, ERREJERIA WAYUU, WAYUU TALATSHI, SOCIEDAD MEDICA CLINICA MAICAO, WAYUU ANASHI.</t>
  </si>
  <si>
    <t>Medico General, Enfermero, Promotor de Salud, Auxiliar de Enfermeria</t>
  </si>
  <si>
    <t>MT01
MT05
MT03</t>
  </si>
  <si>
    <t>MT01. Ishain.
MT05. Laguna de Oxidacion, Palasumana.
MT03. Mi Ranchito</t>
  </si>
  <si>
    <t>200
200
200</t>
  </si>
  <si>
    <t>CM 3. 1 de diciembre, los laureles, 7 de agosto, 28 de noviembre, altos de parrantial, la bendición de Dios, san francisco.
CM 5. villa amelia 2, villa urci, la bendición de Dios 2, Jorge arrieta, la victoria, santo domingo.</t>
  </si>
  <si>
    <t>650
450</t>
  </si>
  <si>
    <t>3250
2250</t>
  </si>
  <si>
    <t>T23. MT01, MT03</t>
  </si>
  <si>
    <t>T23. MT01. Sarampiomana
T23. MT03. Yotojoroshi</t>
  </si>
  <si>
    <t>200
200</t>
  </si>
  <si>
    <t>800
800</t>
  </si>
  <si>
    <t>comuna 3 
comuna 5
T23. MT01
T24. MT05</t>
  </si>
  <si>
    <t>650
450
200
200</t>
  </si>
  <si>
    <t>3250
2250
800
800</t>
  </si>
  <si>
    <t>T24. MT05</t>
  </si>
  <si>
    <t>T24. MT05. Laguna de Oxidacion</t>
  </si>
  <si>
    <t>comuna 4</t>
  </si>
  <si>
    <t>Cristo vive, Galán, Fonseca Siosi, Hary Fuminaya, Belén de Judea, La union, Los olivos.</t>
  </si>
  <si>
    <t>La bendición de Dios, Somos Unidos, Brisas de Parrantial, Las torres de la majayura, San Francisco, Mareigua, San Francisco, La Pista.</t>
  </si>
  <si>
    <t>T24. MT05. Ekimana</t>
  </si>
  <si>
    <t>T24. MT05. I.E.I N°01 Sede Jonjoncito</t>
  </si>
  <si>
    <t>comuna 3
comuna 5</t>
  </si>
  <si>
    <t>T23. MT03.</t>
  </si>
  <si>
    <t>T23. MT03. Torinchen, Kalanshira, Apuamana, Botonamana, San Antonio de Wamayao</t>
  </si>
  <si>
    <t>T23. MT03. Torinchen, Kalanshira</t>
  </si>
  <si>
    <t>Concepción, Flor de cañaguate, maximiliano moscote, Majupay.</t>
  </si>
  <si>
    <t>T24. MT06.</t>
  </si>
  <si>
    <t>T24. MT06. Silencio, Wasimal, Manaure</t>
  </si>
  <si>
    <t>T24. MT02</t>
  </si>
  <si>
    <t>T24. MT02. Kasichi 1 y 2, Shalimana</t>
  </si>
  <si>
    <t>T24. MT07.</t>
  </si>
  <si>
    <t>comuna 3
comuna 4</t>
  </si>
  <si>
    <t>CM 4. La pista, las torres de la majayura.
CM 5. Cristo vive, Galán, Fonseca Siosi, Hary Fuminaya, Belén de Judea, La union.</t>
  </si>
  <si>
    <t>1000
2250</t>
  </si>
  <si>
    <t>T23. MT03.
comuna 5</t>
  </si>
  <si>
    <t>T23. MT03. Torinchen, Kalanshira
CM 5. Erika beatríz, Camilo torres</t>
  </si>
  <si>
    <t>T23. MT02. Jularen, Kalapashon</t>
  </si>
  <si>
    <t>según corresponda</t>
  </si>
  <si>
    <t>Auditorio de La Secretaria de Salud Municipal de Maicao, CAS</t>
  </si>
  <si>
    <t>comuna 3 
comuna 4</t>
  </si>
  <si>
    <t>CM3. al tos de parrantial, brisas de parrantial, los laureles, Alto prado, Simon mejía, Villa Mery, Villa del sol, la pista. 
CM4. Cristo vive, La union, belen de judea, hary fuminaya, villa amelia 1, luisa perez, rojas pinilla.
CM5. villa madre laura, altos de villa inés, villa martpin camilo.</t>
  </si>
  <si>
    <t>650
200</t>
  </si>
  <si>
    <t>3250
1200</t>
  </si>
  <si>
    <t>T24. MT05.</t>
  </si>
  <si>
    <t>T24. MT06. I.E.I N°05 Sede Urrain</t>
  </si>
  <si>
    <t>T26. MT03</t>
  </si>
  <si>
    <t>T26. MT03. Kutumana, Palasumana, Yosulu, Iruwala</t>
  </si>
  <si>
    <t>T24. MTT01. MT02. MT06.</t>
  </si>
  <si>
    <t>T24. MT01. I.E.I N°02 Sede la Estrella
T24. MT02. I.E.I N°02 Sede Maicaito, I.E.I N°10 Sede Shalimana
T24. MT06. I.E.I N°05 Sede Urrain</t>
  </si>
  <si>
    <t>200
200
200</t>
  </si>
  <si>
    <t>800
800
800</t>
  </si>
  <si>
    <t>T24. MT04.</t>
  </si>
  <si>
    <t>T24. MT04. Piyushiapana 1, Wayumana</t>
  </si>
  <si>
    <t>villa inés, villa luz, villa amelia 2, comuneros, libertador, santo domingo, jorge arrieta, colombia libre.</t>
  </si>
  <si>
    <t>COMPONENTE No. 4 LOGISTICA</t>
  </si>
  <si>
    <t>Territorios</t>
  </si>
  <si>
    <t>T24</t>
  </si>
  <si>
    <t>T11
T14</t>
  </si>
  <si>
    <t>T09, T10, T11, T13, T14</t>
  </si>
  <si>
    <t>T23</t>
  </si>
  <si>
    <t>T11
T14
T23
T24</t>
  </si>
  <si>
    <t>T13</t>
  </si>
  <si>
    <t>T09</t>
  </si>
  <si>
    <t>T11
T13</t>
  </si>
  <si>
    <t>T23
T14</t>
  </si>
  <si>
    <t>T11 
T13</t>
  </si>
  <si>
    <t>T24
T11</t>
  </si>
  <si>
    <t>T26</t>
  </si>
  <si>
    <t>T14</t>
  </si>
  <si>
    <t>T24
T26
T29</t>
  </si>
  <si>
    <t>T11
T13
T14</t>
  </si>
  <si>
    <t>T24
T14</t>
  </si>
  <si>
    <t>T10
T11
T13</t>
  </si>
  <si>
    <t>T10
T11</t>
  </si>
  <si>
    <t>T09
T13
T14</t>
  </si>
  <si>
    <t>T28</t>
  </si>
  <si>
    <t>T09
T11</t>
  </si>
  <si>
    <t xml:space="preserve">urbano </t>
  </si>
  <si>
    <t>T24. MT02.
Comuna 3</t>
  </si>
  <si>
    <t>comuna 2
comuna 3</t>
  </si>
  <si>
    <t>CM 3. 1 de diciembre
CM 5. villa amelia 2</t>
  </si>
  <si>
    <t>CM 3. 1 de diciembre, los laureles
CM 5. villa amelia 2, villa urci</t>
  </si>
  <si>
    <t>CM3. 28 de Noviembre, Monte Bello
CM5. Villa Amelia, la Victoria
T23. MT01. Patillita, Sabaneta
T24. MT05. Ekimana, Naranjito</t>
  </si>
  <si>
    <t>CM3.  altos de parrantial
CM 5. Jorge arrieta, la victoria</t>
  </si>
  <si>
    <t>CM3. 28 de noviembre
CM 5. villa amelia 2</t>
  </si>
  <si>
    <t>Cristo vive, Galán, Fonseca Siosi.</t>
  </si>
  <si>
    <t>CM 3. la bendición de Dios, san francisco.
CM 5. Santo domingo.</t>
  </si>
  <si>
    <t>T24. MT07. Wamayao, Shoromana</t>
  </si>
  <si>
    <t>T24. MT02. Maicaito, Kasichi 1
CM3. Altos de Parrantial, Brisas de Parrantial</t>
  </si>
  <si>
    <t>Auditorio Hospital San Jose</t>
  </si>
  <si>
    <t>CM2. Nazareth
CM3. Pastrana, La pista
CM4. Nueva esperanza</t>
  </si>
  <si>
    <t xml:space="preserve">CM2. Nazareth
CM3. Pastrana
</t>
  </si>
  <si>
    <t>CM 5. comuneros</t>
  </si>
  <si>
    <t>CM 1. san francisco.
CM 4. Nueva esperanza, Hary fuminaya
CM 5. comuneros, colombia libre, la victoria</t>
  </si>
  <si>
    <t>CM 5. comuneros, colombia libre, la victoria</t>
  </si>
  <si>
    <t>CM 1. centro y mercado.
CM 3. la pista</t>
  </si>
  <si>
    <t>CM 5. Erika beatríz</t>
  </si>
  <si>
    <t>T24. MT05. IEI N°1 sede principal limonsito
T26. MT07. IEI N°3. sede la esperanza y la campana.
T29. MT04. IEI N°9. yaraliwou.</t>
  </si>
  <si>
    <t>800
800
800</t>
  </si>
  <si>
    <t>CUPS - Resolucion 2641 / 2024 (Anexo Tecnico 5)</t>
  </si>
  <si>
    <t xml:space="preserve">DESCRIPCION </t>
  </si>
  <si>
    <t>SUBCODIGO</t>
  </si>
  <si>
    <t>I30204</t>
  </si>
  <si>
    <t>CONFORMACIÓN Y FORTALECIMIENTO DE REDES FAMILIARES, COMUNITARIAS Y SOCIALES PARA LA PROMOCIÓN DE LOS COMPONENTES DE SALUD AMBIENTAL</t>
  </si>
  <si>
    <t>I302041</t>
  </si>
  <si>
    <t>I11101</t>
  </si>
  <si>
    <t>EDUCACIÓN Y COMUNICACIÓN PARA LA PROMOCIÓN DE LA SALUD MENTAL</t>
  </si>
  <si>
    <t>I111012</t>
  </si>
  <si>
    <t>I30304</t>
  </si>
  <si>
    <t>CARACTERIZACIÓN DEL ENTORNO COMUNITARIO</t>
  </si>
  <si>
    <t>I303043</t>
  </si>
  <si>
    <t>I11107</t>
  </si>
  <si>
    <t>EDUCACIÓN Y COMUNICACIÓN PARA LA PREVENCIÓN DE LA CONDUCTA SUICIDA</t>
  </si>
  <si>
    <t>I111074</t>
  </si>
  <si>
    <t>I111015</t>
  </si>
  <si>
    <t>I111016</t>
  </si>
  <si>
    <t>I11412</t>
  </si>
  <si>
    <t>EDUCACIÓN Y COMUNICACIÓN PARA LA ADOPCIÓN DE ESTILOS DE VIDA SALUDABLE</t>
  </si>
  <si>
    <t>I114127</t>
  </si>
  <si>
    <t>I111078</t>
  </si>
  <si>
    <t>I11405</t>
  </si>
  <si>
    <t>EDUCACIÓN Y COMUNICACIÓN EN SALUD PARA LA PROMOCIÓN DE LA SALUD VISUAL</t>
  </si>
  <si>
    <t>I114059</t>
  </si>
  <si>
    <t>I30001</t>
  </si>
  <si>
    <t>CARACTERIZACIÓN DEL INDIVIDUO Y SU ENTORNO FAMILIAR</t>
  </si>
  <si>
    <t>I3000110</t>
  </si>
  <si>
    <t>I11206</t>
  </si>
  <si>
    <t>EDUCACIÓN Y COMUNICACIÓN PARA LA PREVENCIÓN DE ITS, VIH/SIDA Y HEPATITIS</t>
  </si>
  <si>
    <t>I1120611</t>
  </si>
  <si>
    <t>I11203</t>
  </si>
  <si>
    <t>EDUCACIÓN Y COMUNICACIÓN PARA LA PREVENCIÓN DEL EMBARAZO EN LA INFANCIA Y ADOLESCENCIA</t>
  </si>
  <si>
    <t>I1120312</t>
  </si>
  <si>
    <t>I11201</t>
  </si>
  <si>
    <t>EDUCACIÓN Y COMUNICACIÓN EN SALUD SOBRE EL LIBRE EJERCICIO DE LA SEXUALIDAD, LA IDENTIDAD DE GÉNERO Y LA ORIENTACIÓN SEXUAL</t>
  </si>
  <si>
    <t>I1120113</t>
  </si>
  <si>
    <t>I10202</t>
  </si>
  <si>
    <t>INFORMACIÓN EN SALUD PARA LA PREVENCIÓN DE VIOLENCIAS POR RAZONES DE GÉNERO Y VIOLENCIAS SEXUALES</t>
  </si>
  <si>
    <t>I1020214</t>
  </si>
  <si>
    <t>I1120115</t>
  </si>
  <si>
    <t>I1110116</t>
  </si>
  <si>
    <t>I30201</t>
  </si>
  <si>
    <t>MAPEO Y CARACTERIZACIÓN DE ACTORES</t>
  </si>
  <si>
    <t>I3020117</t>
  </si>
  <si>
    <t>I11110</t>
  </si>
  <si>
    <t>EDUCACIÓN Y COMUNICACIÓN PARA LA PREVENCIÓN DE PROBLEMAS Y TRASTORNOS MENTALES (INCLUIDA LA FORMACIÓN DE PRIMEROS RESPONDIENTES Y PREPARACIÓN PARA EL CUIDADO DE LA SALUD MENTAL EN LA COTIDIANIDAD Y EN SITUACIONES DE EMERGENCIAS SOCIALES Y SANITARIAS)</t>
  </si>
  <si>
    <t>I1111018</t>
  </si>
  <si>
    <t>I10301</t>
  </si>
  <si>
    <t>INFORMACIÓN EN SALUD EN PREVENCIÓN DE ENFERMEDADES INFECCIOSAS TRANSMITIDAS POR VÍA AÉREA Y CONTACTO DIRECTO</t>
  </si>
  <si>
    <t>I1030119</t>
  </si>
  <si>
    <t>I30202</t>
  </si>
  <si>
    <t>INTERVENCIONES PARA EL DESARROLLO DE CAPACIDADES A REDES Y ORGANIZACIONES COMUNITARIAS</t>
  </si>
  <si>
    <t>I3020220</t>
  </si>
  <si>
    <t>I30203</t>
  </si>
  <si>
    <t>ESPACIOS SECTORIALES E INTERSECTORIALES PARA TOMA DE DECISIONES EN POLÍTICAS PÚBLICAS</t>
  </si>
  <si>
    <t>I3020321</t>
  </si>
  <si>
    <t>I30004</t>
  </si>
  <si>
    <t>VINCULACIÓN A OTRAS REDES DE APOYO</t>
  </si>
  <si>
    <t>I3000422</t>
  </si>
  <si>
    <t>I1030123</t>
  </si>
  <si>
    <t>I1120624</t>
  </si>
  <si>
    <t>I1120625</t>
  </si>
  <si>
    <t>I3000126</t>
  </si>
  <si>
    <t>I3000127</t>
  </si>
  <si>
    <t>I30006</t>
  </si>
  <si>
    <t>ACOMPAÑAMIENTO A LA FAMILIA PARA EL MANEJO EN LOS DIFERENTES ENTORNOS</t>
  </si>
  <si>
    <t>I3000628</t>
  </si>
  <si>
    <t>I11006</t>
  </si>
  <si>
    <t>EDUCACIÓN Y COMUNICACIÓN PARA EL SANEAMIENTO BÁSICO</t>
  </si>
  <si>
    <t>I1100629</t>
  </si>
  <si>
    <t>I3020130</t>
  </si>
  <si>
    <t>I11402</t>
  </si>
  <si>
    <t>EDUCACIÓN Y COMUNICACIÓN EN SALUD PARA PROMOVER LA CESACIÓN DEL CONSUMO DE TABACO, DERIVADOS Y SUCEDÁNEOS</t>
  </si>
  <si>
    <t>I1140231</t>
  </si>
  <si>
    <t>I3020132</t>
  </si>
  <si>
    <t>I1111033</t>
  </si>
  <si>
    <t>I30301</t>
  </si>
  <si>
    <t>CARACTERIZACIÓN DEL ENTORNO LABORAL CON ÉNFASIS EN LA INFORMALIDAD</t>
  </si>
  <si>
    <t>I3030134</t>
  </si>
  <si>
    <t>I3020135</t>
  </si>
  <si>
    <t>I3020136</t>
  </si>
  <si>
    <t>I3020137</t>
  </si>
  <si>
    <t>I11304</t>
  </si>
  <si>
    <t>EDUCACIÓN Y COMUNICACIÓN PARA EL FORTALECIMIENTO DE FACTORES PROTECTORES HACIA EL CONTROL DE ENFERMEDADES TRANSMITIDAS POR VECTORES</t>
  </si>
  <si>
    <t>I1130438</t>
  </si>
  <si>
    <t>I11305</t>
  </si>
  <si>
    <t>EDUCACIÓN Y COMUNICACIÓN PARA EL FORTALECIMIENTO DE FACTORES PROTECTORES HACIA EL CONTROL DE ZOONOSIS</t>
  </si>
  <si>
    <t>I1130539</t>
  </si>
  <si>
    <t>I11410</t>
  </si>
  <si>
    <t>EDUCACIÓN Y COMUNICACIÓN PARA EL FORTALECIMIENTO DE FACTORES PROTECTORES HACIA EL CONTROL DE ENFERMEDADES RESPIRATORIAS CRÓNICAS</t>
  </si>
  <si>
    <t>I1141040</t>
  </si>
  <si>
    <t>I10009</t>
  </si>
  <si>
    <t>INFORMACIÓN PARA LA SALUD DE PREVENCIÓN DE LA RADIACIÓN ULTRAVIOLETA (RUV)</t>
  </si>
  <si>
    <t>I1000941</t>
  </si>
  <si>
    <t>I3020242</t>
  </si>
  <si>
    <t>I11106</t>
  </si>
  <si>
    <t>EDUCACIÓN Y COMUNICACIÓN EN SALUD PARA LA REDUCCIÓN DEL AUTOESTIGMA, ESTIGMA SOCIAL Y DISCRIMINACIÓN</t>
  </si>
  <si>
    <t>I1110643</t>
  </si>
  <si>
    <t>I10204</t>
  </si>
  <si>
    <t>INFORMACIÓN EN SALUD PARA EL USO EFECTIVO DE MÉTODOS ANTICONCEPTIVOS MODERNOS Y ACCESO A LA ANTICONCEPCIÓN</t>
  </si>
  <si>
    <t>I1020444</t>
  </si>
  <si>
    <t>I3020345</t>
  </si>
  <si>
    <t>I10607</t>
  </si>
  <si>
    <t>INFORMACIÓN EN SALUD EN PRÁCTICAS PARA EL CUIDADO DE LA SALUD</t>
  </si>
  <si>
    <t>I1060746</t>
  </si>
  <si>
    <t>I3000647</t>
  </si>
  <si>
    <t>I11103</t>
  </si>
  <si>
    <t>EDUCACIÓN Y COMUNICACIÓN EN SALUD PARA LA PREVENCIÓN DE LA VIOLENCIA</t>
  </si>
  <si>
    <t>I1110348</t>
  </si>
  <si>
    <t>I10603</t>
  </si>
  <si>
    <t>INFORMACIÓN EN SALUD SOBRE MECANISMOS DE PARTICIPACIÓN CIUDADANA</t>
  </si>
  <si>
    <t>I1060349</t>
  </si>
  <si>
    <t>I1110350</t>
  </si>
  <si>
    <t>I10001</t>
  </si>
  <si>
    <t>INFORMACIÓN EN SALUD PARA EL CUIDADO DEL AMBIENTE</t>
  </si>
  <si>
    <t>I1000151</t>
  </si>
  <si>
    <t>I3020452</t>
  </si>
  <si>
    <t>I3020253</t>
  </si>
  <si>
    <t>I3020254</t>
  </si>
  <si>
    <t>I11403</t>
  </si>
  <si>
    <t>EDUCACIÓN Y COMUNICACIÓN EN SALUD PARA LA ALIMENTACIÓN SALUDABLE</t>
  </si>
  <si>
    <t>I1140355</t>
  </si>
  <si>
    <t>I30205</t>
  </si>
  <si>
    <t>CONFORMACIÓN Y FORTALECIMIENTO DE REDES FAMILIARES, COMUNITARIAS Y SOCIALES PARA PROMOCIÓN DE LA LACTANCIA MATERNA Y ALIMENTACIÓN COMPLEMENTARIA</t>
  </si>
  <si>
    <t>I3020556</t>
  </si>
  <si>
    <t>I1060757</t>
  </si>
  <si>
    <t>I1120358</t>
  </si>
  <si>
    <t>I1141259</t>
  </si>
  <si>
    <t>I11202</t>
  </si>
  <si>
    <t>EDUCACIÓN Y COMUNICACIÓN PARA LA PREVENCIÓN DE VIOLENCIAS DE GÉNERO Y VIOLENCIAS SEXUALES</t>
  </si>
  <si>
    <t>I1120260</t>
  </si>
  <si>
    <t>I1120261</t>
  </si>
  <si>
    <t>I1110362</t>
  </si>
  <si>
    <t>I1030163</t>
  </si>
  <si>
    <t>I3030164</t>
  </si>
  <si>
    <t>I3000665</t>
  </si>
  <si>
    <t>I3000666</t>
  </si>
  <si>
    <t>I1000167</t>
  </si>
  <si>
    <t>I11001</t>
  </si>
  <si>
    <t>EDUCACIÓN Y COMUNICACIÓN PARA EL CUIDADO DEL AMBIENTE</t>
  </si>
  <si>
    <t>I1100168</t>
  </si>
  <si>
    <t>I1110669</t>
  </si>
  <si>
    <t>I10011</t>
  </si>
  <si>
    <t>INFORMACIÓN PARA LA SALUD DIRIGIDA A USUARIOS Y CONSUMIDORES PARA LA SEGURIDAD SANITARIA</t>
  </si>
  <si>
    <t>I1001170</t>
  </si>
  <si>
    <t>I11303</t>
  </si>
  <si>
    <t>EDUCACIÓN Y COMUNICACIÓN EN PREVENCIÓN DE ENFERMEDADES INFECCIOSAS DESATENDIDAS</t>
  </si>
  <si>
    <t>I1130371</t>
  </si>
  <si>
    <t>I10001174</t>
  </si>
  <si>
    <t>I11001175</t>
  </si>
  <si>
    <t>I10309</t>
  </si>
  <si>
    <t>INFORMACIÓN PARA LA SALUD DIRIGIDO A LA PROMOCIÓN DE LA HIGIENE DE MANOS</t>
  </si>
  <si>
    <t>I10309176</t>
  </si>
  <si>
    <t>I30303</t>
  </si>
  <si>
    <t>CARACTERIZACIÓN DEL ENTORNO EDUCATIVO</t>
  </si>
  <si>
    <t>I30303177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</si>
</sst>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00\ &quot;€&quot;_-;\-* #,##0.00\ &quot;€&quot;_-;_-* &quot;-&quot;??\ &quot;€&quot;_-;_-@_-"/>
    <numFmt numFmtId="165" formatCode="_-&quot;$&quot;\ * #,##0_-;\-&quot;$&quot;\ * #,##0_-;_-&quot;$&quot;\ * &quot;-&quot;??_-;_-@_-"/>
    <numFmt numFmtId="166" formatCode="_-&quot;$&quot;\ * #,##0.0_-;\-&quot;$&quot;\ * #,##0.0_-;_-&quot;$&quot;\ * &quot;-&quot;??_-;_-@_-"/>
  </numFmts>
  <fonts count="12">
    <font>
      <sz val="11"/>
      <color theme="1"/>
      <name val="Calibri"/>
      <family val="2"/>
      <scheme val="minor"/>
    </font>
    <font>
      <sz val="11"/>
      <color theme="1"/>
      <name val="Calibri"/>
      <family val="2"/>
      <scheme val="minor"/>
    </font>
    <font>
      <b/>
      <sz val="11"/>
      <color theme="1"/>
      <name val="Aptos"/>
      <family val="2"/>
    </font>
    <font>
      <sz val="11"/>
      <color theme="1"/>
      <name val="Aptos"/>
      <family val="2"/>
    </font>
    <font>
      <b/>
      <sz val="11"/>
      <name val="Aptos"/>
      <family val="2"/>
    </font>
    <font>
      <sz val="11"/>
      <name val="Aptos"/>
      <family val="2"/>
    </font>
    <font>
      <sz val="8"/>
      <name val="Calibri"/>
      <family val="2"/>
      <scheme val="minor"/>
    </font>
    <font>
      <b/>
      <sz val="11"/>
      <color theme="1"/>
      <name val="Calibri"/>
      <family val="2"/>
      <scheme val="minor"/>
    </font>
    <font>
      <b/>
      <sz val="12"/>
      <color theme="1"/>
      <name val="Aptos"/>
      <family val="2"/>
    </font>
    <font>
      <b/>
      <sz val="10"/>
      <color theme="1"/>
      <name val="Aptos"/>
      <family val="2"/>
    </font>
    <font>
      <sz val="10"/>
      <color theme="1"/>
      <name val="Aptos"/>
      <family val="2"/>
    </font>
    <font>
      <sz val="10"/>
      <color rgb="FF000000"/>
      <name val="Aptos"/>
      <family val="2"/>
    </font>
  </fonts>
  <fills count="4">
    <fill>
      <patternFill patternType="none"/>
    </fill>
    <fill>
      <patternFill patternType="gray125"/>
    </fill>
    <fill>
      <patternFill patternType="solid">
        <fgColor theme="2" tint="-0.249977111117893"/>
        <bgColor indexed="64"/>
      </patternFill>
    </fill>
    <fill>
      <patternFill patternType="solid">
        <fgColor theme="9" tint="0.59999389629810485"/>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right style="thin">
        <color auto="1"/>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auto="1"/>
      </top>
      <bottom style="medium">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202">
    <xf numFmtId="0" fontId="0" fillId="0" borderId="0" xfId="0"/>
    <xf numFmtId="0" fontId="3" fillId="0" borderId="0" xfId="0" applyFont="1"/>
    <xf numFmtId="0" fontId="3" fillId="0" borderId="1" xfId="0" applyFont="1" applyBorder="1" applyAlignment="1">
      <alignment vertical="top" wrapText="1"/>
    </xf>
    <xf numFmtId="0" fontId="3" fillId="0" borderId="1" xfId="0" applyFont="1" applyBorder="1"/>
    <xf numFmtId="0" fontId="3" fillId="0" borderId="1" xfId="0" applyFont="1" applyBorder="1" applyAlignment="1">
      <alignment vertical="center" wrapText="1"/>
    </xf>
    <xf numFmtId="0" fontId="3" fillId="0" borderId="1" xfId="0" applyFont="1" applyBorder="1" applyAlignment="1">
      <alignment vertical="center"/>
    </xf>
    <xf numFmtId="1" fontId="3" fillId="0" borderId="1" xfId="0" applyNumberFormat="1" applyFont="1" applyBorder="1"/>
    <xf numFmtId="0" fontId="3" fillId="0" borderId="1" xfId="0" applyFont="1" applyBorder="1" applyAlignment="1">
      <alignment horizontal="left" vertical="center"/>
    </xf>
    <xf numFmtId="164" fontId="3" fillId="0" borderId="1" xfId="0" applyNumberFormat="1" applyFont="1" applyBorder="1" applyAlignment="1">
      <alignment horizontal="right" vertical="top"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4" fillId="2" borderId="1" xfId="0" applyFont="1" applyFill="1" applyBorder="1" applyAlignment="1">
      <alignment horizontal="center" vertical="center" wrapText="1"/>
    </xf>
    <xf numFmtId="1" fontId="3" fillId="0" borderId="1" xfId="0" applyNumberFormat="1" applyFont="1" applyBorder="1" applyAlignment="1">
      <alignment horizontal="center" vertical="center"/>
    </xf>
    <xf numFmtId="44" fontId="3" fillId="0" borderId="1" xfId="2" applyFont="1" applyFill="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wrapText="1"/>
    </xf>
    <xf numFmtId="0" fontId="3" fillId="0" borderId="0" xfId="0" applyFont="1" applyAlignment="1">
      <alignment vertical="top"/>
    </xf>
    <xf numFmtId="1" fontId="3"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xf>
    <xf numFmtId="1" fontId="3" fillId="0" borderId="0" xfId="0" applyNumberFormat="1" applyFont="1"/>
    <xf numFmtId="0" fontId="3" fillId="0" borderId="0" xfId="0" applyFont="1" applyAlignment="1">
      <alignment horizontal="left" vertical="center"/>
    </xf>
    <xf numFmtId="0" fontId="3" fillId="0" borderId="0" xfId="0" applyFont="1" applyAlignment="1">
      <alignment vertical="top" wrapText="1"/>
    </xf>
    <xf numFmtId="0" fontId="3" fillId="0" borderId="0" xfId="0" applyFont="1" applyAlignment="1">
      <alignment horizontal="center" vertical="center"/>
    </xf>
    <xf numFmtId="0" fontId="3" fillId="0" borderId="0" xfId="0" applyFont="1" applyAlignment="1">
      <alignment horizontal="left" vertical="center" wrapText="1"/>
    </xf>
    <xf numFmtId="164" fontId="3" fillId="0" borderId="0" xfId="0" applyNumberFormat="1" applyFont="1" applyAlignment="1">
      <alignment horizontal="right" vertical="top" wrapText="1"/>
    </xf>
    <xf numFmtId="0" fontId="3" fillId="0" borderId="0" xfId="0" applyFont="1" applyAlignment="1">
      <alignment wrapText="1"/>
    </xf>
    <xf numFmtId="0" fontId="3" fillId="0" borderId="0" xfId="0" applyFont="1" applyAlignment="1">
      <alignment horizontal="left" vertical="top" wrapText="1"/>
    </xf>
    <xf numFmtId="44" fontId="3" fillId="0" borderId="1" xfId="2" applyFont="1" applyBorder="1" applyAlignment="1">
      <alignment horizontal="center" vertical="center" wrapText="1"/>
    </xf>
    <xf numFmtId="0" fontId="0" fillId="0" borderId="0" xfId="0" applyAlignment="1">
      <alignment vertical="center"/>
    </xf>
    <xf numFmtId="0" fontId="2" fillId="0" borderId="2" xfId="0" applyFont="1" applyBorder="1" applyAlignment="1">
      <alignment horizontal="center"/>
    </xf>
    <xf numFmtId="0" fontId="2" fillId="0" borderId="2" xfId="0" applyFont="1" applyBorder="1" applyAlignment="1">
      <alignment horizontal="center" vertical="center" wrapText="1"/>
    </xf>
    <xf numFmtId="0" fontId="3" fillId="0" borderId="2" xfId="0" applyFont="1" applyBorder="1" applyAlignment="1">
      <alignment horizontal="center"/>
    </xf>
    <xf numFmtId="44" fontId="3" fillId="0" borderId="2" xfId="2" applyFont="1" applyBorder="1"/>
    <xf numFmtId="44" fontId="3" fillId="0" borderId="2" xfId="0" applyNumberFormat="1" applyFont="1" applyBorder="1"/>
    <xf numFmtId="44" fontId="2" fillId="0" borderId="2" xfId="0" applyNumberFormat="1" applyFont="1" applyBorder="1"/>
    <xf numFmtId="0" fontId="3" fillId="0" borderId="2" xfId="0" applyFont="1" applyBorder="1" applyAlignment="1">
      <alignment horizontal="center" vertical="center"/>
    </xf>
    <xf numFmtId="44" fontId="3" fillId="0" borderId="2" xfId="2" applyFont="1" applyFill="1" applyBorder="1" applyAlignment="1">
      <alignment horizontal="center" vertical="center"/>
    </xf>
    <xf numFmtId="44" fontId="2" fillId="0" borderId="2" xfId="0" applyNumberFormat="1" applyFont="1" applyBorder="1" applyAlignment="1">
      <alignment horizontal="center" vertical="center"/>
    </xf>
    <xf numFmtId="44" fontId="0" fillId="0" borderId="0" xfId="0" applyNumberFormat="1"/>
    <xf numFmtId="44" fontId="3" fillId="0" borderId="2" xfId="0" applyNumberFormat="1" applyFont="1" applyBorder="1" applyAlignment="1">
      <alignment horizontal="center" vertical="center"/>
    </xf>
    <xf numFmtId="44" fontId="3" fillId="0" borderId="2" xfId="2" applyFont="1" applyBorder="1" applyAlignment="1">
      <alignment horizontal="center" vertical="center"/>
    </xf>
    <xf numFmtId="44" fontId="0" fillId="0" borderId="0" xfId="2" applyFont="1"/>
    <xf numFmtId="44" fontId="2" fillId="0" borderId="2" xfId="2" applyFont="1" applyBorder="1" applyAlignment="1">
      <alignment horizontal="center" vertical="center"/>
    </xf>
    <xf numFmtId="44" fontId="2" fillId="0" borderId="2" xfId="0" applyNumberFormat="1" applyFont="1" applyBorder="1" applyAlignment="1">
      <alignment horizontal="center"/>
    </xf>
    <xf numFmtId="165" fontId="0" fillId="0" borderId="0" xfId="0" applyNumberFormat="1"/>
    <xf numFmtId="44" fontId="8" fillId="0" borderId="0" xfId="2" applyFont="1" applyFill="1" applyBorder="1"/>
    <xf numFmtId="44" fontId="0" fillId="0" borderId="0" xfId="2" applyFont="1" applyBorder="1"/>
    <xf numFmtId="0" fontId="10" fillId="0" borderId="0" xfId="0" applyFont="1"/>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xf numFmtId="43" fontId="9" fillId="0" borderId="1" xfId="1" applyFont="1" applyFill="1" applyBorder="1" applyAlignment="1">
      <alignment horizontal="center" vertical="center"/>
    </xf>
    <xf numFmtId="0" fontId="9" fillId="0" borderId="1" xfId="0" applyFont="1" applyBorder="1" applyAlignment="1">
      <alignment horizontal="center" vertical="center"/>
    </xf>
    <xf numFmtId="0" fontId="9" fillId="0" borderId="0" xfId="0" applyFont="1" applyAlignment="1">
      <alignment horizontal="center" vertical="center"/>
    </xf>
    <xf numFmtId="0" fontId="10" fillId="0" borderId="3" xfId="0" applyFont="1" applyBorder="1" applyAlignment="1">
      <alignment horizontal="center" vertical="center" wrapText="1"/>
    </xf>
    <xf numFmtId="0" fontId="11" fillId="0" borderId="1" xfId="0" applyFont="1" applyBorder="1" applyAlignment="1">
      <alignment vertical="center" wrapText="1"/>
    </xf>
    <xf numFmtId="0" fontId="10" fillId="0" borderId="1" xfId="0" applyFont="1" applyBorder="1" applyAlignment="1">
      <alignment horizontal="center" vertical="center"/>
    </xf>
    <xf numFmtId="4" fontId="10" fillId="0" borderId="1" xfId="1" applyNumberFormat="1" applyFont="1" applyFill="1" applyBorder="1" applyAlignment="1">
      <alignment horizontal="center" vertical="center"/>
    </xf>
    <xf numFmtId="4" fontId="10" fillId="0" borderId="1" xfId="0" applyNumberFormat="1" applyFont="1" applyBorder="1" applyAlignment="1">
      <alignment horizontal="center" vertical="center"/>
    </xf>
    <xf numFmtId="0" fontId="10" fillId="0" borderId="0" xfId="0" applyFont="1" applyAlignment="1">
      <alignment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0" fillId="0" borderId="1" xfId="0" applyFont="1" applyBorder="1" applyAlignment="1">
      <alignment horizontal="center" vertical="center" wrapText="1"/>
    </xf>
    <xf numFmtId="44" fontId="10" fillId="0" borderId="0" xfId="2" applyFont="1"/>
    <xf numFmtId="0" fontId="10" fillId="0" borderId="0" xfId="0" applyFont="1" applyAlignment="1">
      <alignment horizontal="center" wrapText="1"/>
    </xf>
    <xf numFmtId="43" fontId="10" fillId="0" borderId="0" xfId="1" applyFont="1" applyFill="1" applyAlignment="1">
      <alignment horizontal="center" vertical="center"/>
    </xf>
    <xf numFmtId="43" fontId="10" fillId="0" borderId="0" xfId="0" applyNumberFormat="1" applyFont="1" applyAlignment="1">
      <alignment horizontal="center" vertical="center"/>
    </xf>
    <xf numFmtId="43" fontId="10" fillId="0" borderId="0" xfId="0" applyNumberFormat="1" applyFont="1"/>
    <xf numFmtId="43" fontId="9" fillId="0" borderId="2" xfId="1" applyFont="1" applyFill="1" applyBorder="1" applyAlignment="1">
      <alignment horizontal="center" vertical="center" wrapText="1"/>
    </xf>
    <xf numFmtId="0" fontId="2" fillId="0" borderId="2" xfId="0" applyFont="1" applyBorder="1" applyAlignment="1">
      <alignment horizontal="center" vertical="center"/>
    </xf>
    <xf numFmtId="0" fontId="7" fillId="0" borderId="2" xfId="0" applyFont="1" applyBorder="1" applyAlignment="1">
      <alignment horizontal="center" vertical="center" wrapText="1"/>
    </xf>
    <xf numFmtId="0" fontId="11" fillId="0" borderId="3" xfId="0" applyFont="1" applyBorder="1" applyAlignment="1">
      <alignment vertical="center" wrapText="1"/>
    </xf>
    <xf numFmtId="0" fontId="10" fillId="0" borderId="3" xfId="0" applyFont="1" applyBorder="1" applyAlignment="1">
      <alignment horizontal="center" vertical="center"/>
    </xf>
    <xf numFmtId="4" fontId="10" fillId="0" borderId="3" xfId="1" applyNumberFormat="1" applyFont="1" applyFill="1" applyBorder="1" applyAlignment="1">
      <alignment horizontal="center" vertical="center"/>
    </xf>
    <xf numFmtId="4" fontId="10" fillId="0" borderId="3" xfId="0" applyNumberFormat="1" applyFont="1" applyBorder="1" applyAlignment="1">
      <alignment horizontal="center" vertical="center"/>
    </xf>
    <xf numFmtId="0" fontId="10" fillId="0" borderId="8"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 xfId="1" applyNumberFormat="1" applyFont="1" applyFill="1" applyBorder="1" applyAlignment="1">
      <alignment horizontal="center" vertical="center" wrapText="1"/>
    </xf>
    <xf numFmtId="44" fontId="10" fillId="0" borderId="3" xfId="2" applyFont="1" applyFill="1" applyBorder="1" applyAlignment="1">
      <alignment vertical="center" wrapText="1"/>
    </xf>
    <xf numFmtId="44" fontId="9" fillId="0" borderId="22" xfId="2" applyFont="1" applyFill="1" applyBorder="1" applyAlignment="1">
      <alignment vertical="center" wrapText="1"/>
    </xf>
    <xf numFmtId="44" fontId="3" fillId="0" borderId="1" xfId="2" applyFont="1" applyBorder="1" applyAlignment="1">
      <alignment vertical="center" wrapText="1"/>
    </xf>
    <xf numFmtId="44" fontId="3" fillId="0" borderId="0" xfId="0" applyNumberFormat="1" applyFont="1" applyAlignment="1">
      <alignment vertical="top" wrapText="1"/>
    </xf>
    <xf numFmtId="44" fontId="3" fillId="0" borderId="1" xfId="2" applyFont="1" applyBorder="1" applyAlignment="1">
      <alignment horizontal="right" vertical="center" wrapText="1"/>
    </xf>
    <xf numFmtId="44" fontId="3" fillId="0" borderId="1" xfId="2"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3" fillId="0" borderId="27" xfId="0" applyFont="1" applyBorder="1" applyAlignment="1">
      <alignment horizontal="center" vertical="center"/>
    </xf>
    <xf numFmtId="44" fontId="3" fillId="0" borderId="28" xfId="2" applyFont="1" applyBorder="1" applyAlignment="1">
      <alignment horizontal="center" vertical="center"/>
    </xf>
    <xf numFmtId="0" fontId="3" fillId="0" borderId="29" xfId="0" applyFont="1" applyBorder="1" applyAlignment="1">
      <alignment horizontal="center" vertical="center"/>
    </xf>
    <xf numFmtId="44" fontId="3" fillId="0" borderId="30" xfId="2" applyFont="1" applyBorder="1" applyAlignment="1">
      <alignment horizontal="center" vertical="center"/>
    </xf>
    <xf numFmtId="44" fontId="3" fillId="0" borderId="31" xfId="2" applyFont="1" applyBorder="1" applyAlignment="1">
      <alignment horizontal="center" vertical="center"/>
    </xf>
    <xf numFmtId="44" fontId="3" fillId="0" borderId="1" xfId="0" applyNumberFormat="1" applyFont="1" applyBorder="1" applyAlignment="1">
      <alignment horizontal="center" vertical="center" wrapText="1"/>
    </xf>
    <xf numFmtId="166" fontId="8" fillId="3" borderId="2" xfId="2" applyNumberFormat="1" applyFont="1" applyFill="1" applyBorder="1"/>
    <xf numFmtId="0" fontId="3" fillId="0" borderId="1" xfId="0" applyFont="1" applyBorder="1" applyAlignment="1">
      <alignment horizontal="left" vertical="top" wrapText="1"/>
    </xf>
    <xf numFmtId="0" fontId="2" fillId="0" borderId="1" xfId="0" applyFont="1" applyBorder="1" applyAlignment="1">
      <alignment horizontal="center" vertical="center"/>
    </xf>
    <xf numFmtId="0" fontId="0" fillId="0" borderId="0" xfId="0" applyAlignment="1">
      <alignment horizontal="center"/>
    </xf>
    <xf numFmtId="44" fontId="3" fillId="0" borderId="1" xfId="0" applyNumberFormat="1" applyFont="1" applyBorder="1" applyAlignment="1">
      <alignment horizontal="center" vertical="center"/>
    </xf>
    <xf numFmtId="44" fontId="3" fillId="0" borderId="1" xfId="0" applyNumberFormat="1" applyFont="1" applyBorder="1" applyAlignment="1">
      <alignment vertical="center"/>
    </xf>
    <xf numFmtId="0" fontId="3" fillId="0" borderId="1" xfId="0" applyFont="1" applyBorder="1" applyAlignment="1">
      <alignment horizontal="center"/>
    </xf>
    <xf numFmtId="44" fontId="3" fillId="0" borderId="1" xfId="0" applyNumberFormat="1" applyFont="1" applyBorder="1"/>
    <xf numFmtId="44" fontId="2" fillId="0" borderId="1" xfId="0" applyNumberFormat="1" applyFont="1" applyBorder="1"/>
    <xf numFmtId="44" fontId="3" fillId="0" borderId="1" xfId="2" applyFont="1" applyBorder="1" applyAlignment="1">
      <alignment horizontal="left" vertical="center"/>
    </xf>
    <xf numFmtId="0" fontId="3" fillId="0" borderId="1" xfId="2" applyNumberFormat="1" applyFont="1" applyBorder="1" applyAlignment="1">
      <alignment horizontal="left" vertical="center"/>
    </xf>
    <xf numFmtId="0" fontId="0" fillId="0" borderId="0" xfId="2" applyNumberFormat="1" applyFont="1"/>
    <xf numFmtId="10" fontId="0" fillId="0" borderId="0" xfId="0" applyNumberFormat="1"/>
    <xf numFmtId="0" fontId="3" fillId="0" borderId="1" xfId="2" applyNumberFormat="1"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164" fontId="4" fillId="2" borderId="3" xfId="0" applyNumberFormat="1" applyFont="1" applyFill="1" applyBorder="1" applyAlignment="1">
      <alignment horizontal="center" vertical="center" wrapText="1"/>
    </xf>
    <xf numFmtId="164" fontId="4" fillId="2" borderId="5"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1" fontId="4" fillId="2" borderId="4" xfId="0" applyNumberFormat="1" applyFont="1" applyFill="1" applyBorder="1" applyAlignment="1">
      <alignment horizontal="center" vertical="center" wrapText="1"/>
    </xf>
    <xf numFmtId="1" fontId="4" fillId="2" borderId="5" xfId="0" applyNumberFormat="1" applyFont="1" applyFill="1" applyBorder="1" applyAlignment="1">
      <alignment horizontal="center" vertical="center" wrapText="1"/>
    </xf>
    <xf numFmtId="0" fontId="2" fillId="0" borderId="1" xfId="0" applyFont="1" applyBorder="1" applyAlignment="1">
      <alignment horizontal="center" vertical="top"/>
    </xf>
    <xf numFmtId="0" fontId="3" fillId="0" borderId="1" xfId="0" applyFont="1" applyBorder="1" applyAlignment="1">
      <alignment horizontal="center" vertical="top" wrapText="1"/>
    </xf>
    <xf numFmtId="0" fontId="4" fillId="2" borderId="7" xfId="0" applyFont="1" applyFill="1" applyBorder="1" applyAlignment="1">
      <alignment horizontal="center" vertical="center" wrapText="1"/>
    </xf>
    <xf numFmtId="0" fontId="10" fillId="0" borderId="9" xfId="0" applyFont="1" applyBorder="1" applyAlignment="1">
      <alignment horizontal="center" vertical="center" wrapText="1"/>
    </xf>
    <xf numFmtId="0" fontId="10" fillId="0" borderId="23" xfId="0" applyFont="1" applyBorder="1" applyAlignment="1">
      <alignment horizontal="center" vertical="center" wrapText="1"/>
    </xf>
    <xf numFmtId="44" fontId="9" fillId="0" borderId="13" xfId="2" applyFont="1" applyFill="1" applyBorder="1" applyAlignment="1">
      <alignment horizontal="center" vertical="center" wrapText="1"/>
    </xf>
    <xf numFmtId="44" fontId="9" fillId="0" borderId="14" xfId="2" applyFont="1" applyFill="1" applyBorder="1" applyAlignment="1">
      <alignment horizontal="center" vertical="center" wrapText="1"/>
    </xf>
    <xf numFmtId="44" fontId="9" fillId="0" borderId="15" xfId="2" applyFont="1" applyFill="1" applyBorder="1" applyAlignment="1">
      <alignment horizontal="center" vertical="center" wrapText="1"/>
    </xf>
    <xf numFmtId="0" fontId="9" fillId="0" borderId="6" xfId="0" applyFont="1" applyBorder="1" applyAlignment="1">
      <alignment horizontal="center" wrapText="1"/>
    </xf>
    <xf numFmtId="0" fontId="9" fillId="0" borderId="7" xfId="0" applyFont="1" applyBorder="1" applyAlignment="1">
      <alignment horizontal="center" wrapText="1"/>
    </xf>
    <xf numFmtId="0" fontId="9" fillId="0" borderId="7" xfId="0" applyFont="1" applyBorder="1" applyAlignment="1">
      <alignment horizontal="center" vertical="center" wrapText="1"/>
    </xf>
    <xf numFmtId="0" fontId="9" fillId="0" borderId="8" xfId="0" applyFont="1" applyBorder="1" applyAlignment="1">
      <alignment horizontal="center" wrapText="1"/>
    </xf>
    <xf numFmtId="0" fontId="9" fillId="0" borderId="1" xfId="0" applyFont="1" applyBorder="1" applyAlignment="1">
      <alignment horizontal="center" vertical="center" wrapText="1"/>
    </xf>
    <xf numFmtId="0" fontId="10" fillId="0" borderId="3" xfId="0" applyFont="1" applyBorder="1" applyAlignment="1">
      <alignment horizontal="left" vertical="center" wrapText="1"/>
    </xf>
    <xf numFmtId="0" fontId="9" fillId="0" borderId="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8" xfId="0" applyFont="1" applyBorder="1" applyAlignment="1">
      <alignment horizontal="left" vertical="center" wrapText="1"/>
    </xf>
    <xf numFmtId="43" fontId="10" fillId="0" borderId="1" xfId="1" applyFont="1" applyFill="1" applyBorder="1" applyAlignment="1">
      <alignment horizontal="center" vertical="center" wrapText="1"/>
    </xf>
    <xf numFmtId="0" fontId="9" fillId="0" borderId="20"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21" xfId="0" applyFont="1" applyBorder="1" applyAlignment="1">
      <alignment horizontal="center" vertical="center" wrapText="1"/>
    </xf>
    <xf numFmtId="0" fontId="10" fillId="0" borderId="16" xfId="0" applyFont="1" applyBorder="1" applyAlignment="1">
      <alignment horizontal="left" vertical="center" wrapText="1"/>
    </xf>
    <xf numFmtId="0" fontId="10" fillId="0" borderId="19" xfId="0" applyFont="1" applyBorder="1" applyAlignment="1">
      <alignment horizontal="left" vertical="center" wrapText="1"/>
    </xf>
    <xf numFmtId="0" fontId="10" fillId="0" borderId="17" xfId="0" applyFont="1" applyBorder="1" applyAlignment="1">
      <alignment horizontal="left" vertical="center" wrapText="1"/>
    </xf>
    <xf numFmtId="44" fontId="10" fillId="0" borderId="16" xfId="2" applyFont="1" applyFill="1" applyBorder="1" applyAlignment="1">
      <alignment horizontal="center" vertical="center" wrapText="1"/>
    </xf>
    <xf numFmtId="44" fontId="10" fillId="0" borderId="19" xfId="2" applyFont="1" applyFill="1" applyBorder="1" applyAlignment="1">
      <alignment horizontal="center" vertical="center" wrapText="1"/>
    </xf>
    <xf numFmtId="44" fontId="10" fillId="0" borderId="17" xfId="2" applyFont="1" applyFill="1" applyBorder="1" applyAlignment="1">
      <alignment horizontal="center" vertical="center" wrapText="1"/>
    </xf>
    <xf numFmtId="0" fontId="10" fillId="0" borderId="18" xfId="0" applyFont="1" applyBorder="1" applyAlignment="1">
      <alignment horizontal="left" vertical="center" wrapText="1"/>
    </xf>
    <xf numFmtId="0" fontId="10" fillId="0" borderId="10" xfId="0" applyFont="1" applyBorder="1" applyAlignment="1">
      <alignment horizontal="left" vertical="center" wrapText="1"/>
    </xf>
    <xf numFmtId="0" fontId="10" fillId="0" borderId="3"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10" fillId="0" borderId="0" xfId="0" applyFont="1" applyAlignment="1">
      <alignment horizontal="center" wrapText="1"/>
    </xf>
    <xf numFmtId="43" fontId="9" fillId="0" borderId="13" xfId="1" applyFont="1" applyFill="1" applyBorder="1" applyAlignment="1">
      <alignment horizontal="center" vertical="center" wrapText="1"/>
    </xf>
    <xf numFmtId="43" fontId="9" fillId="0" borderId="14" xfId="1" applyFont="1" applyFill="1" applyBorder="1" applyAlignment="1">
      <alignment horizontal="center" vertical="center" wrapText="1"/>
    </xf>
    <xf numFmtId="43" fontId="9" fillId="0" borderId="15" xfId="1" applyFont="1" applyFill="1" applyBorder="1" applyAlignment="1">
      <alignment horizontal="center" vertical="center" wrapText="1"/>
    </xf>
    <xf numFmtId="43" fontId="10" fillId="0" borderId="3" xfId="1" applyFont="1" applyFill="1" applyBorder="1" applyAlignment="1">
      <alignment horizontal="center" vertical="center" wrapText="1"/>
    </xf>
    <xf numFmtId="44" fontId="10" fillId="0" borderId="6" xfId="2" applyFont="1" applyBorder="1" applyAlignment="1">
      <alignment horizontal="center" vertical="center"/>
    </xf>
    <xf numFmtId="44" fontId="10" fillId="0" borderId="7" xfId="2" applyFont="1" applyBorder="1" applyAlignment="1">
      <alignment horizontal="center" vertical="center"/>
    </xf>
    <xf numFmtId="44" fontId="10" fillId="0" borderId="8" xfId="2" applyFont="1" applyBorder="1" applyAlignment="1">
      <alignment horizontal="center" vertical="center"/>
    </xf>
    <xf numFmtId="44" fontId="10" fillId="0" borderId="16" xfId="2" applyFont="1" applyBorder="1" applyAlignment="1">
      <alignment horizontal="right" vertical="center" wrapText="1"/>
    </xf>
    <xf numFmtId="44" fontId="10" fillId="0" borderId="19" xfId="2" applyFont="1" applyBorder="1" applyAlignment="1">
      <alignment horizontal="right" vertical="center" wrapText="1"/>
    </xf>
    <xf numFmtId="44" fontId="10" fillId="0" borderId="17" xfId="2" applyFont="1" applyBorder="1" applyAlignment="1">
      <alignment horizontal="right" vertical="center" wrapText="1"/>
    </xf>
    <xf numFmtId="0" fontId="9" fillId="0" borderId="6" xfId="0" applyFont="1" applyBorder="1" applyAlignment="1">
      <alignment horizontal="center"/>
    </xf>
    <xf numFmtId="0" fontId="9" fillId="0" borderId="7" xfId="0" applyFont="1" applyBorder="1" applyAlignment="1">
      <alignment horizontal="center"/>
    </xf>
    <xf numFmtId="0" fontId="9" fillId="0" borderId="8" xfId="0" applyFont="1" applyBorder="1" applyAlignment="1">
      <alignment horizontal="center"/>
    </xf>
    <xf numFmtId="0" fontId="2" fillId="0" borderId="2" xfId="0" applyFont="1" applyBorder="1" applyAlignment="1">
      <alignment horizontal="center"/>
    </xf>
    <xf numFmtId="0" fontId="3" fillId="0" borderId="2" xfId="0" applyFont="1" applyBorder="1" applyAlignment="1">
      <alignment horizontal="left"/>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3" fillId="0" borderId="20" xfId="0" applyFont="1" applyBorder="1" applyAlignment="1">
      <alignment horizontal="left"/>
    </xf>
    <xf numFmtId="0" fontId="3" fillId="0" borderId="14" xfId="0" applyFont="1" applyBorder="1" applyAlignment="1">
      <alignment horizontal="left"/>
    </xf>
    <xf numFmtId="0" fontId="3" fillId="0" borderId="15" xfId="0" applyFont="1" applyBorder="1" applyAlignment="1">
      <alignment horizontal="left"/>
    </xf>
    <xf numFmtId="0" fontId="2" fillId="0" borderId="2" xfId="0" applyFont="1" applyBorder="1" applyAlignment="1">
      <alignment horizontal="center" wrapText="1"/>
    </xf>
    <xf numFmtId="0" fontId="3" fillId="0" borderId="2" xfId="0" applyFont="1" applyBorder="1" applyAlignment="1">
      <alignment horizontal="left" vertical="center" wrapText="1"/>
    </xf>
    <xf numFmtId="0" fontId="0" fillId="0" borderId="2" xfId="0" applyBorder="1" applyAlignment="1">
      <alignment horizontal="center"/>
    </xf>
    <xf numFmtId="0" fontId="3" fillId="0" borderId="2"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0" xfId="0" applyFont="1" applyBorder="1" applyAlignment="1">
      <alignment horizontal="left" wrapText="1"/>
    </xf>
    <xf numFmtId="0" fontId="3" fillId="0" borderId="14" xfId="0" applyFont="1" applyBorder="1" applyAlignment="1">
      <alignment horizontal="left" wrapText="1"/>
    </xf>
    <xf numFmtId="0" fontId="3" fillId="0" borderId="15" xfId="0" applyFont="1" applyBorder="1" applyAlignment="1">
      <alignment horizontal="left" wrapText="1"/>
    </xf>
    <xf numFmtId="0" fontId="3" fillId="0" borderId="2" xfId="0" applyFont="1" applyBorder="1" applyAlignment="1">
      <alignment horizontal="left" wrapText="1"/>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3" fillId="0" borderId="2" xfId="0" applyFont="1" applyBorder="1" applyAlignment="1">
      <alignment horizontal="left" vertical="center"/>
    </xf>
    <xf numFmtId="0" fontId="7" fillId="0" borderId="2" xfId="0" applyFont="1" applyBorder="1" applyAlignment="1">
      <alignment horizontal="center" wrapText="1"/>
    </xf>
    <xf numFmtId="0" fontId="3" fillId="0" borderId="1" xfId="0" applyFont="1" applyBorder="1" applyAlignment="1">
      <alignment horizontal="center" vertical="center"/>
    </xf>
    <xf numFmtId="44" fontId="2" fillId="0" borderId="1" xfId="0" applyNumberFormat="1" applyFont="1" applyBorder="1" applyAlignment="1">
      <alignment horizontal="center"/>
    </xf>
    <xf numFmtId="0" fontId="2" fillId="0" borderId="1" xfId="0" applyFont="1" applyBorder="1" applyAlignment="1">
      <alignment horizontal="center" vertical="center"/>
    </xf>
    <xf numFmtId="0" fontId="2" fillId="0" borderId="25" xfId="0" applyFont="1" applyBorder="1" applyAlignment="1">
      <alignment horizontal="center" vertical="center"/>
    </xf>
    <xf numFmtId="0" fontId="3" fillId="0" borderId="3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22" xfId="0" applyFont="1" applyBorder="1" applyAlignment="1">
      <alignment horizontal="center" vertical="center"/>
    </xf>
    <xf numFmtId="166" fontId="9" fillId="0" borderId="12" xfId="2" applyNumberFormat="1" applyFont="1" applyBorder="1" applyAlignment="1">
      <alignment horizontal="center" vertical="center" wrapText="1"/>
    </xf>
    <xf numFmtId="166" fontId="9" fillId="0" borderId="22" xfId="2" applyNumberFormat="1" applyFont="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20LIBRE/Desktop/Proyectos%20Salud%202025/2.%20Proyecto%20PIC%202025/Anexo%20Tecnico%20PIC%202025/Anexo%20Tecnico,%20Erejeeria%20Wayuu.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UARIO%20LIBRE/Desktop/Proyectos%20Salud%202025/2.%20Proyecto%20PIC%202025/Presupuesto%20PIC%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 _ PIC_25_EW"/>
      <sheetName val="Cpte_Financiero_EW_PIC25"/>
      <sheetName val="Presupuesto_EW_PIC25"/>
      <sheetName val="DTB_EBS_EW_PIC25"/>
      <sheetName val="Cadena de Valor"/>
    </sheetNames>
    <sheetDataSet>
      <sheetData sheetId="0"/>
      <sheetData sheetId="1"/>
      <sheetData sheetId="2"/>
      <sheetData sheetId="3"/>
      <sheetData sheetId="4">
        <row r="15">
          <cell r="I15">
            <v>74708.666666666672</v>
          </cell>
        </row>
        <row r="16">
          <cell r="I16">
            <v>394444.33333333331</v>
          </cell>
        </row>
        <row r="17">
          <cell r="I17">
            <v>145000</v>
          </cell>
        </row>
        <row r="19">
          <cell r="I19">
            <v>169333.33333333334</v>
          </cell>
        </row>
        <row r="20">
          <cell r="I20">
            <v>94666.666666666672</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Erejeeria"/>
      <sheetName val="D.EB Erejeeria"/>
      <sheetName val="Presupuesto Wayuu Talatshi"/>
      <sheetName val="D.EB Wayuu T."/>
    </sheetNames>
    <sheetDataSet>
      <sheetData sheetId="0">
        <row r="5">
          <cell r="B5" t="str">
            <v>Profesional de la Salud (Enfermero(a))</v>
          </cell>
          <cell r="H5">
            <v>4000000</v>
          </cell>
        </row>
        <row r="6">
          <cell r="B6" t="str">
            <v xml:space="preserve">Profesional de la Salud (Nutricionista) </v>
          </cell>
          <cell r="H6">
            <v>4000000</v>
          </cell>
        </row>
        <row r="7">
          <cell r="B7" t="str">
            <v>Profesional de la Salud (Medico General)</v>
          </cell>
          <cell r="H7">
            <v>5000000</v>
          </cell>
        </row>
        <row r="10">
          <cell r="B10" t="str">
            <v>Tecnico de la Salud (Auxiliar de Enfermeria) hablante Wayunaiki</v>
          </cell>
          <cell r="H10">
            <v>2650000</v>
          </cell>
        </row>
        <row r="12">
          <cell r="B12" t="str">
            <v>Trabajador(a) Social</v>
          </cell>
          <cell r="H12">
            <v>4000000</v>
          </cell>
        </row>
        <row r="13">
          <cell r="B13" t="str">
            <v>Promotor de Salud, Hablante Wayunaiki</v>
          </cell>
          <cell r="H13">
            <v>2500000</v>
          </cell>
        </row>
        <row r="15">
          <cell r="B15" t="str">
            <v>Tecnico de Sistemas</v>
          </cell>
          <cell r="H15">
            <v>2650000</v>
          </cell>
        </row>
        <row r="24">
          <cell r="B24" t="str">
            <v>4. DESARROLLAR ACTIVIDADES DE PROMOCION DE LA SALUD Y GESTION DEL RIESGO DEL EJE ESTRATEGICO POBLACION ETNICA Y VULNERABLE, DEL PLAN DECENAL DE SALUD PUBLICA 2022 - 2031</v>
          </cell>
        </row>
        <row r="25">
          <cell r="B25" t="str">
            <v>5. DESARROLLAR ACTIVIDADES DE PROMOCION DE LA SALUD Y GESTION DEL RIESGO DEL EJE ESTARTEGICO PERSONAL DE LA SALUD, DEL PLAN DECENAL DE SALUD PUBLICA 2022 - 2031</v>
          </cell>
          <cell r="I25">
            <v>35000000</v>
          </cell>
        </row>
      </sheetData>
      <sheetData sheetId="1"/>
      <sheetData sheetId="2"/>
      <sheetData sheetId="3">
        <row r="4">
          <cell r="B4" t="str">
            <v>Trabajador(a) Social</v>
          </cell>
          <cell r="C4"/>
          <cell r="D4"/>
        </row>
        <row r="5">
          <cell r="B5" t="str">
            <v>Profesional de la Salud (Enfermero(a))</v>
          </cell>
          <cell r="C5"/>
          <cell r="D5"/>
        </row>
        <row r="6">
          <cell r="B6" t="str">
            <v>Profesional de la Salud (Medico General)</v>
          </cell>
          <cell r="C6"/>
          <cell r="D6"/>
        </row>
        <row r="7">
          <cell r="B7" t="str">
            <v xml:space="preserve">Profesional de la Salud (Nutricionista) </v>
          </cell>
          <cell r="C7"/>
          <cell r="D7"/>
        </row>
        <row r="8">
          <cell r="B8" t="str">
            <v>Promotor de Salud, Hablante Wayunaiki</v>
          </cell>
          <cell r="C8"/>
          <cell r="D8"/>
        </row>
        <row r="9">
          <cell r="B9" t="str">
            <v>Tecnico de la Salud (Auxiliar de Enfermeria) hablante Wayunaiki</v>
          </cell>
          <cell r="C9"/>
          <cell r="D9"/>
        </row>
        <row r="10">
          <cell r="B10" t="str">
            <v>Tecnico de Sistemas</v>
          </cell>
          <cell r="C10"/>
          <cell r="D10"/>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82"/>
  <sheetViews>
    <sheetView topLeftCell="A4" zoomScale="70" zoomScaleNormal="70" workbookViewId="0">
      <pane xSplit="3" ySplit="3" topLeftCell="E7" activePane="bottomRight" state="frozen"/>
      <selection activeCell="A4" sqref="A4"/>
      <selection pane="topRight" activeCell="F4" sqref="F4"/>
      <selection pane="bottomLeft" activeCell="A6" sqref="A6"/>
      <selection pane="bottomRight" activeCell="H7" sqref="H7"/>
    </sheetView>
  </sheetViews>
  <sheetFormatPr baseColWidth="10" defaultColWidth="11.42578125" defaultRowHeight="14.25"/>
  <cols>
    <col min="1" max="1" width="25.28515625" style="28" customWidth="1"/>
    <col min="2" max="2" width="19.28515625" style="25" customWidth="1"/>
    <col min="3" max="3" width="37.28515625" style="25" customWidth="1"/>
    <col min="4" max="4" width="21.42578125" style="20" customWidth="1"/>
    <col min="5" max="5" width="23.85546875" style="1" customWidth="1"/>
    <col min="6" max="6" width="18.7109375" style="20" customWidth="1"/>
    <col min="7" max="8" width="14.7109375" style="21" customWidth="1"/>
    <col min="9" max="9" width="21.7109375" style="21" customWidth="1"/>
    <col min="10" max="10" width="14.7109375" style="21" customWidth="1"/>
    <col min="11" max="11" width="55" style="25" customWidth="1"/>
    <col min="12" max="12" width="12.7109375" style="24" customWidth="1"/>
    <col min="13" max="13" width="9.28515625" style="24" customWidth="1"/>
    <col min="14" max="14" width="2.85546875" style="24" customWidth="1"/>
    <col min="15" max="15" width="3.42578125" style="24" customWidth="1"/>
    <col min="16" max="16" width="2.85546875" style="24" customWidth="1"/>
    <col min="17" max="17" width="4.140625" style="24" customWidth="1"/>
    <col min="18" max="18" width="12.85546875" style="24" hidden="1" customWidth="1"/>
    <col min="19" max="20" width="18.42578125" style="19" hidden="1" customWidth="1"/>
    <col min="21" max="21" width="21.85546875" style="23" hidden="1" customWidth="1"/>
    <col min="22" max="22" width="24.42578125" style="23" hidden="1" customWidth="1"/>
    <col min="23" max="23" width="23.42578125" style="23" hidden="1" customWidth="1"/>
    <col min="24" max="24" width="19.42578125" style="23" hidden="1" customWidth="1"/>
    <col min="25" max="25" width="20.140625" style="23" hidden="1" customWidth="1"/>
    <col min="26" max="30" width="19.85546875" style="23" hidden="1" customWidth="1"/>
    <col min="31" max="31" width="20.85546875" style="23" hidden="1" customWidth="1"/>
    <col min="32" max="32" width="20" style="26" hidden="1" customWidth="1"/>
    <col min="33" max="33" width="17.7109375" style="26" hidden="1" customWidth="1"/>
    <col min="34" max="34" width="33.85546875" style="27" hidden="1" customWidth="1"/>
    <col min="35" max="35" width="20.7109375" style="24" hidden="1" customWidth="1"/>
    <col min="36" max="36" width="20.85546875" style="22" hidden="1" customWidth="1"/>
    <col min="37" max="37" width="16.28515625" style="25" customWidth="1"/>
    <col min="38" max="39" width="20.42578125" style="25" customWidth="1"/>
    <col min="40" max="40" width="20.140625" style="24" customWidth="1"/>
    <col min="41" max="41" width="24.28515625" style="24" customWidth="1"/>
    <col min="42" max="43" width="16" style="24" customWidth="1"/>
    <col min="44" max="44" width="22.5703125" style="25" customWidth="1"/>
    <col min="45" max="50" width="11.42578125" style="1"/>
    <col min="51" max="51" width="14.140625" style="1" bestFit="1" customWidth="1"/>
    <col min="52" max="52" width="21.140625" style="1" customWidth="1"/>
    <col min="53" max="16384" width="11.42578125" style="1"/>
  </cols>
  <sheetData>
    <row r="1" spans="1:48" ht="21.95" customHeight="1">
      <c r="A1" s="119" t="s">
        <v>30</v>
      </c>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19"/>
      <c r="AC1" s="119"/>
      <c r="AD1" s="119"/>
      <c r="AE1" s="119"/>
      <c r="AF1" s="119"/>
      <c r="AG1" s="119"/>
      <c r="AH1" s="119"/>
      <c r="AI1" s="119"/>
      <c r="AJ1" s="119"/>
      <c r="AK1" s="119"/>
      <c r="AL1" s="119"/>
      <c r="AM1" s="119"/>
      <c r="AN1" s="119"/>
      <c r="AO1" s="119"/>
      <c r="AP1" s="119"/>
      <c r="AQ1" s="119"/>
      <c r="AR1" s="119"/>
    </row>
    <row r="2" spans="1:48" ht="28.5">
      <c r="A2" s="2" t="s">
        <v>23</v>
      </c>
      <c r="B2" s="10"/>
      <c r="C2" s="10"/>
      <c r="D2" s="5"/>
      <c r="E2" s="3"/>
      <c r="F2" s="5"/>
      <c r="G2" s="6"/>
      <c r="H2" s="6"/>
      <c r="I2" s="6"/>
      <c r="J2" s="6"/>
      <c r="K2" s="10"/>
      <c r="L2" s="9"/>
      <c r="M2" s="9"/>
      <c r="N2" s="9"/>
      <c r="O2" s="9"/>
      <c r="P2" s="9"/>
      <c r="Q2" s="9"/>
      <c r="R2" s="9"/>
      <c r="S2" s="14"/>
      <c r="T2" s="14"/>
      <c r="U2" s="2"/>
      <c r="V2" s="2"/>
      <c r="W2" s="2"/>
      <c r="X2" s="2"/>
      <c r="Y2" s="2"/>
      <c r="Z2" s="2"/>
      <c r="AA2" s="2"/>
      <c r="AB2" s="2"/>
      <c r="AC2" s="2"/>
      <c r="AD2" s="2"/>
      <c r="AE2" s="2"/>
      <c r="AF2" s="8"/>
      <c r="AG2" s="8"/>
      <c r="AH2" s="15"/>
      <c r="AI2" s="9"/>
      <c r="AJ2" s="7"/>
      <c r="AK2" s="10"/>
      <c r="AL2" s="10"/>
      <c r="AM2" s="10"/>
      <c r="AN2" s="9"/>
      <c r="AO2" s="9"/>
      <c r="AP2" s="9"/>
      <c r="AQ2" s="9"/>
      <c r="AR2" s="10"/>
    </row>
    <row r="3" spans="1:48" ht="19.5" customHeight="1">
      <c r="A3" s="120" t="s">
        <v>24</v>
      </c>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row>
    <row r="4" spans="1:48" ht="19.5" customHeight="1">
      <c r="A4" s="108" t="s">
        <v>36</v>
      </c>
      <c r="B4" s="108" t="s">
        <v>33</v>
      </c>
      <c r="C4" s="108" t="s">
        <v>0</v>
      </c>
      <c r="D4" s="108" t="s">
        <v>32</v>
      </c>
      <c r="E4" s="108" t="s">
        <v>1</v>
      </c>
      <c r="F4" s="108" t="s">
        <v>39</v>
      </c>
      <c r="G4" s="116" t="s">
        <v>31</v>
      </c>
      <c r="H4" s="116" t="s">
        <v>383</v>
      </c>
      <c r="I4" s="116" t="s">
        <v>384</v>
      </c>
      <c r="J4" s="116" t="s">
        <v>385</v>
      </c>
      <c r="K4" s="108" t="s">
        <v>2</v>
      </c>
      <c r="L4" s="108" t="s">
        <v>113</v>
      </c>
      <c r="M4" s="108" t="s">
        <v>3</v>
      </c>
      <c r="N4" s="108" t="s">
        <v>4</v>
      </c>
      <c r="O4" s="108" t="s">
        <v>5</v>
      </c>
      <c r="P4" s="108" t="s">
        <v>7</v>
      </c>
      <c r="Q4" s="108" t="s">
        <v>8</v>
      </c>
      <c r="R4" s="108" t="s">
        <v>9</v>
      </c>
      <c r="S4" s="108" t="s">
        <v>10</v>
      </c>
      <c r="T4" s="108" t="s">
        <v>212</v>
      </c>
      <c r="U4" s="108" t="s">
        <v>29</v>
      </c>
      <c r="V4" s="108" t="s">
        <v>26</v>
      </c>
      <c r="W4" s="108" t="s">
        <v>27</v>
      </c>
      <c r="X4" s="108" t="s">
        <v>28</v>
      </c>
      <c r="Y4" s="113" t="s">
        <v>25</v>
      </c>
      <c r="Z4" s="113"/>
      <c r="AA4" s="113"/>
      <c r="AB4" s="113"/>
      <c r="AC4" s="113"/>
      <c r="AD4" s="113"/>
      <c r="AE4" s="113"/>
      <c r="AF4" s="113"/>
      <c r="AG4" s="113"/>
      <c r="AH4" s="108" t="s">
        <v>11</v>
      </c>
      <c r="AI4" s="108" t="s">
        <v>12</v>
      </c>
      <c r="AJ4" s="108" t="s">
        <v>17</v>
      </c>
      <c r="AK4" s="108" t="s">
        <v>13</v>
      </c>
      <c r="AL4" s="108" t="s">
        <v>14</v>
      </c>
      <c r="AM4" s="108" t="s">
        <v>339</v>
      </c>
      <c r="AN4" s="108" t="s">
        <v>15</v>
      </c>
      <c r="AO4" s="108" t="s">
        <v>21</v>
      </c>
      <c r="AP4" s="108" t="s">
        <v>20</v>
      </c>
      <c r="AQ4" s="108" t="s">
        <v>19</v>
      </c>
      <c r="AR4" s="108" t="s">
        <v>16</v>
      </c>
    </row>
    <row r="5" spans="1:48" ht="19.5" customHeight="1">
      <c r="A5" s="109"/>
      <c r="B5" s="109"/>
      <c r="C5" s="109"/>
      <c r="D5" s="109"/>
      <c r="E5" s="109"/>
      <c r="F5" s="109"/>
      <c r="G5" s="117"/>
      <c r="H5" s="117"/>
      <c r="I5" s="117"/>
      <c r="J5" s="117"/>
      <c r="K5" s="109"/>
      <c r="L5" s="109"/>
      <c r="M5" s="109"/>
      <c r="N5" s="109"/>
      <c r="O5" s="109"/>
      <c r="P5" s="109"/>
      <c r="Q5" s="109"/>
      <c r="R5" s="109"/>
      <c r="S5" s="109"/>
      <c r="T5" s="109"/>
      <c r="U5" s="109"/>
      <c r="V5" s="109"/>
      <c r="W5" s="109"/>
      <c r="X5" s="109"/>
      <c r="Y5" s="108" t="s">
        <v>170</v>
      </c>
      <c r="Z5" s="114" t="s">
        <v>169</v>
      </c>
      <c r="AA5" s="121"/>
      <c r="AB5" s="115"/>
      <c r="AC5" s="114" t="s">
        <v>174</v>
      </c>
      <c r="AD5" s="115"/>
      <c r="AE5" s="108" t="s">
        <v>182</v>
      </c>
      <c r="AF5" s="111" t="s">
        <v>202</v>
      </c>
      <c r="AG5" s="111" t="s">
        <v>203</v>
      </c>
      <c r="AH5" s="109"/>
      <c r="AI5" s="109"/>
      <c r="AJ5" s="109"/>
      <c r="AK5" s="109"/>
      <c r="AL5" s="109"/>
      <c r="AM5" s="109"/>
      <c r="AN5" s="109"/>
      <c r="AO5" s="109"/>
      <c r="AP5" s="109"/>
      <c r="AQ5" s="109"/>
      <c r="AR5" s="109"/>
    </row>
    <row r="6" spans="1:48" ht="44.25" customHeight="1">
      <c r="A6" s="110"/>
      <c r="B6" s="110"/>
      <c r="C6" s="110"/>
      <c r="D6" s="110"/>
      <c r="E6" s="110"/>
      <c r="F6" s="110"/>
      <c r="G6" s="118"/>
      <c r="H6" s="118"/>
      <c r="I6" s="118"/>
      <c r="J6" s="118"/>
      <c r="K6" s="110"/>
      <c r="L6" s="110"/>
      <c r="M6" s="110"/>
      <c r="N6" s="110"/>
      <c r="O6" s="110"/>
      <c r="P6" s="110"/>
      <c r="Q6" s="110"/>
      <c r="R6" s="110"/>
      <c r="S6" s="110"/>
      <c r="T6" s="110"/>
      <c r="U6" s="110"/>
      <c r="V6" s="110"/>
      <c r="W6" s="110"/>
      <c r="X6" s="110"/>
      <c r="Y6" s="110"/>
      <c r="Z6" s="11" t="s">
        <v>171</v>
      </c>
      <c r="AA6" s="11" t="s">
        <v>172</v>
      </c>
      <c r="AB6" s="11" t="s">
        <v>173</v>
      </c>
      <c r="AC6" s="11" t="s">
        <v>175</v>
      </c>
      <c r="AD6" s="11" t="s">
        <v>141</v>
      </c>
      <c r="AE6" s="110"/>
      <c r="AF6" s="112"/>
      <c r="AG6" s="112"/>
      <c r="AH6" s="110"/>
      <c r="AI6" s="110"/>
      <c r="AJ6" s="110"/>
      <c r="AK6" s="110"/>
      <c r="AL6" s="110"/>
      <c r="AM6" s="110"/>
      <c r="AN6" s="110"/>
      <c r="AO6" s="110"/>
      <c r="AP6" s="110"/>
      <c r="AQ6" s="110"/>
      <c r="AR6" s="110"/>
    </row>
    <row r="7" spans="1:48" ht="272.45" customHeight="1">
      <c r="A7" s="4" t="s">
        <v>37</v>
      </c>
      <c r="B7" s="10" t="s">
        <v>34</v>
      </c>
      <c r="C7" s="10" t="s">
        <v>40</v>
      </c>
      <c r="D7" s="103">
        <v>2272106027.8000002</v>
      </c>
      <c r="E7" s="10" t="s">
        <v>235</v>
      </c>
      <c r="F7" s="103">
        <v>12836757.219209041</v>
      </c>
      <c r="G7" s="12">
        <v>305</v>
      </c>
      <c r="H7" s="12" t="s">
        <v>386</v>
      </c>
      <c r="I7" s="17" t="s">
        <v>387</v>
      </c>
      <c r="J7" s="12" t="s">
        <v>388</v>
      </c>
      <c r="K7" s="10" t="s">
        <v>42</v>
      </c>
      <c r="L7" s="9">
        <v>4</v>
      </c>
      <c r="M7" s="9" t="s">
        <v>6</v>
      </c>
      <c r="N7" s="9">
        <v>0</v>
      </c>
      <c r="O7" s="9">
        <v>2</v>
      </c>
      <c r="P7" s="9">
        <v>1</v>
      </c>
      <c r="Q7" s="9">
        <v>1</v>
      </c>
      <c r="R7" s="10" t="s">
        <v>234</v>
      </c>
      <c r="S7" s="14" t="s">
        <v>116</v>
      </c>
      <c r="T7" s="93">
        <f>U7/L7</f>
        <v>3769851.5738333333</v>
      </c>
      <c r="U7" s="13">
        <f>SUM(V7:Y7)</f>
        <v>15079406.295333333</v>
      </c>
      <c r="V7" s="13">
        <f>Cpte_Financiero_WT_PIC25!$H$19/75</f>
        <v>6126000</v>
      </c>
      <c r="W7" s="13">
        <f>Cpte_Financiero_WT_PIC25!$H$25/75</f>
        <v>4707000</v>
      </c>
      <c r="X7" s="13">
        <f>Cpte_Financiero_WT_PIC25!$E$58/75</f>
        <v>736552.17973333329</v>
      </c>
      <c r="Y7" s="13">
        <f t="shared" ref="Y7:Y38" si="0">SUM(Z7:AG7)</f>
        <v>3509854.1156000001</v>
      </c>
      <c r="Z7" s="81">
        <f>'Cadena de Valor'!$I$19*1</f>
        <v>169333.33333333334</v>
      </c>
      <c r="AA7" s="81">
        <f>'Cadena de Valor'!$I$20*4</f>
        <v>378666.66666666669</v>
      </c>
      <c r="AB7" s="81">
        <f>'Cadena de Valor'!$I$17*2</f>
        <v>290000</v>
      </c>
      <c r="AC7" s="81">
        <f>'Cadena de Valor'!$I$15*5</f>
        <v>373543.33333333337</v>
      </c>
      <c r="AD7" s="81">
        <f>'Cadena de Valor'!$I$16*2</f>
        <v>788888.66666666663</v>
      </c>
      <c r="AE7" s="81">
        <v>800000</v>
      </c>
      <c r="AF7" s="83">
        <f>24499365/75</f>
        <v>326658.2</v>
      </c>
      <c r="AG7" s="83">
        <f>28707293.67/75</f>
        <v>382763.91560000001</v>
      </c>
      <c r="AH7" s="15" t="s">
        <v>22</v>
      </c>
      <c r="AI7" s="10" t="s">
        <v>216</v>
      </c>
      <c r="AJ7" s="10" t="s">
        <v>284</v>
      </c>
      <c r="AK7" s="10" t="s">
        <v>118</v>
      </c>
      <c r="AL7" s="10" t="s">
        <v>119</v>
      </c>
      <c r="AM7" s="10" t="s">
        <v>340</v>
      </c>
      <c r="AN7" s="10" t="s">
        <v>285</v>
      </c>
      <c r="AO7" s="10" t="s">
        <v>286</v>
      </c>
      <c r="AP7" s="10" t="s">
        <v>287</v>
      </c>
      <c r="AQ7" s="10" t="s">
        <v>382</v>
      </c>
      <c r="AR7" s="10" t="s">
        <v>18</v>
      </c>
      <c r="AS7" s="16"/>
      <c r="AT7" s="16"/>
      <c r="AU7" s="16"/>
      <c r="AV7" s="16"/>
    </row>
    <row r="8" spans="1:48" ht="228.75" customHeight="1">
      <c r="A8" s="10" t="s">
        <v>37</v>
      </c>
      <c r="B8" s="10" t="s">
        <v>34</v>
      </c>
      <c r="C8" s="10" t="s">
        <v>40</v>
      </c>
      <c r="D8" s="103">
        <v>2272106027.8000002</v>
      </c>
      <c r="E8" s="10" t="s">
        <v>235</v>
      </c>
      <c r="F8" s="103">
        <v>12836757.219209041</v>
      </c>
      <c r="G8" s="12">
        <v>306</v>
      </c>
      <c r="H8" s="12" t="s">
        <v>389</v>
      </c>
      <c r="I8" s="17" t="s">
        <v>390</v>
      </c>
      <c r="J8" s="12" t="s">
        <v>391</v>
      </c>
      <c r="K8" s="10" t="s">
        <v>43</v>
      </c>
      <c r="L8" s="9">
        <v>2</v>
      </c>
      <c r="M8" s="9" t="s">
        <v>6</v>
      </c>
      <c r="N8" s="9">
        <v>0</v>
      </c>
      <c r="O8" s="9">
        <v>1</v>
      </c>
      <c r="P8" s="9">
        <v>0</v>
      </c>
      <c r="Q8" s="9">
        <v>1</v>
      </c>
      <c r="R8" s="10" t="s">
        <v>234</v>
      </c>
      <c r="S8" s="14" t="s">
        <v>116</v>
      </c>
      <c r="T8" s="93">
        <f t="shared" ref="T8:T71" si="1">U8/L8</f>
        <v>7608129.3143333336</v>
      </c>
      <c r="U8" s="13">
        <f t="shared" ref="U8:U9" si="2">SUM(V8:Y8)</f>
        <v>15216258.628666667</v>
      </c>
      <c r="V8" s="13">
        <f>Cpte_Financiero_WT_PIC25!$H$19/75</f>
        <v>6126000</v>
      </c>
      <c r="W8" s="13">
        <f>Cpte_Financiero_WT_PIC25!$H$25/75</f>
        <v>4707000</v>
      </c>
      <c r="X8" s="13">
        <f>Cpte_Financiero_WT_PIC25!$E$58/75</f>
        <v>736552.17973333329</v>
      </c>
      <c r="Y8" s="13">
        <f t="shared" si="0"/>
        <v>3646706.4489333336</v>
      </c>
      <c r="Z8" s="81">
        <f>'Cadena de Valor'!$I$19*1</f>
        <v>169333.33333333334</v>
      </c>
      <c r="AA8" s="81">
        <f>'Cadena de Valor'!I20*2</f>
        <v>189333.33333333334</v>
      </c>
      <c r="AB8" s="81">
        <f>'Cadena de Valor'!$I$17*2</f>
        <v>290000</v>
      </c>
      <c r="AC8" s="81">
        <f>'Cadena de Valor'!I15*20</f>
        <v>1494173.3333333335</v>
      </c>
      <c r="AD8" s="81">
        <f>'Cadena de Valor'!$I$16*1</f>
        <v>394444.33333333331</v>
      </c>
      <c r="AE8" s="81">
        <v>400000</v>
      </c>
      <c r="AF8" s="83">
        <f t="shared" ref="AF8:AF71" si="3">24499365/75</f>
        <v>326658.2</v>
      </c>
      <c r="AG8" s="83">
        <f t="shared" ref="AG8:AG71" si="4">28707293.67/75</f>
        <v>382763.91560000001</v>
      </c>
      <c r="AH8" s="2" t="s">
        <v>22</v>
      </c>
      <c r="AI8" s="10" t="s">
        <v>216</v>
      </c>
      <c r="AJ8" s="10" t="s">
        <v>284</v>
      </c>
      <c r="AK8" s="10" t="s">
        <v>118</v>
      </c>
      <c r="AL8" s="10" t="s">
        <v>119</v>
      </c>
      <c r="AM8" s="10" t="s">
        <v>341</v>
      </c>
      <c r="AN8" s="10" t="s">
        <v>275</v>
      </c>
      <c r="AO8" s="10" t="s">
        <v>364</v>
      </c>
      <c r="AP8" s="10" t="s">
        <v>289</v>
      </c>
      <c r="AQ8" s="10" t="s">
        <v>290</v>
      </c>
      <c r="AR8" s="10" t="s">
        <v>18</v>
      </c>
    </row>
    <row r="9" spans="1:48" ht="270.75" customHeight="1">
      <c r="A9" s="10" t="s">
        <v>37</v>
      </c>
      <c r="B9" s="10" t="s">
        <v>34</v>
      </c>
      <c r="C9" s="10" t="s">
        <v>40</v>
      </c>
      <c r="D9" s="103">
        <v>2272106027.8000002</v>
      </c>
      <c r="E9" s="10" t="s">
        <v>235</v>
      </c>
      <c r="F9" s="103">
        <v>12836757.219209041</v>
      </c>
      <c r="G9" s="17">
        <v>307</v>
      </c>
      <c r="H9" s="17" t="s">
        <v>392</v>
      </c>
      <c r="I9" s="17" t="s">
        <v>393</v>
      </c>
      <c r="J9" s="17" t="s">
        <v>394</v>
      </c>
      <c r="K9" s="10" t="s">
        <v>44</v>
      </c>
      <c r="L9" s="9">
        <v>100</v>
      </c>
      <c r="M9" s="9" t="s">
        <v>114</v>
      </c>
      <c r="N9" s="9">
        <v>0</v>
      </c>
      <c r="O9" s="9">
        <v>25</v>
      </c>
      <c r="P9" s="9">
        <v>50</v>
      </c>
      <c r="Q9" s="9">
        <v>25</v>
      </c>
      <c r="R9" s="10" t="s">
        <v>234</v>
      </c>
      <c r="S9" s="14" t="s">
        <v>116</v>
      </c>
      <c r="T9" s="93">
        <f t="shared" si="1"/>
        <v>139062.95295333333</v>
      </c>
      <c r="U9" s="13">
        <f t="shared" si="2"/>
        <v>13906295.295333333</v>
      </c>
      <c r="V9" s="13">
        <f>Cpte_Financiero_WT_PIC25!$H$19/75</f>
        <v>6126000</v>
      </c>
      <c r="W9" s="13">
        <f>Cpte_Financiero_WT_PIC25!$H$25/75</f>
        <v>4707000</v>
      </c>
      <c r="X9" s="13">
        <f>Cpte_Financiero_WT_PIC25!$E$58/75</f>
        <v>736552.17973333329</v>
      </c>
      <c r="Y9" s="13">
        <f t="shared" si="0"/>
        <v>2336743.1156000001</v>
      </c>
      <c r="Z9" s="81">
        <f>'Cadena de Valor'!$I$19*1</f>
        <v>169333.33333333334</v>
      </c>
      <c r="AA9" s="81">
        <v>0</v>
      </c>
      <c r="AB9" s="81">
        <f>'Cadena de Valor'!$I$17*2</f>
        <v>290000</v>
      </c>
      <c r="AC9" s="81">
        <f>'Cadena de Valor'!I15*5</f>
        <v>373543.33333333337</v>
      </c>
      <c r="AD9" s="81">
        <f>'Cadena de Valor'!I16*1</f>
        <v>394444.33333333331</v>
      </c>
      <c r="AE9" s="81">
        <v>400000</v>
      </c>
      <c r="AF9" s="83">
        <f t="shared" si="3"/>
        <v>326658.2</v>
      </c>
      <c r="AG9" s="83">
        <f t="shared" si="4"/>
        <v>382763.91560000001</v>
      </c>
      <c r="AH9" s="15" t="s">
        <v>22</v>
      </c>
      <c r="AI9" s="10" t="s">
        <v>216</v>
      </c>
      <c r="AJ9" s="10" t="s">
        <v>284</v>
      </c>
      <c r="AK9" s="10" t="s">
        <v>118</v>
      </c>
      <c r="AL9" s="10" t="s">
        <v>119</v>
      </c>
      <c r="AM9" s="10" t="s">
        <v>342</v>
      </c>
      <c r="AN9" s="10" t="s">
        <v>243</v>
      </c>
      <c r="AO9" s="10" t="s">
        <v>243</v>
      </c>
      <c r="AP9" s="10" t="s">
        <v>243</v>
      </c>
      <c r="AQ9" s="10" t="s">
        <v>243</v>
      </c>
      <c r="AR9" s="10" t="s">
        <v>18</v>
      </c>
    </row>
    <row r="10" spans="1:48" ht="239.25" customHeight="1">
      <c r="A10" s="4" t="s">
        <v>37</v>
      </c>
      <c r="B10" s="10" t="s">
        <v>34</v>
      </c>
      <c r="C10" s="10" t="s">
        <v>40</v>
      </c>
      <c r="D10" s="103">
        <v>2272106027.8000002</v>
      </c>
      <c r="E10" s="10" t="s">
        <v>235</v>
      </c>
      <c r="F10" s="103">
        <v>12836757.219209041</v>
      </c>
      <c r="G10" s="12">
        <v>308</v>
      </c>
      <c r="H10" s="12" t="s">
        <v>395</v>
      </c>
      <c r="I10" s="17" t="s">
        <v>396</v>
      </c>
      <c r="J10" s="12" t="s">
        <v>397</v>
      </c>
      <c r="K10" s="10" t="s">
        <v>45</v>
      </c>
      <c r="L10" s="9">
        <v>1</v>
      </c>
      <c r="M10" s="9" t="s">
        <v>6</v>
      </c>
      <c r="N10" s="9">
        <v>0</v>
      </c>
      <c r="O10" s="9">
        <v>0</v>
      </c>
      <c r="P10" s="9">
        <v>1</v>
      </c>
      <c r="Q10" s="9">
        <v>0</v>
      </c>
      <c r="R10" s="10" t="s">
        <v>234</v>
      </c>
      <c r="S10" s="14" t="s">
        <v>116</v>
      </c>
      <c r="T10" s="93">
        <f t="shared" si="1"/>
        <v>14548048.628666667</v>
      </c>
      <c r="U10" s="13">
        <f t="shared" ref="U10:U12" si="5">SUM(V10:Y10)</f>
        <v>14548048.628666667</v>
      </c>
      <c r="V10" s="13">
        <f>Cpte_Financiero_WT_PIC25!$H$19/75</f>
        <v>6126000</v>
      </c>
      <c r="W10" s="13">
        <f>Cpte_Financiero_WT_PIC25!$H$25/75</f>
        <v>4707000</v>
      </c>
      <c r="X10" s="13">
        <f>Cpte_Financiero_WT_PIC25!$E$58/75</f>
        <v>736552.17973333329</v>
      </c>
      <c r="Y10" s="13">
        <f t="shared" si="0"/>
        <v>2978496.4489333332</v>
      </c>
      <c r="Z10" s="81">
        <f>'Cadena de Valor'!$I$19*1</f>
        <v>169333.33333333334</v>
      </c>
      <c r="AA10" s="81">
        <f>'Cadena de Valor'!I20*1</f>
        <v>94666.666666666672</v>
      </c>
      <c r="AB10" s="81">
        <f>'Cadena de Valor'!$I$17*2</f>
        <v>290000</v>
      </c>
      <c r="AC10" s="81">
        <f>'Cadena de Valor'!I15*15</f>
        <v>1120630</v>
      </c>
      <c r="AD10" s="81">
        <f>'Cadena de Valor'!I16*1</f>
        <v>394444.33333333331</v>
      </c>
      <c r="AE10" s="81">
        <v>200000</v>
      </c>
      <c r="AF10" s="83">
        <f t="shared" si="3"/>
        <v>326658.2</v>
      </c>
      <c r="AG10" s="83">
        <f t="shared" si="4"/>
        <v>382763.91560000001</v>
      </c>
      <c r="AH10" s="2" t="s">
        <v>22</v>
      </c>
      <c r="AI10" s="10" t="s">
        <v>216</v>
      </c>
      <c r="AJ10" s="10" t="s">
        <v>284</v>
      </c>
      <c r="AK10" s="10" t="s">
        <v>118</v>
      </c>
      <c r="AL10" s="10" t="s">
        <v>119</v>
      </c>
      <c r="AM10" s="10" t="s">
        <v>341</v>
      </c>
      <c r="AN10" s="10" t="s">
        <v>275</v>
      </c>
      <c r="AO10" s="10" t="s">
        <v>288</v>
      </c>
      <c r="AP10" s="10" t="s">
        <v>277</v>
      </c>
      <c r="AQ10" s="10" t="s">
        <v>278</v>
      </c>
      <c r="AR10" s="14" t="s">
        <v>18</v>
      </c>
    </row>
    <row r="11" spans="1:48" ht="260.25" customHeight="1">
      <c r="A11" s="4" t="s">
        <v>37</v>
      </c>
      <c r="B11" s="10" t="s">
        <v>34</v>
      </c>
      <c r="C11" s="10" t="s">
        <v>40</v>
      </c>
      <c r="D11" s="103">
        <v>2272106027.8000002</v>
      </c>
      <c r="E11" s="10" t="s">
        <v>235</v>
      </c>
      <c r="F11" s="103">
        <v>12836757.219209041</v>
      </c>
      <c r="G11" s="12">
        <v>309</v>
      </c>
      <c r="H11" s="12" t="s">
        <v>389</v>
      </c>
      <c r="I11" s="17" t="s">
        <v>390</v>
      </c>
      <c r="J11" s="12" t="s">
        <v>398</v>
      </c>
      <c r="K11" s="10" t="s">
        <v>46</v>
      </c>
      <c r="L11" s="9">
        <v>2</v>
      </c>
      <c r="M11" s="9" t="s">
        <v>6</v>
      </c>
      <c r="N11" s="9">
        <v>0</v>
      </c>
      <c r="O11" s="9">
        <v>0</v>
      </c>
      <c r="P11" s="9">
        <v>0</v>
      </c>
      <c r="Q11" s="9">
        <v>2</v>
      </c>
      <c r="R11" s="10" t="s">
        <v>234</v>
      </c>
      <c r="S11" s="14" t="s">
        <v>116</v>
      </c>
      <c r="T11" s="93">
        <f t="shared" si="1"/>
        <v>7139919.3143333336</v>
      </c>
      <c r="U11" s="13">
        <f t="shared" si="5"/>
        <v>14279838.628666667</v>
      </c>
      <c r="V11" s="13">
        <f>Cpte_Financiero_WT_PIC25!$H$19/75</f>
        <v>6126000</v>
      </c>
      <c r="W11" s="13">
        <f>Cpte_Financiero_WT_PIC25!$H$25/75</f>
        <v>4707000</v>
      </c>
      <c r="X11" s="13">
        <f>Cpte_Financiero_WT_PIC25!$E$58/75</f>
        <v>736552.17973333329</v>
      </c>
      <c r="Y11" s="13">
        <f t="shared" si="0"/>
        <v>2710286.4489333332</v>
      </c>
      <c r="Z11" s="81">
        <f>'Cadena de Valor'!$I$19*1</f>
        <v>169333.33333333334</v>
      </c>
      <c r="AA11" s="81">
        <v>0</v>
      </c>
      <c r="AB11" s="81">
        <f>'Cadena de Valor'!$I$17*2</f>
        <v>290000</v>
      </c>
      <c r="AC11" s="81">
        <f>'Cadena de Valor'!$I$15*10</f>
        <v>747086.66666666674</v>
      </c>
      <c r="AD11" s="81">
        <f>'Cadena de Valor'!I16*1</f>
        <v>394444.33333333331</v>
      </c>
      <c r="AE11" s="81">
        <v>400000</v>
      </c>
      <c r="AF11" s="83">
        <f t="shared" si="3"/>
        <v>326658.2</v>
      </c>
      <c r="AG11" s="83">
        <f t="shared" si="4"/>
        <v>382763.91560000001</v>
      </c>
      <c r="AH11" s="15" t="s">
        <v>22</v>
      </c>
      <c r="AI11" s="10" t="s">
        <v>216</v>
      </c>
      <c r="AJ11" s="10" t="s">
        <v>284</v>
      </c>
      <c r="AK11" s="10" t="s">
        <v>118</v>
      </c>
      <c r="AL11" s="10" t="s">
        <v>119</v>
      </c>
      <c r="AM11" s="10" t="s">
        <v>343</v>
      </c>
      <c r="AN11" s="10" t="s">
        <v>291</v>
      </c>
      <c r="AO11" s="10" t="s">
        <v>292</v>
      </c>
      <c r="AP11" s="10" t="s">
        <v>293</v>
      </c>
      <c r="AQ11" s="10" t="s">
        <v>294</v>
      </c>
      <c r="AR11" s="10" t="s">
        <v>18</v>
      </c>
    </row>
    <row r="12" spans="1:48" ht="362.25" customHeight="1">
      <c r="A12" s="4" t="s">
        <v>37</v>
      </c>
      <c r="B12" s="10" t="s">
        <v>34</v>
      </c>
      <c r="C12" s="10" t="s">
        <v>40</v>
      </c>
      <c r="D12" s="103">
        <v>2272106027.8000002</v>
      </c>
      <c r="E12" s="10" t="s">
        <v>235</v>
      </c>
      <c r="F12" s="103">
        <v>12836757.219209041</v>
      </c>
      <c r="G12" s="17">
        <v>310</v>
      </c>
      <c r="H12" s="17" t="s">
        <v>389</v>
      </c>
      <c r="I12" s="17" t="s">
        <v>390</v>
      </c>
      <c r="J12" s="17" t="s">
        <v>399</v>
      </c>
      <c r="K12" s="14" t="s">
        <v>47</v>
      </c>
      <c r="L12" s="9">
        <v>4</v>
      </c>
      <c r="M12" s="9" t="s">
        <v>6</v>
      </c>
      <c r="N12" s="9">
        <v>0</v>
      </c>
      <c r="O12" s="9">
        <v>0</v>
      </c>
      <c r="P12" s="9">
        <v>0</v>
      </c>
      <c r="Q12" s="9">
        <v>4</v>
      </c>
      <c r="R12" s="10" t="s">
        <v>234</v>
      </c>
      <c r="S12" s="14" t="s">
        <v>116</v>
      </c>
      <c r="T12" s="93">
        <f t="shared" si="1"/>
        <v>3956623.2405000003</v>
      </c>
      <c r="U12" s="13">
        <f t="shared" si="5"/>
        <v>15826492.962000001</v>
      </c>
      <c r="V12" s="13">
        <f>Cpte_Financiero_WT_PIC25!$H$19/75</f>
        <v>6126000</v>
      </c>
      <c r="W12" s="13">
        <f>Cpte_Financiero_WT_PIC25!$H$25/75</f>
        <v>4707000</v>
      </c>
      <c r="X12" s="13">
        <f>Cpte_Financiero_WT_PIC25!$E$58/75</f>
        <v>736552.17973333329</v>
      </c>
      <c r="Y12" s="13">
        <f t="shared" si="0"/>
        <v>4256940.7822666671</v>
      </c>
      <c r="Z12" s="81">
        <f>'Cadena de Valor'!$I$19*1</f>
        <v>169333.33333333334</v>
      </c>
      <c r="AA12" s="81">
        <f>'Cadena de Valor'!$I$20*4</f>
        <v>378666.66666666669</v>
      </c>
      <c r="AB12" s="81">
        <f>'Cadena de Valor'!$I$17*2</f>
        <v>290000</v>
      </c>
      <c r="AC12" s="81">
        <f>'Cadena de Valor'!$I$15*15</f>
        <v>1120630</v>
      </c>
      <c r="AD12" s="81">
        <f>'Cadena de Valor'!$I$16*2</f>
        <v>788888.66666666663</v>
      </c>
      <c r="AE12" s="81">
        <v>800000</v>
      </c>
      <c r="AF12" s="83">
        <f t="shared" si="3"/>
        <v>326658.2</v>
      </c>
      <c r="AG12" s="83">
        <f t="shared" si="4"/>
        <v>382763.91560000001</v>
      </c>
      <c r="AH12" s="15" t="s">
        <v>22</v>
      </c>
      <c r="AI12" s="10" t="s">
        <v>216</v>
      </c>
      <c r="AJ12" s="10" t="s">
        <v>284</v>
      </c>
      <c r="AK12" s="10" t="s">
        <v>118</v>
      </c>
      <c r="AL12" s="10" t="s">
        <v>119</v>
      </c>
      <c r="AM12" s="10" t="s">
        <v>341</v>
      </c>
      <c r="AN12" s="10" t="s">
        <v>275</v>
      </c>
      <c r="AO12" s="10" t="s">
        <v>365</v>
      </c>
      <c r="AP12" s="10" t="s">
        <v>277</v>
      </c>
      <c r="AQ12" s="10" t="s">
        <v>278</v>
      </c>
      <c r="AR12" s="10" t="s">
        <v>18</v>
      </c>
    </row>
    <row r="13" spans="1:48" ht="347.25" customHeight="1">
      <c r="A13" s="4" t="s">
        <v>37</v>
      </c>
      <c r="B13" s="10" t="s">
        <v>34</v>
      </c>
      <c r="C13" s="10" t="s">
        <v>40</v>
      </c>
      <c r="D13" s="103">
        <v>2272106027.8000002</v>
      </c>
      <c r="E13" s="10" t="s">
        <v>235</v>
      </c>
      <c r="F13" s="103">
        <v>12836757.219209041</v>
      </c>
      <c r="G13" s="12">
        <v>311</v>
      </c>
      <c r="H13" s="12" t="s">
        <v>400</v>
      </c>
      <c r="I13" s="17" t="s">
        <v>401</v>
      </c>
      <c r="J13" s="12" t="s">
        <v>402</v>
      </c>
      <c r="K13" s="18" t="s">
        <v>48</v>
      </c>
      <c r="L13" s="9">
        <v>1</v>
      </c>
      <c r="M13" s="9" t="s">
        <v>6</v>
      </c>
      <c r="N13" s="9">
        <v>0</v>
      </c>
      <c r="O13" s="9">
        <v>0</v>
      </c>
      <c r="P13" s="9">
        <v>0</v>
      </c>
      <c r="Q13" s="9">
        <v>1</v>
      </c>
      <c r="R13" s="10" t="s">
        <v>234</v>
      </c>
      <c r="S13" s="14" t="s">
        <v>116</v>
      </c>
      <c r="T13" s="93">
        <f t="shared" si="1"/>
        <v>14174505.295333333</v>
      </c>
      <c r="U13" s="13">
        <f t="shared" ref="U13:U21" si="6">SUM(V13:Y13)</f>
        <v>14174505.295333333</v>
      </c>
      <c r="V13" s="13">
        <f>Cpte_Financiero_WT_PIC25!$H$19/75</f>
        <v>6126000</v>
      </c>
      <c r="W13" s="13">
        <f>Cpte_Financiero_WT_PIC25!$H$25/75</f>
        <v>4707000</v>
      </c>
      <c r="X13" s="13">
        <f>Cpte_Financiero_WT_PIC25!$E$58/75</f>
        <v>736552.17973333329</v>
      </c>
      <c r="Y13" s="13">
        <f t="shared" si="0"/>
        <v>2604953.1156000001</v>
      </c>
      <c r="Z13" s="81">
        <f>'Cadena de Valor'!$I$19*1</f>
        <v>169333.33333333334</v>
      </c>
      <c r="AA13" s="81">
        <f>'Cadena de Valor'!$I$20*1</f>
        <v>94666.666666666672</v>
      </c>
      <c r="AB13" s="81">
        <f>'Cadena de Valor'!$I$17*2</f>
        <v>290000</v>
      </c>
      <c r="AC13" s="81">
        <f>'Cadena de Valor'!$I$15*10</f>
        <v>747086.66666666674</v>
      </c>
      <c r="AD13" s="81">
        <f>'Cadena de Valor'!$I$16*1</f>
        <v>394444.33333333331</v>
      </c>
      <c r="AE13" s="81">
        <v>200000</v>
      </c>
      <c r="AF13" s="83">
        <f t="shared" si="3"/>
        <v>326658.2</v>
      </c>
      <c r="AG13" s="83">
        <f t="shared" si="4"/>
        <v>382763.91560000001</v>
      </c>
      <c r="AH13" s="15" t="s">
        <v>22</v>
      </c>
      <c r="AI13" s="10" t="s">
        <v>216</v>
      </c>
      <c r="AJ13" s="10" t="s">
        <v>284</v>
      </c>
      <c r="AK13" s="10" t="s">
        <v>118</v>
      </c>
      <c r="AL13" s="10" t="s">
        <v>119</v>
      </c>
      <c r="AM13" s="10" t="s">
        <v>341</v>
      </c>
      <c r="AN13" s="10" t="s">
        <v>275</v>
      </c>
      <c r="AO13" s="10" t="s">
        <v>365</v>
      </c>
      <c r="AP13" s="10" t="s">
        <v>277</v>
      </c>
      <c r="AQ13" s="10" t="s">
        <v>278</v>
      </c>
      <c r="AR13" s="10" t="s">
        <v>18</v>
      </c>
    </row>
    <row r="14" spans="1:48" ht="218.25" customHeight="1">
      <c r="A14" s="4" t="s">
        <v>37</v>
      </c>
      <c r="B14" s="10" t="s">
        <v>34</v>
      </c>
      <c r="C14" s="10" t="s">
        <v>40</v>
      </c>
      <c r="D14" s="103">
        <v>2272106027.8000002</v>
      </c>
      <c r="E14" s="10" t="s">
        <v>235</v>
      </c>
      <c r="F14" s="103">
        <v>12836757.219209041</v>
      </c>
      <c r="G14" s="12">
        <v>312</v>
      </c>
      <c r="H14" s="12" t="s">
        <v>395</v>
      </c>
      <c r="I14" s="17" t="s">
        <v>396</v>
      </c>
      <c r="J14" s="12" t="s">
        <v>403</v>
      </c>
      <c r="K14" s="10" t="s">
        <v>49</v>
      </c>
      <c r="L14" s="9">
        <v>8</v>
      </c>
      <c r="M14" s="9" t="s">
        <v>6</v>
      </c>
      <c r="N14" s="9">
        <v>0</v>
      </c>
      <c r="O14" s="9">
        <v>3</v>
      </c>
      <c r="P14" s="9">
        <v>3</v>
      </c>
      <c r="Q14" s="9">
        <v>2</v>
      </c>
      <c r="R14" s="10" t="s">
        <v>234</v>
      </c>
      <c r="S14" s="14" t="s">
        <v>116</v>
      </c>
      <c r="T14" s="93">
        <f t="shared" si="1"/>
        <v>2078952.0369166667</v>
      </c>
      <c r="U14" s="13">
        <f t="shared" si="6"/>
        <v>16631616.295333333</v>
      </c>
      <c r="V14" s="13">
        <f>Cpte_Financiero_WT_PIC25!$H$19/75</f>
        <v>6126000</v>
      </c>
      <c r="W14" s="13">
        <f>Cpte_Financiero_WT_PIC25!$H$25/75</f>
        <v>4707000</v>
      </c>
      <c r="X14" s="13">
        <f>Cpte_Financiero_WT_PIC25!$E$58/75</f>
        <v>736552.17973333329</v>
      </c>
      <c r="Y14" s="13">
        <f t="shared" si="0"/>
        <v>5062064.1156000001</v>
      </c>
      <c r="Z14" s="81">
        <f>'Cadena de Valor'!$I$19*1</f>
        <v>169333.33333333334</v>
      </c>
      <c r="AA14" s="81">
        <f>'Cadena de Valor'!$I$20*8</f>
        <v>757333.33333333337</v>
      </c>
      <c r="AB14" s="81">
        <f>'Cadena de Valor'!$I$17*2</f>
        <v>290000</v>
      </c>
      <c r="AC14" s="81">
        <f>'Cadena de Valor'!$I$15*10</f>
        <v>747086.66666666674</v>
      </c>
      <c r="AD14" s="81">
        <f>'Cadena de Valor'!$I$16*2</f>
        <v>788888.66666666663</v>
      </c>
      <c r="AE14" s="81">
        <v>1600000</v>
      </c>
      <c r="AF14" s="83">
        <f t="shared" si="3"/>
        <v>326658.2</v>
      </c>
      <c r="AG14" s="83">
        <f t="shared" si="4"/>
        <v>382763.91560000001</v>
      </c>
      <c r="AH14" s="15" t="s">
        <v>22</v>
      </c>
      <c r="AI14" s="10" t="s">
        <v>216</v>
      </c>
      <c r="AJ14" s="10" t="s">
        <v>284</v>
      </c>
      <c r="AK14" s="10" t="s">
        <v>118</v>
      </c>
      <c r="AL14" s="10" t="s">
        <v>119</v>
      </c>
      <c r="AM14" s="10" t="s">
        <v>344</v>
      </c>
      <c r="AN14" s="10" t="s">
        <v>295</v>
      </c>
      <c r="AO14" s="10" t="s">
        <v>366</v>
      </c>
      <c r="AP14" s="10" t="s">
        <v>296</v>
      </c>
      <c r="AQ14" s="10" t="s">
        <v>297</v>
      </c>
      <c r="AR14" s="10" t="s">
        <v>18</v>
      </c>
    </row>
    <row r="15" spans="1:48" ht="274.5" customHeight="1">
      <c r="A15" s="4" t="s">
        <v>37</v>
      </c>
      <c r="B15" s="10" t="s">
        <v>34</v>
      </c>
      <c r="C15" s="10" t="s">
        <v>40</v>
      </c>
      <c r="D15" s="103">
        <v>2272106027.8000002</v>
      </c>
      <c r="E15" s="10" t="s">
        <v>235</v>
      </c>
      <c r="F15" s="103">
        <v>12836757.219209041</v>
      </c>
      <c r="G15" s="17">
        <v>313</v>
      </c>
      <c r="H15" s="17" t="s">
        <v>404</v>
      </c>
      <c r="I15" s="17" t="s">
        <v>405</v>
      </c>
      <c r="J15" s="17" t="s">
        <v>406</v>
      </c>
      <c r="K15" s="18" t="s">
        <v>50</v>
      </c>
      <c r="L15" s="9">
        <v>1</v>
      </c>
      <c r="M15" s="9" t="s">
        <v>6</v>
      </c>
      <c r="N15" s="9">
        <v>0</v>
      </c>
      <c r="O15" s="9">
        <v>0</v>
      </c>
      <c r="P15" s="9">
        <v>1</v>
      </c>
      <c r="Q15" s="9">
        <v>0</v>
      </c>
      <c r="R15" s="10" t="s">
        <v>234</v>
      </c>
      <c r="S15" s="14" t="s">
        <v>116</v>
      </c>
      <c r="T15" s="93">
        <f t="shared" si="1"/>
        <v>13884505.295333333</v>
      </c>
      <c r="U15" s="13">
        <f>SUM(V15:Y15)</f>
        <v>13884505.295333333</v>
      </c>
      <c r="V15" s="13">
        <f>Cpte_Financiero_WT_PIC25!$H$19/75</f>
        <v>6126000</v>
      </c>
      <c r="W15" s="13">
        <f>Cpte_Financiero_WT_PIC25!$H$25/75</f>
        <v>4707000</v>
      </c>
      <c r="X15" s="13">
        <f>Cpte_Financiero_WT_PIC25!$E$58/75</f>
        <v>736552.17973333329</v>
      </c>
      <c r="Y15" s="13">
        <f t="shared" si="0"/>
        <v>2314953.1156000001</v>
      </c>
      <c r="Z15" s="81">
        <f>'Cadena de Valor'!$I$19*1</f>
        <v>169333.33333333334</v>
      </c>
      <c r="AA15" s="81">
        <f>'Cadena de Valor'!$I$20*1</f>
        <v>94666.666666666672</v>
      </c>
      <c r="AB15" s="29">
        <v>0</v>
      </c>
      <c r="AC15" s="81">
        <f>'Cadena de Valor'!$I$15*10</f>
        <v>747086.66666666674</v>
      </c>
      <c r="AD15" s="81">
        <f>'Cadena de Valor'!$I$16*1</f>
        <v>394444.33333333331</v>
      </c>
      <c r="AE15" s="81">
        <v>200000</v>
      </c>
      <c r="AF15" s="83">
        <f t="shared" si="3"/>
        <v>326658.2</v>
      </c>
      <c r="AG15" s="83">
        <f t="shared" si="4"/>
        <v>382763.91560000001</v>
      </c>
      <c r="AH15" s="15" t="s">
        <v>22</v>
      </c>
      <c r="AI15" s="10" t="s">
        <v>216</v>
      </c>
      <c r="AJ15" s="10" t="s">
        <v>284</v>
      </c>
      <c r="AK15" s="10" t="s">
        <v>118</v>
      </c>
      <c r="AL15" s="10" t="s">
        <v>119</v>
      </c>
      <c r="AM15" s="10" t="s">
        <v>340</v>
      </c>
      <c r="AN15" s="10" t="s">
        <v>298</v>
      </c>
      <c r="AO15" s="10" t="s">
        <v>299</v>
      </c>
      <c r="AP15" s="10">
        <v>200</v>
      </c>
      <c r="AQ15" s="10">
        <v>800</v>
      </c>
      <c r="AR15" s="10" t="s">
        <v>18</v>
      </c>
    </row>
    <row r="16" spans="1:48" ht="276" customHeight="1">
      <c r="A16" s="4" t="s">
        <v>37</v>
      </c>
      <c r="B16" s="10" t="s">
        <v>34</v>
      </c>
      <c r="C16" s="10" t="s">
        <v>40</v>
      </c>
      <c r="D16" s="103">
        <v>2272106027.8000002</v>
      </c>
      <c r="E16" s="10" t="s">
        <v>235</v>
      </c>
      <c r="F16" s="103">
        <v>12836757.219209041</v>
      </c>
      <c r="G16" s="12">
        <v>314</v>
      </c>
      <c r="H16" s="12" t="s">
        <v>407</v>
      </c>
      <c r="I16" s="17" t="s">
        <v>408</v>
      </c>
      <c r="J16" s="12" t="s">
        <v>409</v>
      </c>
      <c r="K16" s="10" t="s">
        <v>51</v>
      </c>
      <c r="L16" s="9">
        <v>9</v>
      </c>
      <c r="M16" s="9" t="s">
        <v>6</v>
      </c>
      <c r="N16" s="9">
        <v>0</v>
      </c>
      <c r="O16" s="9">
        <v>3</v>
      </c>
      <c r="P16" s="9">
        <v>3</v>
      </c>
      <c r="Q16" s="9">
        <v>3</v>
      </c>
      <c r="R16" s="10" t="s">
        <v>234</v>
      </c>
      <c r="S16" s="14" t="s">
        <v>116</v>
      </c>
      <c r="T16" s="93">
        <f t="shared" si="1"/>
        <v>1405367.5142962963</v>
      </c>
      <c r="U16" s="13">
        <f t="shared" si="6"/>
        <v>12648307.628666667</v>
      </c>
      <c r="V16" s="13">
        <f>Cpte_Financiero_WT_PIC25!$H$19/75</f>
        <v>6126000</v>
      </c>
      <c r="W16" s="13">
        <f>Cpte_Financiero_WT_PIC25!$H$25/75</f>
        <v>4707000</v>
      </c>
      <c r="X16" s="13">
        <f>Cpte_Financiero_WT_PIC25!$E$58/75</f>
        <v>736552.17973333329</v>
      </c>
      <c r="Y16" s="13">
        <f t="shared" si="0"/>
        <v>1078755.4489333334</v>
      </c>
      <c r="Z16" s="81">
        <f>'Cadena de Valor'!$I$19*1</f>
        <v>169333.33333333334</v>
      </c>
      <c r="AA16" s="81">
        <v>0</v>
      </c>
      <c r="AB16" s="81">
        <v>0</v>
      </c>
      <c r="AC16" s="81">
        <v>0</v>
      </c>
      <c r="AD16" s="81">
        <v>0</v>
      </c>
      <c r="AE16" s="81">
        <v>200000</v>
      </c>
      <c r="AF16" s="83">
        <f t="shared" si="3"/>
        <v>326658.2</v>
      </c>
      <c r="AG16" s="83">
        <f t="shared" si="4"/>
        <v>382763.91560000001</v>
      </c>
      <c r="AH16" s="15" t="s">
        <v>22</v>
      </c>
      <c r="AI16" s="10" t="s">
        <v>216</v>
      </c>
      <c r="AJ16" s="10" t="s">
        <v>284</v>
      </c>
      <c r="AK16" s="10" t="s">
        <v>118</v>
      </c>
      <c r="AL16" s="10" t="s">
        <v>119</v>
      </c>
      <c r="AM16" s="10" t="s">
        <v>243</v>
      </c>
      <c r="AN16" s="10" t="s">
        <v>243</v>
      </c>
      <c r="AO16" s="10" t="s">
        <v>243</v>
      </c>
      <c r="AP16" s="10" t="s">
        <v>243</v>
      </c>
      <c r="AQ16" s="10" t="s">
        <v>243</v>
      </c>
      <c r="AR16" s="10" t="s">
        <v>18</v>
      </c>
    </row>
    <row r="17" spans="1:44" ht="275.10000000000002" customHeight="1">
      <c r="A17" s="4" t="s">
        <v>37</v>
      </c>
      <c r="B17" s="10" t="s">
        <v>34</v>
      </c>
      <c r="C17" s="10" t="s">
        <v>40</v>
      </c>
      <c r="D17" s="103">
        <v>2272106027.8000002</v>
      </c>
      <c r="E17" s="10" t="s">
        <v>235</v>
      </c>
      <c r="F17" s="103">
        <v>12836757.219209041</v>
      </c>
      <c r="G17" s="12">
        <v>315</v>
      </c>
      <c r="H17" s="12" t="s">
        <v>410</v>
      </c>
      <c r="I17" s="17" t="s">
        <v>411</v>
      </c>
      <c r="J17" s="12" t="s">
        <v>412</v>
      </c>
      <c r="K17" s="10" t="s">
        <v>52</v>
      </c>
      <c r="L17" s="9">
        <v>1</v>
      </c>
      <c r="M17" s="9" t="s">
        <v>6</v>
      </c>
      <c r="N17" s="9">
        <v>0</v>
      </c>
      <c r="O17" s="9">
        <v>1</v>
      </c>
      <c r="P17" s="9">
        <v>0</v>
      </c>
      <c r="Q17" s="9">
        <v>0</v>
      </c>
      <c r="R17" s="10" t="s">
        <v>234</v>
      </c>
      <c r="S17" s="14" t="s">
        <v>116</v>
      </c>
      <c r="T17" s="93">
        <f t="shared" si="1"/>
        <v>14374505.295333333</v>
      </c>
      <c r="U17" s="13">
        <f t="shared" si="6"/>
        <v>14374505.295333333</v>
      </c>
      <c r="V17" s="13">
        <f>Cpte_Financiero_WT_PIC25!$H$19/75</f>
        <v>6126000</v>
      </c>
      <c r="W17" s="13">
        <f>Cpte_Financiero_WT_PIC25!$H$25/75</f>
        <v>4707000</v>
      </c>
      <c r="X17" s="13">
        <f>Cpte_Financiero_WT_PIC25!$E$58/75</f>
        <v>736552.17973333329</v>
      </c>
      <c r="Y17" s="13">
        <f t="shared" si="0"/>
        <v>2804953.1156000001</v>
      </c>
      <c r="Z17" s="81">
        <f>'Cadena de Valor'!$I$19*1</f>
        <v>169333.33333333334</v>
      </c>
      <c r="AA17" s="81">
        <f>'Cadena de Valor'!$I$20*1</f>
        <v>94666.666666666672</v>
      </c>
      <c r="AB17" s="81">
        <f>'Cadena de Valor'!$I$17*2</f>
        <v>290000</v>
      </c>
      <c r="AC17" s="81">
        <f>'Cadena de Valor'!$I$15*10</f>
        <v>747086.66666666674</v>
      </c>
      <c r="AD17" s="81">
        <f>'Cadena de Valor'!$I$16*1</f>
        <v>394444.33333333331</v>
      </c>
      <c r="AE17" s="81">
        <v>400000</v>
      </c>
      <c r="AF17" s="83">
        <f t="shared" si="3"/>
        <v>326658.2</v>
      </c>
      <c r="AG17" s="83">
        <f t="shared" si="4"/>
        <v>382763.91560000001</v>
      </c>
      <c r="AH17" s="15" t="s">
        <v>22</v>
      </c>
      <c r="AI17" s="10" t="s">
        <v>216</v>
      </c>
      <c r="AJ17" s="10" t="s">
        <v>284</v>
      </c>
      <c r="AK17" s="10" t="s">
        <v>118</v>
      </c>
      <c r="AL17" s="10" t="s">
        <v>119</v>
      </c>
      <c r="AM17" s="10" t="s">
        <v>342</v>
      </c>
      <c r="AN17" s="10" t="s">
        <v>243</v>
      </c>
      <c r="AO17" s="10" t="s">
        <v>243</v>
      </c>
      <c r="AP17" s="10" t="s">
        <v>243</v>
      </c>
      <c r="AQ17" s="10" t="s">
        <v>243</v>
      </c>
      <c r="AR17" s="10" t="s">
        <v>18</v>
      </c>
    </row>
    <row r="18" spans="1:44" ht="273.95" customHeight="1">
      <c r="A18" s="4" t="s">
        <v>37</v>
      </c>
      <c r="B18" s="10" t="s">
        <v>34</v>
      </c>
      <c r="C18" s="10" t="s">
        <v>40</v>
      </c>
      <c r="D18" s="103">
        <v>2272106027.8000002</v>
      </c>
      <c r="E18" s="10" t="s">
        <v>235</v>
      </c>
      <c r="F18" s="103">
        <v>12836757.219209041</v>
      </c>
      <c r="G18" s="17">
        <v>316</v>
      </c>
      <c r="H18" s="17" t="s">
        <v>413</v>
      </c>
      <c r="I18" s="17" t="s">
        <v>414</v>
      </c>
      <c r="J18" s="17" t="s">
        <v>415</v>
      </c>
      <c r="K18" s="10" t="s">
        <v>53</v>
      </c>
      <c r="L18" s="9">
        <v>1</v>
      </c>
      <c r="M18" s="9" t="s">
        <v>6</v>
      </c>
      <c r="N18" s="9">
        <v>0</v>
      </c>
      <c r="O18" s="9">
        <v>0</v>
      </c>
      <c r="P18" s="9">
        <v>1</v>
      </c>
      <c r="Q18" s="9">
        <v>0</v>
      </c>
      <c r="R18" s="10" t="s">
        <v>234</v>
      </c>
      <c r="S18" s="14" t="s">
        <v>116</v>
      </c>
      <c r="T18" s="93">
        <f t="shared" si="1"/>
        <v>14084505.295333333</v>
      </c>
      <c r="U18" s="13">
        <f t="shared" si="6"/>
        <v>14084505.295333333</v>
      </c>
      <c r="V18" s="13">
        <f>Cpte_Financiero_WT_PIC25!$H$19/75</f>
        <v>6126000</v>
      </c>
      <c r="W18" s="13">
        <f>Cpte_Financiero_WT_PIC25!$H$25/75</f>
        <v>4707000</v>
      </c>
      <c r="X18" s="13">
        <f>Cpte_Financiero_WT_PIC25!$E$58/75</f>
        <v>736552.17973333329</v>
      </c>
      <c r="Y18" s="13">
        <f t="shared" si="0"/>
        <v>2514953.1156000001</v>
      </c>
      <c r="Z18" s="81">
        <f>'Cadena de Valor'!$I$19*1</f>
        <v>169333.33333333334</v>
      </c>
      <c r="AA18" s="81">
        <f>'Cadena de Valor'!$I$20*1</f>
        <v>94666.666666666672</v>
      </c>
      <c r="AB18" s="81">
        <v>0</v>
      </c>
      <c r="AC18" s="81">
        <f>'Cadena de Valor'!$I$15*10</f>
        <v>747086.66666666674</v>
      </c>
      <c r="AD18" s="81">
        <f>'Cadena de Valor'!$I$16*1</f>
        <v>394444.33333333331</v>
      </c>
      <c r="AE18" s="81">
        <v>400000</v>
      </c>
      <c r="AF18" s="83">
        <f t="shared" si="3"/>
        <v>326658.2</v>
      </c>
      <c r="AG18" s="83">
        <f t="shared" si="4"/>
        <v>382763.91560000001</v>
      </c>
      <c r="AH18" s="15" t="s">
        <v>22</v>
      </c>
      <c r="AI18" s="10" t="s">
        <v>216</v>
      </c>
      <c r="AJ18" s="10" t="s">
        <v>284</v>
      </c>
      <c r="AK18" s="10" t="s">
        <v>118</v>
      </c>
      <c r="AL18" s="10" t="s">
        <v>119</v>
      </c>
      <c r="AM18" s="10" t="s">
        <v>345</v>
      </c>
      <c r="AN18" s="10" t="s">
        <v>300</v>
      </c>
      <c r="AO18" s="10" t="s">
        <v>301</v>
      </c>
      <c r="AP18" s="10">
        <v>200</v>
      </c>
      <c r="AQ18" s="10">
        <v>1000</v>
      </c>
      <c r="AR18" s="10" t="s">
        <v>18</v>
      </c>
    </row>
    <row r="19" spans="1:44" ht="272.10000000000002" customHeight="1">
      <c r="A19" s="4" t="s">
        <v>37</v>
      </c>
      <c r="B19" s="10" t="s">
        <v>34</v>
      </c>
      <c r="C19" s="10" t="s">
        <v>40</v>
      </c>
      <c r="D19" s="103">
        <v>2272106027.8000002</v>
      </c>
      <c r="E19" s="10" t="s">
        <v>235</v>
      </c>
      <c r="F19" s="103">
        <v>12836757.219209041</v>
      </c>
      <c r="G19" s="12">
        <v>317</v>
      </c>
      <c r="H19" s="12" t="s">
        <v>416</v>
      </c>
      <c r="I19" s="17" t="s">
        <v>417</v>
      </c>
      <c r="J19" s="12" t="s">
        <v>418</v>
      </c>
      <c r="K19" s="10" t="s">
        <v>54</v>
      </c>
      <c r="L19" s="9">
        <v>1</v>
      </c>
      <c r="M19" s="9" t="s">
        <v>6</v>
      </c>
      <c r="N19" s="9">
        <v>0</v>
      </c>
      <c r="O19" s="9">
        <v>1</v>
      </c>
      <c r="P19" s="9">
        <v>0</v>
      </c>
      <c r="Q19" s="9">
        <v>0</v>
      </c>
      <c r="R19" s="10" t="s">
        <v>234</v>
      </c>
      <c r="S19" s="14" t="s">
        <v>116</v>
      </c>
      <c r="T19" s="93">
        <f t="shared" si="1"/>
        <v>13884505.295333333</v>
      </c>
      <c r="U19" s="13">
        <f t="shared" si="6"/>
        <v>13884505.295333333</v>
      </c>
      <c r="V19" s="13">
        <f>Cpte_Financiero_WT_PIC25!$H$19/75</f>
        <v>6126000</v>
      </c>
      <c r="W19" s="13">
        <f>Cpte_Financiero_WT_PIC25!$H$25/75</f>
        <v>4707000</v>
      </c>
      <c r="X19" s="13">
        <f>Cpte_Financiero_WT_PIC25!$E$58/75</f>
        <v>736552.17973333329</v>
      </c>
      <c r="Y19" s="13">
        <f t="shared" si="0"/>
        <v>2314953.1156000001</v>
      </c>
      <c r="Z19" s="81">
        <f>'Cadena de Valor'!$I$19*1</f>
        <v>169333.33333333334</v>
      </c>
      <c r="AA19" s="81">
        <f>'Cadena de Valor'!$I$20*1</f>
        <v>94666.666666666672</v>
      </c>
      <c r="AB19" s="81">
        <v>0</v>
      </c>
      <c r="AC19" s="81">
        <f>'Cadena de Valor'!$I$15*10</f>
        <v>747086.66666666674</v>
      </c>
      <c r="AD19" s="81">
        <f>'Cadena de Valor'!$I$16*1</f>
        <v>394444.33333333331</v>
      </c>
      <c r="AE19" s="81">
        <v>200000</v>
      </c>
      <c r="AF19" s="83">
        <f t="shared" si="3"/>
        <v>326658.2</v>
      </c>
      <c r="AG19" s="83">
        <f t="shared" si="4"/>
        <v>382763.91560000001</v>
      </c>
      <c r="AH19" s="15" t="s">
        <v>22</v>
      </c>
      <c r="AI19" s="10" t="s">
        <v>216</v>
      </c>
      <c r="AJ19" s="10" t="s">
        <v>284</v>
      </c>
      <c r="AK19" s="10" t="s">
        <v>118</v>
      </c>
      <c r="AL19" s="10" t="s">
        <v>119</v>
      </c>
      <c r="AM19" s="10" t="s">
        <v>345</v>
      </c>
      <c r="AN19" s="10" t="s">
        <v>300</v>
      </c>
      <c r="AO19" s="10" t="s">
        <v>302</v>
      </c>
      <c r="AP19" s="10">
        <v>200</v>
      </c>
      <c r="AQ19" s="10">
        <v>1000</v>
      </c>
      <c r="AR19" s="10" t="s">
        <v>18</v>
      </c>
    </row>
    <row r="20" spans="1:44" ht="281.45" customHeight="1">
      <c r="A20" s="4" t="s">
        <v>37</v>
      </c>
      <c r="B20" s="10" t="s">
        <v>34</v>
      </c>
      <c r="C20" s="10" t="s">
        <v>40</v>
      </c>
      <c r="D20" s="103">
        <v>2272106027.8000002</v>
      </c>
      <c r="E20" s="10" t="s">
        <v>235</v>
      </c>
      <c r="F20" s="103">
        <v>12836757.219209041</v>
      </c>
      <c r="G20" s="12">
        <v>318</v>
      </c>
      <c r="H20" s="12" t="s">
        <v>419</v>
      </c>
      <c r="I20" s="17" t="s">
        <v>420</v>
      </c>
      <c r="J20" s="12" t="s">
        <v>421</v>
      </c>
      <c r="K20" s="10" t="s">
        <v>55</v>
      </c>
      <c r="L20" s="9">
        <v>1</v>
      </c>
      <c r="M20" s="9" t="s">
        <v>6</v>
      </c>
      <c r="N20" s="9">
        <v>0</v>
      </c>
      <c r="O20" s="9">
        <v>0</v>
      </c>
      <c r="P20" s="9">
        <v>0</v>
      </c>
      <c r="Q20" s="9">
        <v>1</v>
      </c>
      <c r="R20" s="10" t="s">
        <v>234</v>
      </c>
      <c r="S20" s="14" t="s">
        <v>116</v>
      </c>
      <c r="T20" s="93">
        <f t="shared" si="1"/>
        <v>14174505.295333333</v>
      </c>
      <c r="U20" s="13">
        <f t="shared" si="6"/>
        <v>14174505.295333333</v>
      </c>
      <c r="V20" s="13">
        <f>Cpte_Financiero_WT_PIC25!$H$19/75</f>
        <v>6126000</v>
      </c>
      <c r="W20" s="13">
        <f>Cpte_Financiero_WT_PIC25!$H$25/75</f>
        <v>4707000</v>
      </c>
      <c r="X20" s="13">
        <f>Cpte_Financiero_WT_PIC25!$E$58/75</f>
        <v>736552.17973333329</v>
      </c>
      <c r="Y20" s="13">
        <f t="shared" si="0"/>
        <v>2604953.1156000001</v>
      </c>
      <c r="Z20" s="81">
        <f>'Cadena de Valor'!$I$19*1</f>
        <v>169333.33333333334</v>
      </c>
      <c r="AA20" s="81">
        <f>'Cadena de Valor'!$I$20*1</f>
        <v>94666.666666666672</v>
      </c>
      <c r="AB20" s="81">
        <f>'Cadena de Valor'!$I$17*2</f>
        <v>290000</v>
      </c>
      <c r="AC20" s="81">
        <f>'Cadena de Valor'!$I$15*10</f>
        <v>747086.66666666674</v>
      </c>
      <c r="AD20" s="81">
        <f>'Cadena de Valor'!$I$16*1</f>
        <v>394444.33333333331</v>
      </c>
      <c r="AE20" s="81">
        <v>200000</v>
      </c>
      <c r="AF20" s="83">
        <f t="shared" si="3"/>
        <v>326658.2</v>
      </c>
      <c r="AG20" s="83">
        <f t="shared" si="4"/>
        <v>382763.91560000001</v>
      </c>
      <c r="AH20" s="15" t="s">
        <v>22</v>
      </c>
      <c r="AI20" s="10" t="s">
        <v>216</v>
      </c>
      <c r="AJ20" s="10" t="s">
        <v>284</v>
      </c>
      <c r="AK20" s="10" t="s">
        <v>118</v>
      </c>
      <c r="AL20" s="10" t="s">
        <v>119</v>
      </c>
      <c r="AM20" s="10" t="s">
        <v>340</v>
      </c>
      <c r="AN20" s="10" t="s">
        <v>298</v>
      </c>
      <c r="AO20" s="10" t="s">
        <v>303</v>
      </c>
      <c r="AP20" s="10">
        <v>200</v>
      </c>
      <c r="AQ20" s="10">
        <v>800</v>
      </c>
      <c r="AR20" s="10" t="s">
        <v>18</v>
      </c>
    </row>
    <row r="21" spans="1:44" ht="273.95" customHeight="1">
      <c r="A21" s="4" t="s">
        <v>37</v>
      </c>
      <c r="B21" s="10" t="s">
        <v>34</v>
      </c>
      <c r="C21" s="10" t="s">
        <v>40</v>
      </c>
      <c r="D21" s="103">
        <v>2272106027.8000002</v>
      </c>
      <c r="E21" s="10" t="s">
        <v>235</v>
      </c>
      <c r="F21" s="103">
        <v>12836757.219209041</v>
      </c>
      <c r="G21" s="17">
        <v>319</v>
      </c>
      <c r="H21" s="17" t="s">
        <v>416</v>
      </c>
      <c r="I21" s="17" t="s">
        <v>417</v>
      </c>
      <c r="J21" s="17" t="s">
        <v>422</v>
      </c>
      <c r="K21" s="10" t="s">
        <v>56</v>
      </c>
      <c r="L21" s="9">
        <v>1</v>
      </c>
      <c r="M21" s="9" t="s">
        <v>6</v>
      </c>
      <c r="N21" s="9">
        <v>0</v>
      </c>
      <c r="O21" s="9">
        <v>1</v>
      </c>
      <c r="P21" s="9">
        <v>0</v>
      </c>
      <c r="Q21" s="9">
        <v>0</v>
      </c>
      <c r="R21" s="10" t="s">
        <v>234</v>
      </c>
      <c r="S21" s="14" t="s">
        <v>116</v>
      </c>
      <c r="T21" s="93">
        <f t="shared" si="1"/>
        <v>14174505.295333333</v>
      </c>
      <c r="U21" s="13">
        <f t="shared" si="6"/>
        <v>14174505.295333333</v>
      </c>
      <c r="V21" s="13">
        <f>Cpte_Financiero_WT_PIC25!$H$19/75</f>
        <v>6126000</v>
      </c>
      <c r="W21" s="13">
        <f>Cpte_Financiero_WT_PIC25!$H$25/75</f>
        <v>4707000</v>
      </c>
      <c r="X21" s="13">
        <f>Cpte_Financiero_WT_PIC25!$E$58/75</f>
        <v>736552.17973333329</v>
      </c>
      <c r="Y21" s="13">
        <f t="shared" si="0"/>
        <v>2604953.1156000001</v>
      </c>
      <c r="Z21" s="81">
        <f>'Cadena de Valor'!$I$19*1</f>
        <v>169333.33333333334</v>
      </c>
      <c r="AA21" s="81">
        <f>'Cadena de Valor'!$I$20*1</f>
        <v>94666.666666666672</v>
      </c>
      <c r="AB21" s="81">
        <f>'Cadena de Valor'!$I$17*2</f>
        <v>290000</v>
      </c>
      <c r="AC21" s="81">
        <f>'Cadena de Valor'!$I$15*10</f>
        <v>747086.66666666674</v>
      </c>
      <c r="AD21" s="81">
        <f>'Cadena de Valor'!$I$16*1</f>
        <v>394444.33333333331</v>
      </c>
      <c r="AE21" s="81">
        <v>200000</v>
      </c>
      <c r="AF21" s="83">
        <f t="shared" si="3"/>
        <v>326658.2</v>
      </c>
      <c r="AG21" s="83">
        <f t="shared" si="4"/>
        <v>382763.91560000001</v>
      </c>
      <c r="AH21" s="15" t="s">
        <v>22</v>
      </c>
      <c r="AI21" s="10" t="s">
        <v>216</v>
      </c>
      <c r="AJ21" s="10" t="s">
        <v>284</v>
      </c>
      <c r="AK21" s="10" t="s">
        <v>118</v>
      </c>
      <c r="AL21" s="10" t="s">
        <v>119</v>
      </c>
      <c r="AM21" s="10" t="s">
        <v>340</v>
      </c>
      <c r="AN21" s="10" t="s">
        <v>298</v>
      </c>
      <c r="AO21" s="10" t="s">
        <v>304</v>
      </c>
      <c r="AP21" s="10">
        <v>200</v>
      </c>
      <c r="AQ21" s="10">
        <v>800</v>
      </c>
      <c r="AR21" s="10" t="s">
        <v>18</v>
      </c>
    </row>
    <row r="22" spans="1:44" ht="283.5" customHeight="1">
      <c r="A22" s="4" t="s">
        <v>37</v>
      </c>
      <c r="B22" s="10" t="s">
        <v>34</v>
      </c>
      <c r="C22" s="10" t="s">
        <v>40</v>
      </c>
      <c r="D22" s="103">
        <v>2272106027.8000002</v>
      </c>
      <c r="E22" s="10" t="s">
        <v>235</v>
      </c>
      <c r="F22" s="103">
        <v>12836757.219209041</v>
      </c>
      <c r="G22" s="12">
        <v>320</v>
      </c>
      <c r="H22" s="12" t="s">
        <v>389</v>
      </c>
      <c r="I22" s="17" t="s">
        <v>390</v>
      </c>
      <c r="J22" s="12" t="s">
        <v>423</v>
      </c>
      <c r="K22" s="4" t="s">
        <v>57</v>
      </c>
      <c r="L22" s="9">
        <v>3</v>
      </c>
      <c r="M22" s="9" t="s">
        <v>6</v>
      </c>
      <c r="N22" s="9">
        <v>0</v>
      </c>
      <c r="O22" s="9">
        <v>1</v>
      </c>
      <c r="P22" s="9">
        <v>1</v>
      </c>
      <c r="Q22" s="9">
        <v>1</v>
      </c>
      <c r="R22" s="10" t="s">
        <v>234</v>
      </c>
      <c r="S22" s="14" t="s">
        <v>116</v>
      </c>
      <c r="T22" s="93">
        <f t="shared" si="1"/>
        <v>4921279.5428888891</v>
      </c>
      <c r="U22" s="13">
        <f>SUM(V22:Y22)</f>
        <v>14763838.628666667</v>
      </c>
      <c r="V22" s="13">
        <f>Cpte_Financiero_WT_PIC25!$H$19/75</f>
        <v>6126000</v>
      </c>
      <c r="W22" s="13">
        <f>Cpte_Financiero_WT_PIC25!$H$25/75</f>
        <v>4707000</v>
      </c>
      <c r="X22" s="13">
        <f>Cpte_Financiero_WT_PIC25!$E$58/75</f>
        <v>736552.17973333329</v>
      </c>
      <c r="Y22" s="13">
        <f t="shared" si="0"/>
        <v>3194286.4489333332</v>
      </c>
      <c r="Z22" s="81">
        <f>'Cadena de Valor'!$I$19*1</f>
        <v>169333.33333333334</v>
      </c>
      <c r="AA22" s="81">
        <f>'Cadena de Valor'!$I$20*3</f>
        <v>284000</v>
      </c>
      <c r="AB22" s="81">
        <f>'Cadena de Valor'!$I$17*2</f>
        <v>290000</v>
      </c>
      <c r="AC22" s="81">
        <f>'Cadena de Valor'!$I$15*10</f>
        <v>747086.66666666674</v>
      </c>
      <c r="AD22" s="81">
        <f>'Cadena de Valor'!$I$16*1</f>
        <v>394444.33333333331</v>
      </c>
      <c r="AE22" s="81">
        <v>600000</v>
      </c>
      <c r="AF22" s="83">
        <f t="shared" si="3"/>
        <v>326658.2</v>
      </c>
      <c r="AG22" s="83">
        <f t="shared" si="4"/>
        <v>382763.91560000001</v>
      </c>
      <c r="AH22" s="15" t="s">
        <v>22</v>
      </c>
      <c r="AI22" s="10" t="s">
        <v>216</v>
      </c>
      <c r="AJ22" s="10" t="s">
        <v>284</v>
      </c>
      <c r="AK22" s="10" t="s">
        <v>118</v>
      </c>
      <c r="AL22" s="10" t="s">
        <v>119</v>
      </c>
      <c r="AM22" s="10" t="s">
        <v>341</v>
      </c>
      <c r="AN22" s="10" t="s">
        <v>305</v>
      </c>
      <c r="AO22" s="10" t="s">
        <v>367</v>
      </c>
      <c r="AP22" s="10" t="s">
        <v>277</v>
      </c>
      <c r="AQ22" s="10" t="s">
        <v>278</v>
      </c>
      <c r="AR22" s="10" t="s">
        <v>18</v>
      </c>
    </row>
    <row r="23" spans="1:44" ht="291.75" customHeight="1">
      <c r="A23" s="4" t="s">
        <v>37</v>
      </c>
      <c r="B23" s="10" t="s">
        <v>34</v>
      </c>
      <c r="C23" s="10" t="s">
        <v>40</v>
      </c>
      <c r="D23" s="103">
        <v>2272106027.8000002</v>
      </c>
      <c r="E23" s="10" t="s">
        <v>235</v>
      </c>
      <c r="F23" s="103">
        <v>12836757.219209041</v>
      </c>
      <c r="G23" s="12">
        <v>321</v>
      </c>
      <c r="H23" s="12" t="s">
        <v>424</v>
      </c>
      <c r="I23" s="17" t="s">
        <v>425</v>
      </c>
      <c r="J23" s="12" t="s">
        <v>426</v>
      </c>
      <c r="K23" s="10" t="s">
        <v>58</v>
      </c>
      <c r="L23" s="9">
        <v>5</v>
      </c>
      <c r="M23" s="9" t="s">
        <v>6</v>
      </c>
      <c r="N23" s="9">
        <v>0</v>
      </c>
      <c r="O23" s="9">
        <v>2</v>
      </c>
      <c r="P23" s="9">
        <v>2</v>
      </c>
      <c r="Q23" s="9">
        <v>1</v>
      </c>
      <c r="R23" s="10" t="s">
        <v>234</v>
      </c>
      <c r="S23" s="14" t="s">
        <v>116</v>
      </c>
      <c r="T23" s="93">
        <f t="shared" si="1"/>
        <v>3149523.2590666665</v>
      </c>
      <c r="U23" s="13">
        <f t="shared" ref="U23:U32" si="7">SUM(V23:Y23)</f>
        <v>15747616.295333333</v>
      </c>
      <c r="V23" s="13">
        <f>Cpte_Financiero_WT_PIC25!$H$19/75</f>
        <v>6126000</v>
      </c>
      <c r="W23" s="13">
        <f>Cpte_Financiero_WT_PIC25!$H$25/75</f>
        <v>4707000</v>
      </c>
      <c r="X23" s="13">
        <f>Cpte_Financiero_WT_PIC25!$E$58/75</f>
        <v>736552.17973333329</v>
      </c>
      <c r="Y23" s="13">
        <f t="shared" si="0"/>
        <v>4178064.1156000001</v>
      </c>
      <c r="Z23" s="81">
        <f>'Cadena de Valor'!$I$19*1</f>
        <v>169333.33333333334</v>
      </c>
      <c r="AA23" s="81">
        <f>'Cadena de Valor'!$I$20*5</f>
        <v>473333.33333333337</v>
      </c>
      <c r="AB23" s="81">
        <f>'Cadena de Valor'!$I$17*2</f>
        <v>290000</v>
      </c>
      <c r="AC23" s="81">
        <f>'Cadena de Valor'!$I$15*10</f>
        <v>747086.66666666674</v>
      </c>
      <c r="AD23" s="81">
        <f>'Cadena de Valor'!$I$16*2</f>
        <v>788888.66666666663</v>
      </c>
      <c r="AE23" s="81">
        <v>1000000</v>
      </c>
      <c r="AF23" s="83">
        <f t="shared" si="3"/>
        <v>326658.2</v>
      </c>
      <c r="AG23" s="83">
        <f t="shared" si="4"/>
        <v>382763.91560000001</v>
      </c>
      <c r="AH23" s="15" t="s">
        <v>22</v>
      </c>
      <c r="AI23" s="10" t="s">
        <v>216</v>
      </c>
      <c r="AJ23" s="10" t="s">
        <v>284</v>
      </c>
      <c r="AK23" s="10" t="s">
        <v>118</v>
      </c>
      <c r="AL23" s="10" t="s">
        <v>119</v>
      </c>
      <c r="AM23" s="10" t="s">
        <v>343</v>
      </c>
      <c r="AN23" s="10" t="s">
        <v>306</v>
      </c>
      <c r="AO23" s="10" t="s">
        <v>307</v>
      </c>
      <c r="AP23" s="10">
        <v>400</v>
      </c>
      <c r="AQ23" s="10">
        <v>1600</v>
      </c>
      <c r="AR23" s="10" t="s">
        <v>18</v>
      </c>
    </row>
    <row r="24" spans="1:44" ht="300.75" customHeight="1">
      <c r="A24" s="4" t="s">
        <v>37</v>
      </c>
      <c r="B24" s="10" t="s">
        <v>34</v>
      </c>
      <c r="C24" s="10" t="s">
        <v>40</v>
      </c>
      <c r="D24" s="103">
        <v>2272106027.8000002</v>
      </c>
      <c r="E24" s="10" t="s">
        <v>235</v>
      </c>
      <c r="F24" s="103">
        <v>12836757.219209041</v>
      </c>
      <c r="G24" s="17">
        <v>322</v>
      </c>
      <c r="H24" s="17" t="s">
        <v>427</v>
      </c>
      <c r="I24" s="17" t="s">
        <v>428</v>
      </c>
      <c r="J24" s="17" t="s">
        <v>429</v>
      </c>
      <c r="K24" s="10" t="s">
        <v>59</v>
      </c>
      <c r="L24" s="9">
        <v>2</v>
      </c>
      <c r="M24" s="9" t="s">
        <v>6</v>
      </c>
      <c r="N24" s="9">
        <v>0</v>
      </c>
      <c r="O24" s="9">
        <v>0</v>
      </c>
      <c r="P24" s="9">
        <v>1</v>
      </c>
      <c r="Q24" s="9">
        <v>1</v>
      </c>
      <c r="R24" s="10" t="s">
        <v>234</v>
      </c>
      <c r="S24" s="14" t="s">
        <v>116</v>
      </c>
      <c r="T24" s="93">
        <f t="shared" si="1"/>
        <v>7234585.9810000006</v>
      </c>
      <c r="U24" s="13">
        <f t="shared" si="7"/>
        <v>14469171.962000001</v>
      </c>
      <c r="V24" s="13">
        <f>Cpte_Financiero_WT_PIC25!$H$19/75</f>
        <v>6126000</v>
      </c>
      <c r="W24" s="13">
        <f>Cpte_Financiero_WT_PIC25!$H$25/75</f>
        <v>4707000</v>
      </c>
      <c r="X24" s="13">
        <f>Cpte_Financiero_WT_PIC25!$E$58/75</f>
        <v>736552.17973333329</v>
      </c>
      <c r="Y24" s="13">
        <f t="shared" si="0"/>
        <v>2899619.7822666671</v>
      </c>
      <c r="Z24" s="81">
        <f>'Cadena de Valor'!$I$19*1</f>
        <v>169333.33333333334</v>
      </c>
      <c r="AA24" s="81">
        <f>'Cadena de Valor'!$I$20*2</f>
        <v>189333.33333333334</v>
      </c>
      <c r="AB24" s="81">
        <f>'Cadena de Valor'!$I$17*2</f>
        <v>290000</v>
      </c>
      <c r="AC24" s="81">
        <f>'Cadena de Valor'!$I$15*10</f>
        <v>747086.66666666674</v>
      </c>
      <c r="AD24" s="81">
        <f>'Cadena de Valor'!$I$16*1</f>
        <v>394444.33333333331</v>
      </c>
      <c r="AE24" s="81">
        <v>400000</v>
      </c>
      <c r="AF24" s="83">
        <f t="shared" si="3"/>
        <v>326658.2</v>
      </c>
      <c r="AG24" s="83">
        <f t="shared" si="4"/>
        <v>382763.91560000001</v>
      </c>
      <c r="AH24" s="15" t="s">
        <v>22</v>
      </c>
      <c r="AI24" s="10" t="s">
        <v>216</v>
      </c>
      <c r="AJ24" s="10" t="s">
        <v>284</v>
      </c>
      <c r="AK24" s="10" t="s">
        <v>118</v>
      </c>
      <c r="AL24" s="10" t="s">
        <v>119</v>
      </c>
      <c r="AM24" s="10" t="s">
        <v>343</v>
      </c>
      <c r="AN24" s="10" t="s">
        <v>306</v>
      </c>
      <c r="AO24" s="10" t="s">
        <v>308</v>
      </c>
      <c r="AP24" s="10">
        <v>200</v>
      </c>
      <c r="AQ24" s="10">
        <v>800</v>
      </c>
      <c r="AR24" s="10" t="s">
        <v>18</v>
      </c>
    </row>
    <row r="25" spans="1:44" ht="300.95" customHeight="1">
      <c r="A25" s="4" t="s">
        <v>37</v>
      </c>
      <c r="B25" s="10" t="s">
        <v>34</v>
      </c>
      <c r="C25" s="10" t="s">
        <v>40</v>
      </c>
      <c r="D25" s="103">
        <v>2272106027.8000002</v>
      </c>
      <c r="E25" s="10" t="s">
        <v>235</v>
      </c>
      <c r="F25" s="103">
        <v>12836757.219209041</v>
      </c>
      <c r="G25" s="12">
        <v>323</v>
      </c>
      <c r="H25" s="12" t="s">
        <v>430</v>
      </c>
      <c r="I25" s="17" t="s">
        <v>431</v>
      </c>
      <c r="J25" s="12" t="s">
        <v>432</v>
      </c>
      <c r="K25" s="10" t="s">
        <v>60</v>
      </c>
      <c r="L25" s="9">
        <v>1</v>
      </c>
      <c r="M25" s="9" t="s">
        <v>6</v>
      </c>
      <c r="N25" s="9">
        <v>0</v>
      </c>
      <c r="O25" s="9">
        <v>0</v>
      </c>
      <c r="P25" s="9">
        <v>1</v>
      </c>
      <c r="Q25" s="9">
        <v>0</v>
      </c>
      <c r="R25" s="10" t="s">
        <v>234</v>
      </c>
      <c r="S25" s="14" t="s">
        <v>116</v>
      </c>
      <c r="T25" s="93">
        <f t="shared" si="1"/>
        <v>14174505.295333333</v>
      </c>
      <c r="U25" s="13">
        <f t="shared" si="7"/>
        <v>14174505.295333333</v>
      </c>
      <c r="V25" s="13">
        <f>Cpte_Financiero_WT_PIC25!$H$19/75</f>
        <v>6126000</v>
      </c>
      <c r="W25" s="13">
        <f>Cpte_Financiero_WT_PIC25!$H$25/75</f>
        <v>4707000</v>
      </c>
      <c r="X25" s="13">
        <f>Cpte_Financiero_WT_PIC25!$E$58/75</f>
        <v>736552.17973333329</v>
      </c>
      <c r="Y25" s="13">
        <f t="shared" si="0"/>
        <v>2604953.1156000001</v>
      </c>
      <c r="Z25" s="81">
        <f>'Cadena de Valor'!$I$19*1</f>
        <v>169333.33333333334</v>
      </c>
      <c r="AA25" s="81">
        <f>'Cadena de Valor'!$I$20*1</f>
        <v>94666.666666666672</v>
      </c>
      <c r="AB25" s="81">
        <f>'Cadena de Valor'!$I$17*2</f>
        <v>290000</v>
      </c>
      <c r="AC25" s="81">
        <f>'Cadena de Valor'!$I$15*10</f>
        <v>747086.66666666674</v>
      </c>
      <c r="AD25" s="81">
        <f>'Cadena de Valor'!$I$16*1</f>
        <v>394444.33333333331</v>
      </c>
      <c r="AE25" s="81">
        <v>200000</v>
      </c>
      <c r="AF25" s="83">
        <f t="shared" si="3"/>
        <v>326658.2</v>
      </c>
      <c r="AG25" s="83">
        <f t="shared" si="4"/>
        <v>382763.91560000001</v>
      </c>
      <c r="AH25" s="15" t="s">
        <v>22</v>
      </c>
      <c r="AI25" s="10" t="s">
        <v>216</v>
      </c>
      <c r="AJ25" s="10" t="s">
        <v>284</v>
      </c>
      <c r="AK25" s="10" t="s">
        <v>118</v>
      </c>
      <c r="AL25" s="10" t="s">
        <v>119</v>
      </c>
      <c r="AM25" s="10" t="s">
        <v>346</v>
      </c>
      <c r="AN25" s="10" t="s">
        <v>269</v>
      </c>
      <c r="AO25" s="10" t="s">
        <v>309</v>
      </c>
      <c r="AP25" s="10">
        <v>250</v>
      </c>
      <c r="AQ25" s="10">
        <v>1250</v>
      </c>
      <c r="AR25" s="10" t="s">
        <v>18</v>
      </c>
    </row>
    <row r="26" spans="1:44" ht="284.10000000000002" customHeight="1">
      <c r="A26" s="4" t="s">
        <v>37</v>
      </c>
      <c r="B26" s="10" t="s">
        <v>34</v>
      </c>
      <c r="C26" s="10" t="s">
        <v>40</v>
      </c>
      <c r="D26" s="103">
        <v>2272106027.8000002</v>
      </c>
      <c r="E26" s="10" t="s">
        <v>235</v>
      </c>
      <c r="F26" s="103">
        <v>12836757.219209041</v>
      </c>
      <c r="G26" s="12">
        <v>324</v>
      </c>
      <c r="H26" s="12" t="s">
        <v>433</v>
      </c>
      <c r="I26" s="17" t="s">
        <v>434</v>
      </c>
      <c r="J26" s="12" t="s">
        <v>435</v>
      </c>
      <c r="K26" s="4" t="s">
        <v>61</v>
      </c>
      <c r="L26" s="9">
        <v>100</v>
      </c>
      <c r="M26" s="9" t="s">
        <v>114</v>
      </c>
      <c r="N26" s="9">
        <v>0</v>
      </c>
      <c r="O26" s="9">
        <v>50</v>
      </c>
      <c r="P26" s="9">
        <v>25</v>
      </c>
      <c r="Q26" s="9">
        <v>25</v>
      </c>
      <c r="R26" s="10" t="s">
        <v>234</v>
      </c>
      <c r="S26" s="14" t="s">
        <v>116</v>
      </c>
      <c r="T26" s="93">
        <f t="shared" si="1"/>
        <v>143745.05295333333</v>
      </c>
      <c r="U26" s="13">
        <f t="shared" si="7"/>
        <v>14374505.295333333</v>
      </c>
      <c r="V26" s="13">
        <f>Cpte_Financiero_WT_PIC25!$H$19/75</f>
        <v>6126000</v>
      </c>
      <c r="W26" s="13">
        <f>Cpte_Financiero_WT_PIC25!$H$25/75</f>
        <v>4707000</v>
      </c>
      <c r="X26" s="13">
        <f>Cpte_Financiero_WT_PIC25!$E$58/75</f>
        <v>736552.17973333329</v>
      </c>
      <c r="Y26" s="13">
        <f t="shared" si="0"/>
        <v>2804953.1156000001</v>
      </c>
      <c r="Z26" s="81">
        <f>'Cadena de Valor'!$I$19*1</f>
        <v>169333.33333333334</v>
      </c>
      <c r="AA26" s="81">
        <f>'Cadena de Valor'!$I$20*1</f>
        <v>94666.666666666672</v>
      </c>
      <c r="AB26" s="81">
        <f>'Cadena de Valor'!$I$17*2</f>
        <v>290000</v>
      </c>
      <c r="AC26" s="81">
        <f>'Cadena de Valor'!$I$15*10</f>
        <v>747086.66666666674</v>
      </c>
      <c r="AD26" s="81">
        <f>'Cadena de Valor'!$I$16*1</f>
        <v>394444.33333333331</v>
      </c>
      <c r="AE26" s="81">
        <v>400000</v>
      </c>
      <c r="AF26" s="83">
        <f t="shared" si="3"/>
        <v>326658.2</v>
      </c>
      <c r="AG26" s="83">
        <f t="shared" si="4"/>
        <v>382763.91560000001</v>
      </c>
      <c r="AH26" s="15" t="s">
        <v>22</v>
      </c>
      <c r="AI26" s="10" t="s">
        <v>216</v>
      </c>
      <c r="AJ26" s="10" t="s">
        <v>284</v>
      </c>
      <c r="AK26" s="10" t="s">
        <v>118</v>
      </c>
      <c r="AL26" s="10" t="s">
        <v>119</v>
      </c>
      <c r="AM26" s="10" t="s">
        <v>237</v>
      </c>
      <c r="AN26" s="10" t="s">
        <v>237</v>
      </c>
      <c r="AO26" s="10" t="s">
        <v>282</v>
      </c>
      <c r="AP26" s="10">
        <v>200</v>
      </c>
      <c r="AQ26" s="10">
        <v>800</v>
      </c>
      <c r="AR26" s="10" t="s">
        <v>18</v>
      </c>
    </row>
    <row r="27" spans="1:44" ht="370.5">
      <c r="A27" s="4" t="s">
        <v>37</v>
      </c>
      <c r="B27" s="10" t="s">
        <v>34</v>
      </c>
      <c r="C27" s="10" t="s">
        <v>40</v>
      </c>
      <c r="D27" s="103">
        <v>2272106027.8000002</v>
      </c>
      <c r="E27" s="10" t="s">
        <v>235</v>
      </c>
      <c r="F27" s="103">
        <v>12836757.219209041</v>
      </c>
      <c r="G27" s="17">
        <v>325</v>
      </c>
      <c r="H27" s="17" t="s">
        <v>436</v>
      </c>
      <c r="I27" s="17" t="s">
        <v>437</v>
      </c>
      <c r="J27" s="17" t="s">
        <v>438</v>
      </c>
      <c r="K27" s="4" t="s">
        <v>62</v>
      </c>
      <c r="L27" s="9">
        <v>2</v>
      </c>
      <c r="M27" s="9" t="s">
        <v>6</v>
      </c>
      <c r="N27" s="9">
        <v>0</v>
      </c>
      <c r="O27" s="9">
        <v>1</v>
      </c>
      <c r="P27" s="9">
        <v>0</v>
      </c>
      <c r="Q27" s="9">
        <v>1</v>
      </c>
      <c r="R27" s="10" t="s">
        <v>234</v>
      </c>
      <c r="S27" s="14" t="s">
        <v>116</v>
      </c>
      <c r="T27" s="93">
        <f t="shared" si="1"/>
        <v>7234585.9810000006</v>
      </c>
      <c r="U27" s="13">
        <f t="shared" si="7"/>
        <v>14469171.962000001</v>
      </c>
      <c r="V27" s="13">
        <f>Cpte_Financiero_WT_PIC25!$H$19/75</f>
        <v>6126000</v>
      </c>
      <c r="W27" s="13">
        <f>Cpte_Financiero_WT_PIC25!$H$25/75</f>
        <v>4707000</v>
      </c>
      <c r="X27" s="13">
        <f>Cpte_Financiero_WT_PIC25!$E$58/75</f>
        <v>736552.17973333329</v>
      </c>
      <c r="Y27" s="13">
        <f t="shared" si="0"/>
        <v>2899619.7822666671</v>
      </c>
      <c r="Z27" s="81">
        <f>'Cadena de Valor'!$I$19*1</f>
        <v>169333.33333333334</v>
      </c>
      <c r="AA27" s="81">
        <f>'Cadena de Valor'!$I$20*2</f>
        <v>189333.33333333334</v>
      </c>
      <c r="AB27" s="81">
        <f>'Cadena de Valor'!$I$17*2</f>
        <v>290000</v>
      </c>
      <c r="AC27" s="81">
        <f>'Cadena de Valor'!$I$15*10</f>
        <v>747086.66666666674</v>
      </c>
      <c r="AD27" s="81">
        <f>'Cadena de Valor'!$I$16*1</f>
        <v>394444.33333333331</v>
      </c>
      <c r="AE27" s="81">
        <v>400000</v>
      </c>
      <c r="AF27" s="83">
        <f t="shared" si="3"/>
        <v>326658.2</v>
      </c>
      <c r="AG27" s="83">
        <f t="shared" si="4"/>
        <v>382763.91560000001</v>
      </c>
      <c r="AH27" s="15" t="s">
        <v>22</v>
      </c>
      <c r="AI27" s="10" t="s">
        <v>216</v>
      </c>
      <c r="AJ27" s="10" t="s">
        <v>284</v>
      </c>
      <c r="AK27" s="10" t="s">
        <v>118</v>
      </c>
      <c r="AL27" s="10" t="s">
        <v>119</v>
      </c>
      <c r="AM27" s="10" t="s">
        <v>341</v>
      </c>
      <c r="AN27" s="10" t="s">
        <v>305</v>
      </c>
      <c r="AO27" s="10" t="s">
        <v>368</v>
      </c>
      <c r="AP27" s="10" t="s">
        <v>277</v>
      </c>
      <c r="AQ27" s="10" t="s">
        <v>278</v>
      </c>
      <c r="AR27" s="10" t="s">
        <v>18</v>
      </c>
    </row>
    <row r="28" spans="1:44" ht="370.5">
      <c r="A28" s="4" t="s">
        <v>37</v>
      </c>
      <c r="B28" s="10" t="s">
        <v>34</v>
      </c>
      <c r="C28" s="10" t="s">
        <v>40</v>
      </c>
      <c r="D28" s="103">
        <v>2272106027.8000002</v>
      </c>
      <c r="E28" s="10" t="s">
        <v>235</v>
      </c>
      <c r="F28" s="103">
        <v>12836757.219209041</v>
      </c>
      <c r="G28" s="12">
        <v>326</v>
      </c>
      <c r="H28" s="12" t="s">
        <v>439</v>
      </c>
      <c r="I28" s="17" t="s">
        <v>440</v>
      </c>
      <c r="J28" s="12" t="s">
        <v>441</v>
      </c>
      <c r="K28" s="10" t="s">
        <v>63</v>
      </c>
      <c r="L28" s="9">
        <v>9</v>
      </c>
      <c r="M28" s="9" t="s">
        <v>6</v>
      </c>
      <c r="N28" s="9">
        <v>0</v>
      </c>
      <c r="O28" s="9">
        <v>3</v>
      </c>
      <c r="P28" s="9">
        <v>3</v>
      </c>
      <c r="Q28" s="9">
        <v>3</v>
      </c>
      <c r="R28" s="10" t="s">
        <v>234</v>
      </c>
      <c r="S28" s="14" t="s">
        <v>116</v>
      </c>
      <c r="T28" s="93">
        <f t="shared" si="1"/>
        <v>1405367.5142962963</v>
      </c>
      <c r="U28" s="13">
        <f t="shared" si="7"/>
        <v>12648307.628666667</v>
      </c>
      <c r="V28" s="13">
        <f>Cpte_Financiero_WT_PIC25!$H$19/75</f>
        <v>6126000</v>
      </c>
      <c r="W28" s="13">
        <f>Cpte_Financiero_WT_PIC25!$H$25/75</f>
        <v>4707000</v>
      </c>
      <c r="X28" s="13">
        <f>Cpte_Financiero_WT_PIC25!$E$58/75</f>
        <v>736552.17973333329</v>
      </c>
      <c r="Y28" s="13">
        <f t="shared" si="0"/>
        <v>1078755.4489333334</v>
      </c>
      <c r="Z28" s="81">
        <f>'Cadena de Valor'!$I$19*1</f>
        <v>169333.33333333334</v>
      </c>
      <c r="AA28" s="81">
        <v>0</v>
      </c>
      <c r="AB28" s="81">
        <v>0</v>
      </c>
      <c r="AC28" s="81">
        <v>0</v>
      </c>
      <c r="AD28" s="81">
        <v>0</v>
      </c>
      <c r="AE28" s="81">
        <v>200000</v>
      </c>
      <c r="AF28" s="83">
        <f t="shared" si="3"/>
        <v>326658.2</v>
      </c>
      <c r="AG28" s="83">
        <f t="shared" si="4"/>
        <v>382763.91560000001</v>
      </c>
      <c r="AH28" s="15" t="s">
        <v>22</v>
      </c>
      <c r="AI28" s="10" t="s">
        <v>216</v>
      </c>
      <c r="AJ28" s="10" t="s">
        <v>284</v>
      </c>
      <c r="AK28" s="10" t="s">
        <v>118</v>
      </c>
      <c r="AL28" s="10" t="s">
        <v>119</v>
      </c>
      <c r="AM28" s="10" t="s">
        <v>243</v>
      </c>
      <c r="AN28" s="10" t="s">
        <v>243</v>
      </c>
      <c r="AO28" s="10" t="s">
        <v>243</v>
      </c>
      <c r="AP28" s="10" t="s">
        <v>243</v>
      </c>
      <c r="AQ28" s="10" t="s">
        <v>243</v>
      </c>
      <c r="AR28" s="10" t="s">
        <v>18</v>
      </c>
    </row>
    <row r="29" spans="1:44" ht="370.5">
      <c r="A29" s="4" t="s">
        <v>37</v>
      </c>
      <c r="B29" s="10" t="s">
        <v>34</v>
      </c>
      <c r="C29" s="10" t="s">
        <v>40</v>
      </c>
      <c r="D29" s="103">
        <v>2272106027.8000002</v>
      </c>
      <c r="E29" s="10" t="s">
        <v>235</v>
      </c>
      <c r="F29" s="103">
        <v>12836757.219209041</v>
      </c>
      <c r="G29" s="12">
        <v>327</v>
      </c>
      <c r="H29" s="12" t="s">
        <v>430</v>
      </c>
      <c r="I29" s="17" t="s">
        <v>431</v>
      </c>
      <c r="J29" s="12" t="s">
        <v>442</v>
      </c>
      <c r="K29" s="4" t="s">
        <v>64</v>
      </c>
      <c r="L29" s="9">
        <v>9</v>
      </c>
      <c r="M29" s="9" t="s">
        <v>6</v>
      </c>
      <c r="N29" s="9">
        <v>0</v>
      </c>
      <c r="O29" s="9">
        <v>3</v>
      </c>
      <c r="P29" s="9">
        <v>3</v>
      </c>
      <c r="Q29" s="9">
        <v>3</v>
      </c>
      <c r="R29" s="10" t="s">
        <v>234</v>
      </c>
      <c r="S29" s="14" t="s">
        <v>116</v>
      </c>
      <c r="T29" s="93">
        <f t="shared" si="1"/>
        <v>1405367.5142962963</v>
      </c>
      <c r="U29" s="13">
        <f t="shared" si="7"/>
        <v>12648307.628666667</v>
      </c>
      <c r="V29" s="13">
        <f>Cpte_Financiero_WT_PIC25!$H$19/75</f>
        <v>6126000</v>
      </c>
      <c r="W29" s="13">
        <f>Cpte_Financiero_WT_PIC25!$H$25/75</f>
        <v>4707000</v>
      </c>
      <c r="X29" s="13">
        <f>Cpte_Financiero_WT_PIC25!$E$58/75</f>
        <v>736552.17973333329</v>
      </c>
      <c r="Y29" s="13">
        <f t="shared" si="0"/>
        <v>1078755.4489333334</v>
      </c>
      <c r="Z29" s="81">
        <f>'Cadena de Valor'!$I$19*1</f>
        <v>169333.33333333334</v>
      </c>
      <c r="AA29" s="81">
        <v>0</v>
      </c>
      <c r="AB29" s="81">
        <v>0</v>
      </c>
      <c r="AC29" s="81">
        <v>0</v>
      </c>
      <c r="AD29" s="81">
        <v>0</v>
      </c>
      <c r="AE29" s="81">
        <v>200000</v>
      </c>
      <c r="AF29" s="83">
        <f t="shared" si="3"/>
        <v>326658.2</v>
      </c>
      <c r="AG29" s="83">
        <f t="shared" si="4"/>
        <v>382763.91560000001</v>
      </c>
      <c r="AH29" s="15" t="s">
        <v>22</v>
      </c>
      <c r="AI29" s="10" t="s">
        <v>216</v>
      </c>
      <c r="AJ29" s="10" t="s">
        <v>284</v>
      </c>
      <c r="AK29" s="10" t="s">
        <v>118</v>
      </c>
      <c r="AL29" s="10" t="s">
        <v>119</v>
      </c>
      <c r="AM29" s="10" t="s">
        <v>243</v>
      </c>
      <c r="AN29" s="10" t="s">
        <v>243</v>
      </c>
      <c r="AO29" s="10" t="s">
        <v>243</v>
      </c>
      <c r="AP29" s="10" t="s">
        <v>243</v>
      </c>
      <c r="AQ29" s="10" t="s">
        <v>243</v>
      </c>
      <c r="AR29" s="10" t="s">
        <v>18</v>
      </c>
    </row>
    <row r="30" spans="1:44" ht="370.5">
      <c r="A30" s="4" t="s">
        <v>37</v>
      </c>
      <c r="B30" s="10" t="s">
        <v>34</v>
      </c>
      <c r="C30" s="10" t="s">
        <v>40</v>
      </c>
      <c r="D30" s="103">
        <v>2272106027.8000002</v>
      </c>
      <c r="E30" s="10" t="s">
        <v>235</v>
      </c>
      <c r="F30" s="103">
        <v>12836757.219209041</v>
      </c>
      <c r="G30" s="17">
        <v>328</v>
      </c>
      <c r="H30" s="17" t="s">
        <v>410</v>
      </c>
      <c r="I30" s="17" t="s">
        <v>411</v>
      </c>
      <c r="J30" s="17" t="s">
        <v>443</v>
      </c>
      <c r="K30" s="4" t="s">
        <v>65</v>
      </c>
      <c r="L30" s="9">
        <v>3</v>
      </c>
      <c r="M30" s="9" t="s">
        <v>6</v>
      </c>
      <c r="N30" s="9">
        <v>0</v>
      </c>
      <c r="O30" s="9">
        <v>1</v>
      </c>
      <c r="P30" s="9">
        <v>1</v>
      </c>
      <c r="Q30" s="9">
        <v>1</v>
      </c>
      <c r="R30" s="10" t="s">
        <v>234</v>
      </c>
      <c r="S30" s="14" t="s">
        <v>116</v>
      </c>
      <c r="T30" s="93">
        <f t="shared" si="1"/>
        <v>4921279.5428888891</v>
      </c>
      <c r="U30" s="13">
        <f t="shared" si="7"/>
        <v>14763838.628666667</v>
      </c>
      <c r="V30" s="13">
        <f>Cpte_Financiero_WT_PIC25!$H$19/75</f>
        <v>6126000</v>
      </c>
      <c r="W30" s="13">
        <f>Cpte_Financiero_WT_PIC25!$H$25/75</f>
        <v>4707000</v>
      </c>
      <c r="X30" s="13">
        <f>Cpte_Financiero_WT_PIC25!$E$58/75</f>
        <v>736552.17973333329</v>
      </c>
      <c r="Y30" s="13">
        <f t="shared" si="0"/>
        <v>3194286.4489333332</v>
      </c>
      <c r="Z30" s="81">
        <f>'Cadena de Valor'!$I$19*1</f>
        <v>169333.33333333334</v>
      </c>
      <c r="AA30" s="81">
        <f>'Cadena de Valor'!$I$20*3</f>
        <v>284000</v>
      </c>
      <c r="AB30" s="81">
        <f>'Cadena de Valor'!$I$17*2</f>
        <v>290000</v>
      </c>
      <c r="AC30" s="81">
        <f>'Cadena de Valor'!$I$15*10</f>
        <v>747086.66666666674</v>
      </c>
      <c r="AD30" s="81">
        <f>'Cadena de Valor'!$I$16*1</f>
        <v>394444.33333333331</v>
      </c>
      <c r="AE30" s="81">
        <v>600000</v>
      </c>
      <c r="AF30" s="83">
        <f t="shared" si="3"/>
        <v>326658.2</v>
      </c>
      <c r="AG30" s="83">
        <f t="shared" si="4"/>
        <v>382763.91560000001</v>
      </c>
      <c r="AH30" s="15" t="s">
        <v>22</v>
      </c>
      <c r="AI30" s="10" t="s">
        <v>216</v>
      </c>
      <c r="AJ30" s="10" t="s">
        <v>284</v>
      </c>
      <c r="AK30" s="10" t="s">
        <v>118</v>
      </c>
      <c r="AL30" s="10" t="s">
        <v>119</v>
      </c>
      <c r="AM30" s="10" t="s">
        <v>340</v>
      </c>
      <c r="AN30" s="10" t="s">
        <v>310</v>
      </c>
      <c r="AO30" s="10" t="s">
        <v>311</v>
      </c>
      <c r="AP30" s="10">
        <v>200</v>
      </c>
      <c r="AQ30" s="10">
        <v>800</v>
      </c>
      <c r="AR30" s="10" t="s">
        <v>18</v>
      </c>
    </row>
    <row r="31" spans="1:44" ht="370.5">
      <c r="A31" s="4" t="s">
        <v>37</v>
      </c>
      <c r="B31" s="10" t="s">
        <v>34</v>
      </c>
      <c r="C31" s="10" t="s">
        <v>40</v>
      </c>
      <c r="D31" s="103">
        <v>2272106027.8000002</v>
      </c>
      <c r="E31" s="10" t="s">
        <v>235</v>
      </c>
      <c r="F31" s="103">
        <v>12836757.219209041</v>
      </c>
      <c r="G31" s="12">
        <v>329</v>
      </c>
      <c r="H31" s="12" t="s">
        <v>410</v>
      </c>
      <c r="I31" s="17" t="s">
        <v>411</v>
      </c>
      <c r="J31" s="12" t="s">
        <v>444</v>
      </c>
      <c r="K31" s="4" t="s">
        <v>66</v>
      </c>
      <c r="L31" s="9">
        <v>3</v>
      </c>
      <c r="M31" s="9" t="s">
        <v>6</v>
      </c>
      <c r="N31" s="9">
        <v>0</v>
      </c>
      <c r="O31" s="9">
        <v>1</v>
      </c>
      <c r="P31" s="9">
        <v>1</v>
      </c>
      <c r="Q31" s="9">
        <v>1</v>
      </c>
      <c r="R31" s="10" t="s">
        <v>234</v>
      </c>
      <c r="S31" s="14" t="s">
        <v>116</v>
      </c>
      <c r="T31" s="93">
        <f t="shared" si="1"/>
        <v>4921279.5428888891</v>
      </c>
      <c r="U31" s="13">
        <f t="shared" si="7"/>
        <v>14763838.628666667</v>
      </c>
      <c r="V31" s="13">
        <f>Cpte_Financiero_WT_PIC25!$H$19/75</f>
        <v>6126000</v>
      </c>
      <c r="W31" s="13">
        <f>Cpte_Financiero_WT_PIC25!$H$25/75</f>
        <v>4707000</v>
      </c>
      <c r="X31" s="13">
        <f>Cpte_Financiero_WT_PIC25!$E$58/75</f>
        <v>736552.17973333329</v>
      </c>
      <c r="Y31" s="13">
        <f t="shared" si="0"/>
        <v>3194286.4489333332</v>
      </c>
      <c r="Z31" s="81">
        <f>'Cadena de Valor'!$I$19*1</f>
        <v>169333.33333333334</v>
      </c>
      <c r="AA31" s="81">
        <f>'Cadena de Valor'!$I$20*3</f>
        <v>284000</v>
      </c>
      <c r="AB31" s="81">
        <f>'Cadena de Valor'!$I$17*2</f>
        <v>290000</v>
      </c>
      <c r="AC31" s="81">
        <f>'Cadena de Valor'!$I$15*10</f>
        <v>747086.66666666674</v>
      </c>
      <c r="AD31" s="81">
        <f>'Cadena de Valor'!$I$16*1</f>
        <v>394444.33333333331</v>
      </c>
      <c r="AE31" s="81">
        <v>600000</v>
      </c>
      <c r="AF31" s="83">
        <f t="shared" si="3"/>
        <v>326658.2</v>
      </c>
      <c r="AG31" s="83">
        <f t="shared" si="4"/>
        <v>382763.91560000001</v>
      </c>
      <c r="AH31" s="15" t="s">
        <v>22</v>
      </c>
      <c r="AI31" s="10" t="s">
        <v>216</v>
      </c>
      <c r="AJ31" s="10" t="s">
        <v>284</v>
      </c>
      <c r="AK31" s="10" t="s">
        <v>118</v>
      </c>
      <c r="AL31" s="10" t="s">
        <v>119</v>
      </c>
      <c r="AM31" s="10" t="s">
        <v>345</v>
      </c>
      <c r="AN31" s="10" t="s">
        <v>300</v>
      </c>
      <c r="AO31" s="10" t="s">
        <v>369</v>
      </c>
      <c r="AP31" s="10">
        <v>200</v>
      </c>
      <c r="AQ31" s="10">
        <v>1000</v>
      </c>
      <c r="AR31" s="10" t="s">
        <v>18</v>
      </c>
    </row>
    <row r="32" spans="1:44" ht="370.5">
      <c r="A32" s="4" t="s">
        <v>37</v>
      </c>
      <c r="B32" s="10" t="s">
        <v>34</v>
      </c>
      <c r="C32" s="10" t="s">
        <v>40</v>
      </c>
      <c r="D32" s="103">
        <v>2272106027.8000002</v>
      </c>
      <c r="E32" s="10" t="s">
        <v>235</v>
      </c>
      <c r="F32" s="103">
        <v>12836757.219209041</v>
      </c>
      <c r="G32" s="12">
        <v>330</v>
      </c>
      <c r="H32" s="12" t="s">
        <v>407</v>
      </c>
      <c r="I32" s="17" t="s">
        <v>408</v>
      </c>
      <c r="J32" s="12" t="s">
        <v>445</v>
      </c>
      <c r="K32" s="4" t="s">
        <v>67</v>
      </c>
      <c r="L32" s="9">
        <v>3</v>
      </c>
      <c r="M32" s="9" t="s">
        <v>115</v>
      </c>
      <c r="N32" s="9">
        <v>0</v>
      </c>
      <c r="O32" s="9">
        <v>1</v>
      </c>
      <c r="P32" s="9">
        <v>1</v>
      </c>
      <c r="Q32" s="9">
        <v>1</v>
      </c>
      <c r="R32" s="10" t="s">
        <v>234</v>
      </c>
      <c r="S32" s="14" t="s">
        <v>116</v>
      </c>
      <c r="T32" s="93">
        <f t="shared" si="1"/>
        <v>4921279.5428888891</v>
      </c>
      <c r="U32" s="13">
        <f t="shared" si="7"/>
        <v>14763838.628666667</v>
      </c>
      <c r="V32" s="13">
        <f>Cpte_Financiero_WT_PIC25!$H$19/75</f>
        <v>6126000</v>
      </c>
      <c r="W32" s="13">
        <f>Cpte_Financiero_WT_PIC25!$H$25/75</f>
        <v>4707000</v>
      </c>
      <c r="X32" s="13">
        <f>Cpte_Financiero_WT_PIC25!$E$58/75</f>
        <v>736552.17973333329</v>
      </c>
      <c r="Y32" s="13">
        <f t="shared" si="0"/>
        <v>3194286.4489333332</v>
      </c>
      <c r="Z32" s="81">
        <f>'Cadena de Valor'!$I$19*1</f>
        <v>169333.33333333334</v>
      </c>
      <c r="AA32" s="81">
        <f>'Cadena de Valor'!$I$20*3</f>
        <v>284000</v>
      </c>
      <c r="AB32" s="81">
        <f>'Cadena de Valor'!$I$17*2</f>
        <v>290000</v>
      </c>
      <c r="AC32" s="81">
        <f>'Cadena de Valor'!$I$15*10</f>
        <v>747086.66666666674</v>
      </c>
      <c r="AD32" s="81">
        <f>'Cadena de Valor'!$I$16*1</f>
        <v>394444.33333333331</v>
      </c>
      <c r="AE32" s="81">
        <v>600000</v>
      </c>
      <c r="AF32" s="83">
        <f t="shared" si="3"/>
        <v>326658.2</v>
      </c>
      <c r="AG32" s="83">
        <f t="shared" si="4"/>
        <v>382763.91560000001</v>
      </c>
      <c r="AH32" s="15" t="s">
        <v>22</v>
      </c>
      <c r="AI32" s="10" t="s">
        <v>216</v>
      </c>
      <c r="AJ32" s="10" t="s">
        <v>284</v>
      </c>
      <c r="AK32" s="10" t="s">
        <v>118</v>
      </c>
      <c r="AL32" s="10" t="s">
        <v>119</v>
      </c>
      <c r="AM32" s="10" t="s">
        <v>341</v>
      </c>
      <c r="AN32" s="10" t="s">
        <v>275</v>
      </c>
      <c r="AO32" s="10" t="s">
        <v>370</v>
      </c>
      <c r="AP32" s="10" t="s">
        <v>277</v>
      </c>
      <c r="AQ32" s="10" t="s">
        <v>278</v>
      </c>
      <c r="AR32" s="10" t="s">
        <v>18</v>
      </c>
    </row>
    <row r="33" spans="1:44" ht="370.5">
      <c r="A33" s="4" t="s">
        <v>37</v>
      </c>
      <c r="B33" s="10" t="s">
        <v>34</v>
      </c>
      <c r="C33" s="10" t="s">
        <v>40</v>
      </c>
      <c r="D33" s="103">
        <v>2272106027.8000002</v>
      </c>
      <c r="E33" s="10" t="s">
        <v>235</v>
      </c>
      <c r="F33" s="103">
        <v>12836757.219209041</v>
      </c>
      <c r="G33" s="17">
        <v>331</v>
      </c>
      <c r="H33" s="17" t="s">
        <v>407</v>
      </c>
      <c r="I33" s="17" t="s">
        <v>408</v>
      </c>
      <c r="J33" s="17" t="s">
        <v>446</v>
      </c>
      <c r="K33" s="4" t="s">
        <v>68</v>
      </c>
      <c r="L33" s="9">
        <v>3</v>
      </c>
      <c r="M33" s="9" t="s">
        <v>6</v>
      </c>
      <c r="N33" s="9">
        <v>0</v>
      </c>
      <c r="O33" s="9">
        <v>1</v>
      </c>
      <c r="P33" s="9">
        <v>1</v>
      </c>
      <c r="Q33" s="9">
        <v>1</v>
      </c>
      <c r="R33" s="10" t="s">
        <v>234</v>
      </c>
      <c r="S33" s="14" t="s">
        <v>116</v>
      </c>
      <c r="T33" s="93">
        <f t="shared" si="1"/>
        <v>4921279.5428888891</v>
      </c>
      <c r="U33" s="13">
        <f>SUM(V33:Y33)</f>
        <v>14763838.628666667</v>
      </c>
      <c r="V33" s="13">
        <f>Cpte_Financiero_WT_PIC25!$H$19/75</f>
        <v>6126000</v>
      </c>
      <c r="W33" s="13">
        <f>Cpte_Financiero_WT_PIC25!$H$25/75</f>
        <v>4707000</v>
      </c>
      <c r="X33" s="13">
        <f>Cpte_Financiero_WT_PIC25!$E$58/75</f>
        <v>736552.17973333329</v>
      </c>
      <c r="Y33" s="13">
        <f t="shared" si="0"/>
        <v>3194286.4489333332</v>
      </c>
      <c r="Z33" s="81">
        <f>'Cadena de Valor'!$I$19*1</f>
        <v>169333.33333333334</v>
      </c>
      <c r="AA33" s="81">
        <f>'Cadena de Valor'!$I$20*3</f>
        <v>284000</v>
      </c>
      <c r="AB33" s="81">
        <f>'Cadena de Valor'!$I$17*2</f>
        <v>290000</v>
      </c>
      <c r="AC33" s="81">
        <f>'Cadena de Valor'!$I$15*10</f>
        <v>747086.66666666674</v>
      </c>
      <c r="AD33" s="81">
        <f>'Cadena de Valor'!$I$16*1</f>
        <v>394444.33333333331</v>
      </c>
      <c r="AE33" s="81">
        <v>600000</v>
      </c>
      <c r="AF33" s="83">
        <f t="shared" si="3"/>
        <v>326658.2</v>
      </c>
      <c r="AG33" s="83">
        <f t="shared" si="4"/>
        <v>382763.91560000001</v>
      </c>
      <c r="AH33" s="15" t="s">
        <v>22</v>
      </c>
      <c r="AI33" s="10" t="s">
        <v>216</v>
      </c>
      <c r="AJ33" s="10" t="s">
        <v>284</v>
      </c>
      <c r="AK33" s="10" t="s">
        <v>118</v>
      </c>
      <c r="AL33" s="10" t="s">
        <v>119</v>
      </c>
      <c r="AM33" s="10" t="s">
        <v>340</v>
      </c>
      <c r="AN33" s="10" t="s">
        <v>312</v>
      </c>
      <c r="AO33" s="10" t="s">
        <v>313</v>
      </c>
      <c r="AP33" s="10">
        <v>200</v>
      </c>
      <c r="AQ33" s="10">
        <v>800</v>
      </c>
      <c r="AR33" s="10" t="s">
        <v>18</v>
      </c>
    </row>
    <row r="34" spans="1:44" ht="370.5">
      <c r="A34" s="10" t="s">
        <v>37</v>
      </c>
      <c r="B34" s="10" t="s">
        <v>34</v>
      </c>
      <c r="C34" s="10" t="s">
        <v>40</v>
      </c>
      <c r="D34" s="103">
        <v>2272106027.8000002</v>
      </c>
      <c r="E34" s="10" t="s">
        <v>235</v>
      </c>
      <c r="F34" s="103">
        <v>12836757.219209041</v>
      </c>
      <c r="G34" s="12">
        <v>332</v>
      </c>
      <c r="H34" s="12" t="s">
        <v>447</v>
      </c>
      <c r="I34" s="17" t="s">
        <v>448</v>
      </c>
      <c r="J34" s="12" t="s">
        <v>449</v>
      </c>
      <c r="K34" s="10" t="s">
        <v>69</v>
      </c>
      <c r="L34" s="9">
        <v>2</v>
      </c>
      <c r="M34" s="9" t="s">
        <v>6</v>
      </c>
      <c r="N34" s="9">
        <v>0</v>
      </c>
      <c r="O34" s="9">
        <v>1</v>
      </c>
      <c r="P34" s="9">
        <v>1</v>
      </c>
      <c r="Q34" s="9">
        <v>0</v>
      </c>
      <c r="R34" s="10" t="s">
        <v>234</v>
      </c>
      <c r="S34" s="14" t="s">
        <v>116</v>
      </c>
      <c r="T34" s="93">
        <f t="shared" si="1"/>
        <v>7234585.9810000006</v>
      </c>
      <c r="U34" s="13">
        <f t="shared" ref="U34:U51" si="8">SUM(V34:Y34)</f>
        <v>14469171.962000001</v>
      </c>
      <c r="V34" s="13">
        <f>Cpte_Financiero_WT_PIC25!$H$19/75</f>
        <v>6126000</v>
      </c>
      <c r="W34" s="13">
        <f>Cpte_Financiero_WT_PIC25!$H$25/75</f>
        <v>4707000</v>
      </c>
      <c r="X34" s="13">
        <f>Cpte_Financiero_WT_PIC25!$E$58/75</f>
        <v>736552.17973333329</v>
      </c>
      <c r="Y34" s="13">
        <f t="shared" si="0"/>
        <v>2899619.7822666671</v>
      </c>
      <c r="Z34" s="81">
        <f>'Cadena de Valor'!$I$19*1</f>
        <v>169333.33333333334</v>
      </c>
      <c r="AA34" s="81">
        <f>'Cadena de Valor'!$I$20*2</f>
        <v>189333.33333333334</v>
      </c>
      <c r="AB34" s="81">
        <f>'Cadena de Valor'!$I$17*2</f>
        <v>290000</v>
      </c>
      <c r="AC34" s="81">
        <f>'Cadena de Valor'!$I$15*10</f>
        <v>747086.66666666674</v>
      </c>
      <c r="AD34" s="81">
        <f>'Cadena de Valor'!$I$16*1</f>
        <v>394444.33333333331</v>
      </c>
      <c r="AE34" s="81">
        <v>400000</v>
      </c>
      <c r="AF34" s="83">
        <f t="shared" si="3"/>
        <v>326658.2</v>
      </c>
      <c r="AG34" s="83">
        <f t="shared" si="4"/>
        <v>382763.91560000001</v>
      </c>
      <c r="AH34" s="15" t="s">
        <v>22</v>
      </c>
      <c r="AI34" s="10" t="s">
        <v>216</v>
      </c>
      <c r="AJ34" s="10" t="s">
        <v>284</v>
      </c>
      <c r="AK34" s="10" t="s">
        <v>118</v>
      </c>
      <c r="AL34" s="10" t="s">
        <v>119</v>
      </c>
      <c r="AM34" s="10" t="s">
        <v>340</v>
      </c>
      <c r="AN34" s="10" t="s">
        <v>314</v>
      </c>
      <c r="AO34" s="10" t="s">
        <v>371</v>
      </c>
      <c r="AP34" s="10">
        <v>200</v>
      </c>
      <c r="AQ34" s="10">
        <v>800</v>
      </c>
      <c r="AR34" s="10" t="s">
        <v>18</v>
      </c>
    </row>
    <row r="35" spans="1:44" ht="370.5">
      <c r="A35" s="10" t="s">
        <v>37</v>
      </c>
      <c r="B35" s="10" t="s">
        <v>34</v>
      </c>
      <c r="C35" s="10" t="s">
        <v>40</v>
      </c>
      <c r="D35" s="103">
        <v>2272106027.8000002</v>
      </c>
      <c r="E35" s="10" t="s">
        <v>235</v>
      </c>
      <c r="F35" s="103">
        <v>12836757.219209041</v>
      </c>
      <c r="G35" s="12">
        <v>333</v>
      </c>
      <c r="H35" s="12" t="s">
        <v>450</v>
      </c>
      <c r="I35" s="17" t="s">
        <v>451</v>
      </c>
      <c r="J35" s="12" t="s">
        <v>452</v>
      </c>
      <c r="K35" s="10" t="s">
        <v>70</v>
      </c>
      <c r="L35" s="9">
        <v>100</v>
      </c>
      <c r="M35" s="9" t="s">
        <v>114</v>
      </c>
      <c r="N35" s="9">
        <v>0</v>
      </c>
      <c r="O35" s="9">
        <v>50</v>
      </c>
      <c r="P35" s="9">
        <v>25</v>
      </c>
      <c r="Q35" s="9">
        <v>25</v>
      </c>
      <c r="R35" s="10" t="s">
        <v>234</v>
      </c>
      <c r="S35" s="14" t="s">
        <v>116</v>
      </c>
      <c r="T35" s="93">
        <f t="shared" si="1"/>
        <v>139898.38628666668</v>
      </c>
      <c r="U35" s="13">
        <f t="shared" si="8"/>
        <v>13989838.628666667</v>
      </c>
      <c r="V35" s="13">
        <f>Cpte_Financiero_WT_PIC25!$H$19/75</f>
        <v>6126000</v>
      </c>
      <c r="W35" s="13">
        <f>Cpte_Financiero_WT_PIC25!$H$25/75</f>
        <v>4707000</v>
      </c>
      <c r="X35" s="13">
        <f>Cpte_Financiero_WT_PIC25!$E$58/75</f>
        <v>736552.17973333329</v>
      </c>
      <c r="Y35" s="13">
        <f t="shared" si="0"/>
        <v>2420286.4489333336</v>
      </c>
      <c r="Z35" s="81">
        <f>'Cadena de Valor'!$I$19*1</f>
        <v>169333.33333333334</v>
      </c>
      <c r="AA35" s="29">
        <v>0</v>
      </c>
      <c r="AB35" s="29">
        <v>0</v>
      </c>
      <c r="AC35" s="81">
        <f>'Cadena de Valor'!$I$15*10</f>
        <v>747086.66666666674</v>
      </c>
      <c r="AD35" s="81">
        <f>'Cadena de Valor'!$I$16*1</f>
        <v>394444.33333333331</v>
      </c>
      <c r="AE35" s="81">
        <v>400000</v>
      </c>
      <c r="AF35" s="83">
        <f t="shared" si="3"/>
        <v>326658.2</v>
      </c>
      <c r="AG35" s="83">
        <f t="shared" si="4"/>
        <v>382763.91560000001</v>
      </c>
      <c r="AH35" s="15" t="s">
        <v>22</v>
      </c>
      <c r="AI35" s="10" t="s">
        <v>216</v>
      </c>
      <c r="AJ35" s="10" t="s">
        <v>284</v>
      </c>
      <c r="AK35" s="10" t="s">
        <v>118</v>
      </c>
      <c r="AL35" s="10" t="s">
        <v>119</v>
      </c>
      <c r="AM35" s="10" t="s">
        <v>347</v>
      </c>
      <c r="AN35" s="10" t="s">
        <v>315</v>
      </c>
      <c r="AO35" s="10" t="s">
        <v>316</v>
      </c>
      <c r="AP35" s="10" t="s">
        <v>251</v>
      </c>
      <c r="AQ35" s="10" t="s">
        <v>317</v>
      </c>
      <c r="AR35" s="10" t="s">
        <v>18</v>
      </c>
    </row>
    <row r="36" spans="1:44" ht="370.5">
      <c r="A36" s="10" t="s">
        <v>37</v>
      </c>
      <c r="B36" s="10" t="s">
        <v>34</v>
      </c>
      <c r="C36" s="10" t="s">
        <v>40</v>
      </c>
      <c r="D36" s="103">
        <v>2272106027.8000002</v>
      </c>
      <c r="E36" s="10" t="s">
        <v>235</v>
      </c>
      <c r="F36" s="103">
        <v>12836757.219209041</v>
      </c>
      <c r="G36" s="17">
        <v>334</v>
      </c>
      <c r="H36" s="17" t="s">
        <v>424</v>
      </c>
      <c r="I36" s="17" t="s">
        <v>425</v>
      </c>
      <c r="J36" s="17" t="s">
        <v>453</v>
      </c>
      <c r="K36" s="10" t="s">
        <v>71</v>
      </c>
      <c r="L36" s="9">
        <v>100</v>
      </c>
      <c r="M36" s="9" t="s">
        <v>114</v>
      </c>
      <c r="N36" s="9">
        <v>0</v>
      </c>
      <c r="O36" s="9">
        <v>50</v>
      </c>
      <c r="P36" s="9">
        <v>25</v>
      </c>
      <c r="Q36" s="9">
        <v>25</v>
      </c>
      <c r="R36" s="10" t="s">
        <v>234</v>
      </c>
      <c r="S36" s="14" t="s">
        <v>116</v>
      </c>
      <c r="T36" s="93">
        <f t="shared" si="1"/>
        <v>142798.38628666668</v>
      </c>
      <c r="U36" s="13">
        <f t="shared" si="8"/>
        <v>14279838.628666667</v>
      </c>
      <c r="V36" s="13">
        <f>Cpte_Financiero_WT_PIC25!$H$19/75</f>
        <v>6126000</v>
      </c>
      <c r="W36" s="13">
        <f>Cpte_Financiero_WT_PIC25!$H$25/75</f>
        <v>4707000</v>
      </c>
      <c r="X36" s="13">
        <f>Cpte_Financiero_WT_PIC25!$E$58/75</f>
        <v>736552.17973333329</v>
      </c>
      <c r="Y36" s="13">
        <f t="shared" si="0"/>
        <v>2710286.4489333332</v>
      </c>
      <c r="Z36" s="81">
        <f>'Cadena de Valor'!$I$19*1</f>
        <v>169333.33333333334</v>
      </c>
      <c r="AA36" s="29">
        <v>0</v>
      </c>
      <c r="AB36" s="81">
        <f>'Cadena de Valor'!$I$17*2</f>
        <v>290000</v>
      </c>
      <c r="AC36" s="81">
        <f>'Cadena de Valor'!$I$15*10</f>
        <v>747086.66666666674</v>
      </c>
      <c r="AD36" s="81">
        <f>'Cadena de Valor'!$I$16*1</f>
        <v>394444.33333333331</v>
      </c>
      <c r="AE36" s="81">
        <v>400000</v>
      </c>
      <c r="AF36" s="83">
        <f t="shared" si="3"/>
        <v>326658.2</v>
      </c>
      <c r="AG36" s="83">
        <f t="shared" si="4"/>
        <v>382763.91560000001</v>
      </c>
      <c r="AH36" s="15" t="s">
        <v>22</v>
      </c>
      <c r="AI36" s="10" t="s">
        <v>216</v>
      </c>
      <c r="AJ36" s="10" t="s">
        <v>284</v>
      </c>
      <c r="AK36" s="10" t="s">
        <v>118</v>
      </c>
      <c r="AL36" s="10" t="s">
        <v>119</v>
      </c>
      <c r="AM36" s="10" t="s">
        <v>348</v>
      </c>
      <c r="AN36" s="10" t="s">
        <v>318</v>
      </c>
      <c r="AO36" s="10" t="s">
        <v>319</v>
      </c>
      <c r="AP36" s="10" t="s">
        <v>251</v>
      </c>
      <c r="AQ36" s="10" t="s">
        <v>317</v>
      </c>
      <c r="AR36" s="10" t="s">
        <v>18</v>
      </c>
    </row>
    <row r="37" spans="1:44" ht="370.5">
      <c r="A37" s="10" t="s">
        <v>37</v>
      </c>
      <c r="B37" s="10" t="s">
        <v>34</v>
      </c>
      <c r="C37" s="10" t="s">
        <v>40</v>
      </c>
      <c r="D37" s="103">
        <v>2272106027.8000002</v>
      </c>
      <c r="E37" s="10" t="s">
        <v>235</v>
      </c>
      <c r="F37" s="103">
        <v>12836757.219209041</v>
      </c>
      <c r="G37" s="12">
        <v>335</v>
      </c>
      <c r="H37" s="12" t="s">
        <v>454</v>
      </c>
      <c r="I37" s="17" t="s">
        <v>455</v>
      </c>
      <c r="J37" s="12" t="s">
        <v>456</v>
      </c>
      <c r="K37" s="10" t="s">
        <v>72</v>
      </c>
      <c r="L37" s="9">
        <v>2</v>
      </c>
      <c r="M37" s="9" t="s">
        <v>6</v>
      </c>
      <c r="N37" s="9">
        <v>0</v>
      </c>
      <c r="O37" s="9">
        <v>1</v>
      </c>
      <c r="P37" s="9">
        <v>1</v>
      </c>
      <c r="Q37" s="9">
        <v>0</v>
      </c>
      <c r="R37" s="10" t="s">
        <v>234</v>
      </c>
      <c r="S37" s="14" t="s">
        <v>116</v>
      </c>
      <c r="T37" s="93">
        <f t="shared" si="1"/>
        <v>7234585.9810000006</v>
      </c>
      <c r="U37" s="13">
        <f t="shared" si="8"/>
        <v>14469171.962000001</v>
      </c>
      <c r="V37" s="13">
        <f>Cpte_Financiero_WT_PIC25!$H$19/75</f>
        <v>6126000</v>
      </c>
      <c r="W37" s="13">
        <f>Cpte_Financiero_WT_PIC25!$H$25/75</f>
        <v>4707000</v>
      </c>
      <c r="X37" s="13">
        <f>Cpte_Financiero_WT_PIC25!$E$58/75</f>
        <v>736552.17973333329</v>
      </c>
      <c r="Y37" s="13">
        <f t="shared" si="0"/>
        <v>2899619.7822666671</v>
      </c>
      <c r="Z37" s="81">
        <f>'Cadena de Valor'!$I$19*1</f>
        <v>169333.33333333334</v>
      </c>
      <c r="AA37" s="81">
        <f>'Cadena de Valor'!$I$20*2</f>
        <v>189333.33333333334</v>
      </c>
      <c r="AB37" s="81">
        <f>'Cadena de Valor'!$I$17*2</f>
        <v>290000</v>
      </c>
      <c r="AC37" s="81">
        <f>'Cadena de Valor'!$I$15*10</f>
        <v>747086.66666666674</v>
      </c>
      <c r="AD37" s="81">
        <f>'Cadena de Valor'!$I$16*1</f>
        <v>394444.33333333331</v>
      </c>
      <c r="AE37" s="81">
        <v>400000</v>
      </c>
      <c r="AF37" s="83">
        <f t="shared" si="3"/>
        <v>326658.2</v>
      </c>
      <c r="AG37" s="83">
        <f t="shared" si="4"/>
        <v>382763.91560000001</v>
      </c>
      <c r="AH37" s="15" t="s">
        <v>22</v>
      </c>
      <c r="AI37" s="10" t="s">
        <v>216</v>
      </c>
      <c r="AJ37" s="10" t="s">
        <v>284</v>
      </c>
      <c r="AK37" s="10" t="s">
        <v>118</v>
      </c>
      <c r="AL37" s="10" t="s">
        <v>119</v>
      </c>
      <c r="AM37" s="10" t="s">
        <v>343</v>
      </c>
      <c r="AN37" s="10" t="s">
        <v>256</v>
      </c>
      <c r="AO37" s="10" t="s">
        <v>320</v>
      </c>
      <c r="AP37" s="10">
        <v>200</v>
      </c>
      <c r="AQ37" s="10">
        <v>800</v>
      </c>
      <c r="AR37" s="10" t="s">
        <v>18</v>
      </c>
    </row>
    <row r="38" spans="1:44" ht="370.5">
      <c r="A38" s="10" t="s">
        <v>37</v>
      </c>
      <c r="B38" s="10" t="s">
        <v>34</v>
      </c>
      <c r="C38" s="10" t="s">
        <v>40</v>
      </c>
      <c r="D38" s="103">
        <v>2272106027.8000002</v>
      </c>
      <c r="E38" s="10" t="s">
        <v>235</v>
      </c>
      <c r="F38" s="103">
        <v>12836757.219209041</v>
      </c>
      <c r="G38" s="12">
        <v>336</v>
      </c>
      <c r="H38" s="12" t="s">
        <v>424</v>
      </c>
      <c r="I38" s="17" t="s">
        <v>425</v>
      </c>
      <c r="J38" s="12" t="s">
        <v>457</v>
      </c>
      <c r="K38" s="10" t="s">
        <v>73</v>
      </c>
      <c r="L38" s="9">
        <v>100</v>
      </c>
      <c r="M38" s="9" t="s">
        <v>114</v>
      </c>
      <c r="N38" s="9">
        <v>0</v>
      </c>
      <c r="O38" s="9">
        <v>50</v>
      </c>
      <c r="P38" s="9">
        <v>25</v>
      </c>
      <c r="Q38" s="9">
        <v>25</v>
      </c>
      <c r="R38" s="10" t="s">
        <v>234</v>
      </c>
      <c r="S38" s="14" t="s">
        <v>116</v>
      </c>
      <c r="T38" s="93">
        <f t="shared" si="1"/>
        <v>139898.38628666668</v>
      </c>
      <c r="U38" s="13">
        <f t="shared" si="8"/>
        <v>13989838.628666667</v>
      </c>
      <c r="V38" s="13">
        <f>Cpte_Financiero_WT_PIC25!$H$19/75</f>
        <v>6126000</v>
      </c>
      <c r="W38" s="13">
        <f>Cpte_Financiero_WT_PIC25!$H$25/75</f>
        <v>4707000</v>
      </c>
      <c r="X38" s="13">
        <f>Cpte_Financiero_WT_PIC25!$E$58/75</f>
        <v>736552.17973333329</v>
      </c>
      <c r="Y38" s="13">
        <f t="shared" si="0"/>
        <v>2420286.4489333336</v>
      </c>
      <c r="Z38" s="81">
        <f>'Cadena de Valor'!$I$19*1</f>
        <v>169333.33333333334</v>
      </c>
      <c r="AA38" s="29">
        <v>0</v>
      </c>
      <c r="AB38" s="81">
        <v>0</v>
      </c>
      <c r="AC38" s="81">
        <f>'Cadena de Valor'!$I$15*10</f>
        <v>747086.66666666674</v>
      </c>
      <c r="AD38" s="81">
        <f>'Cadena de Valor'!$I$16*1</f>
        <v>394444.33333333331</v>
      </c>
      <c r="AE38" s="81">
        <v>400000</v>
      </c>
      <c r="AF38" s="83">
        <f t="shared" si="3"/>
        <v>326658.2</v>
      </c>
      <c r="AG38" s="83">
        <f t="shared" si="4"/>
        <v>382763.91560000001</v>
      </c>
      <c r="AH38" s="15" t="s">
        <v>22</v>
      </c>
      <c r="AI38" s="10" t="s">
        <v>216</v>
      </c>
      <c r="AJ38" s="10" t="s">
        <v>284</v>
      </c>
      <c r="AK38" s="10" t="s">
        <v>118</v>
      </c>
      <c r="AL38" s="10" t="s">
        <v>119</v>
      </c>
      <c r="AM38" s="10" t="s">
        <v>321</v>
      </c>
      <c r="AN38" s="10" t="s">
        <v>321</v>
      </c>
      <c r="AO38" s="10" t="s">
        <v>321</v>
      </c>
      <c r="AP38" s="10">
        <v>250</v>
      </c>
      <c r="AQ38" s="10">
        <v>1250</v>
      </c>
      <c r="AR38" s="10" t="s">
        <v>18</v>
      </c>
    </row>
    <row r="39" spans="1:44" ht="370.5">
      <c r="A39" s="10" t="s">
        <v>37</v>
      </c>
      <c r="B39" s="10" t="s">
        <v>34</v>
      </c>
      <c r="C39" s="10" t="s">
        <v>40</v>
      </c>
      <c r="D39" s="103">
        <v>2272106027.8000002</v>
      </c>
      <c r="E39" s="10" t="s">
        <v>235</v>
      </c>
      <c r="F39" s="103">
        <v>12836757.219209041</v>
      </c>
      <c r="G39" s="17">
        <v>337</v>
      </c>
      <c r="H39" s="17" t="s">
        <v>427</v>
      </c>
      <c r="I39" s="17" t="s">
        <v>428</v>
      </c>
      <c r="J39" s="17" t="s">
        <v>458</v>
      </c>
      <c r="K39" s="10" t="s">
        <v>74</v>
      </c>
      <c r="L39" s="9">
        <v>1</v>
      </c>
      <c r="M39" s="9" t="s">
        <v>6</v>
      </c>
      <c r="N39" s="9">
        <v>0</v>
      </c>
      <c r="O39" s="9">
        <v>1</v>
      </c>
      <c r="P39" s="9">
        <v>0</v>
      </c>
      <c r="Q39" s="9">
        <v>0</v>
      </c>
      <c r="R39" s="10" t="s">
        <v>234</v>
      </c>
      <c r="S39" s="14" t="s">
        <v>116</v>
      </c>
      <c r="T39" s="93">
        <f t="shared" si="1"/>
        <v>14469171.962000001</v>
      </c>
      <c r="U39" s="13">
        <f t="shared" si="8"/>
        <v>14469171.962000001</v>
      </c>
      <c r="V39" s="13">
        <f>Cpte_Financiero_WT_PIC25!$H$19/75</f>
        <v>6126000</v>
      </c>
      <c r="W39" s="13">
        <f>Cpte_Financiero_WT_PIC25!$H$25/75</f>
        <v>4707000</v>
      </c>
      <c r="X39" s="13">
        <f>Cpte_Financiero_WT_PIC25!$E$58/75</f>
        <v>736552.17973333329</v>
      </c>
      <c r="Y39" s="13">
        <f t="shared" ref="Y39:Y70" si="9">SUM(Z39:AG39)</f>
        <v>2899619.7822666671</v>
      </c>
      <c r="Z39" s="81">
        <f>'Cadena de Valor'!$I$19*1</f>
        <v>169333.33333333334</v>
      </c>
      <c r="AA39" s="81">
        <f>'Cadena de Valor'!$I$20*2</f>
        <v>189333.33333333334</v>
      </c>
      <c r="AB39" s="81">
        <f>'Cadena de Valor'!$I$17*2</f>
        <v>290000</v>
      </c>
      <c r="AC39" s="81">
        <f>'Cadena de Valor'!$I$15*10</f>
        <v>747086.66666666674</v>
      </c>
      <c r="AD39" s="81">
        <f>'Cadena de Valor'!$I$16*1</f>
        <v>394444.33333333331</v>
      </c>
      <c r="AE39" s="81">
        <v>400000</v>
      </c>
      <c r="AF39" s="83">
        <f t="shared" si="3"/>
        <v>326658.2</v>
      </c>
      <c r="AG39" s="83">
        <f t="shared" si="4"/>
        <v>382763.91560000001</v>
      </c>
      <c r="AH39" s="15" t="s">
        <v>22</v>
      </c>
      <c r="AI39" s="10" t="s">
        <v>216</v>
      </c>
      <c r="AJ39" s="10" t="s">
        <v>284</v>
      </c>
      <c r="AK39" s="10" t="s">
        <v>118</v>
      </c>
      <c r="AL39" s="10" t="s">
        <v>119</v>
      </c>
      <c r="AM39" s="10" t="s">
        <v>237</v>
      </c>
      <c r="AN39" s="10" t="s">
        <v>237</v>
      </c>
      <c r="AO39" s="10" t="s">
        <v>322</v>
      </c>
      <c r="AP39" s="10">
        <v>250</v>
      </c>
      <c r="AQ39" s="10">
        <v>1250</v>
      </c>
      <c r="AR39" s="10" t="s">
        <v>18</v>
      </c>
    </row>
    <row r="40" spans="1:44" ht="370.5">
      <c r="A40" s="10" t="s">
        <v>37</v>
      </c>
      <c r="B40" s="10" t="s">
        <v>34</v>
      </c>
      <c r="C40" s="10" t="s">
        <v>40</v>
      </c>
      <c r="D40" s="103">
        <v>2272106027.8000002</v>
      </c>
      <c r="E40" s="10" t="s">
        <v>235</v>
      </c>
      <c r="F40" s="103">
        <v>12836757.219209041</v>
      </c>
      <c r="G40" s="12">
        <v>338</v>
      </c>
      <c r="H40" s="12" t="s">
        <v>459</v>
      </c>
      <c r="I40" s="17" t="s">
        <v>460</v>
      </c>
      <c r="J40" s="12" t="s">
        <v>461</v>
      </c>
      <c r="K40" s="10" t="s">
        <v>75</v>
      </c>
      <c r="L40" s="9">
        <v>9</v>
      </c>
      <c r="M40" s="9" t="s">
        <v>6</v>
      </c>
      <c r="N40" s="9">
        <v>0</v>
      </c>
      <c r="O40" s="9">
        <v>3</v>
      </c>
      <c r="P40" s="9">
        <v>3</v>
      </c>
      <c r="Q40" s="9">
        <v>3</v>
      </c>
      <c r="R40" s="10" t="s">
        <v>234</v>
      </c>
      <c r="S40" s="14" t="s">
        <v>116</v>
      </c>
      <c r="T40" s="93">
        <f t="shared" si="1"/>
        <v>1405367.5142962963</v>
      </c>
      <c r="U40" s="13">
        <f t="shared" si="8"/>
        <v>12648307.628666667</v>
      </c>
      <c r="V40" s="13">
        <f>Cpte_Financiero_WT_PIC25!$H$19/75</f>
        <v>6126000</v>
      </c>
      <c r="W40" s="13">
        <f>Cpte_Financiero_WT_PIC25!$H$25/75</f>
        <v>4707000</v>
      </c>
      <c r="X40" s="13">
        <f>Cpte_Financiero_WT_PIC25!$E$58/75</f>
        <v>736552.17973333329</v>
      </c>
      <c r="Y40" s="13">
        <f t="shared" si="9"/>
        <v>1078755.4489333334</v>
      </c>
      <c r="Z40" s="81">
        <f>'Cadena de Valor'!$I$19*1</f>
        <v>169333.33333333334</v>
      </c>
      <c r="AA40" s="29">
        <v>0</v>
      </c>
      <c r="AB40" s="29">
        <v>0</v>
      </c>
      <c r="AC40" s="81">
        <v>0</v>
      </c>
      <c r="AD40" s="29">
        <v>0</v>
      </c>
      <c r="AE40" s="81">
        <v>200000</v>
      </c>
      <c r="AF40" s="83">
        <f t="shared" si="3"/>
        <v>326658.2</v>
      </c>
      <c r="AG40" s="83">
        <f t="shared" si="4"/>
        <v>382763.91560000001</v>
      </c>
      <c r="AH40" s="15" t="s">
        <v>22</v>
      </c>
      <c r="AI40" s="10" t="s">
        <v>216</v>
      </c>
      <c r="AJ40" s="10" t="s">
        <v>284</v>
      </c>
      <c r="AK40" s="10" t="s">
        <v>118</v>
      </c>
      <c r="AL40" s="10" t="s">
        <v>119</v>
      </c>
      <c r="AM40" s="10" t="s">
        <v>243</v>
      </c>
      <c r="AN40" s="10" t="s">
        <v>243</v>
      </c>
      <c r="AO40" s="10" t="s">
        <v>243</v>
      </c>
      <c r="AP40" s="10" t="s">
        <v>243</v>
      </c>
      <c r="AQ40" s="10" t="s">
        <v>243</v>
      </c>
      <c r="AR40" s="10" t="s">
        <v>18</v>
      </c>
    </row>
    <row r="41" spans="1:44" ht="370.5">
      <c r="A41" s="10" t="s">
        <v>37</v>
      </c>
      <c r="B41" s="10" t="s">
        <v>34</v>
      </c>
      <c r="C41" s="10" t="s">
        <v>40</v>
      </c>
      <c r="D41" s="103">
        <v>2272106027.8000002</v>
      </c>
      <c r="E41" s="10" t="s">
        <v>235</v>
      </c>
      <c r="F41" s="103">
        <v>12836757.219209041</v>
      </c>
      <c r="G41" s="12">
        <v>339</v>
      </c>
      <c r="H41" s="12" t="s">
        <v>424</v>
      </c>
      <c r="I41" s="17" t="s">
        <v>425</v>
      </c>
      <c r="J41" s="12" t="s">
        <v>462</v>
      </c>
      <c r="K41" s="10" t="s">
        <v>76</v>
      </c>
      <c r="L41" s="9">
        <v>9</v>
      </c>
      <c r="M41" s="9" t="s">
        <v>6</v>
      </c>
      <c r="N41" s="9">
        <v>0</v>
      </c>
      <c r="O41" s="9">
        <v>3</v>
      </c>
      <c r="P41" s="9">
        <v>3</v>
      </c>
      <c r="Q41" s="9">
        <v>3</v>
      </c>
      <c r="R41" s="10" t="s">
        <v>234</v>
      </c>
      <c r="S41" s="14" t="s">
        <v>116</v>
      </c>
      <c r="T41" s="93">
        <f t="shared" si="1"/>
        <v>1488377.1439259259</v>
      </c>
      <c r="U41" s="13">
        <f t="shared" si="8"/>
        <v>13395394.295333333</v>
      </c>
      <c r="V41" s="13">
        <f>Cpte_Financiero_WT_PIC25!$H$19/75</f>
        <v>6126000</v>
      </c>
      <c r="W41" s="13">
        <f>Cpte_Financiero_WT_PIC25!$H$25/75</f>
        <v>4707000</v>
      </c>
      <c r="X41" s="13">
        <f>Cpte_Financiero_WT_PIC25!$E$58/75</f>
        <v>736552.17973333329</v>
      </c>
      <c r="Y41" s="13">
        <f t="shared" si="9"/>
        <v>1825842.1155999999</v>
      </c>
      <c r="Z41" s="81">
        <f>'Cadena de Valor'!$I$19*1</f>
        <v>169333.33333333334</v>
      </c>
      <c r="AA41" s="29">
        <v>0</v>
      </c>
      <c r="AB41" s="29">
        <v>0</v>
      </c>
      <c r="AC41" s="81">
        <f>'Cadena de Valor'!$I$15*10</f>
        <v>747086.66666666674</v>
      </c>
      <c r="AD41" s="29">
        <v>0</v>
      </c>
      <c r="AE41" s="81">
        <v>200000</v>
      </c>
      <c r="AF41" s="83">
        <f t="shared" si="3"/>
        <v>326658.2</v>
      </c>
      <c r="AG41" s="83">
        <f t="shared" si="4"/>
        <v>382763.91560000001</v>
      </c>
      <c r="AH41" s="15" t="s">
        <v>22</v>
      </c>
      <c r="AI41" s="10" t="s">
        <v>216</v>
      </c>
      <c r="AJ41" s="10" t="s">
        <v>284</v>
      </c>
      <c r="AK41" s="10" t="s">
        <v>118</v>
      </c>
      <c r="AL41" s="10" t="s">
        <v>119</v>
      </c>
      <c r="AM41" s="10" t="s">
        <v>243</v>
      </c>
      <c r="AN41" s="10" t="s">
        <v>243</v>
      </c>
      <c r="AO41" s="10" t="s">
        <v>243</v>
      </c>
      <c r="AP41" s="10" t="s">
        <v>243</v>
      </c>
      <c r="AQ41" s="10" t="s">
        <v>243</v>
      </c>
      <c r="AR41" s="10" t="s">
        <v>18</v>
      </c>
    </row>
    <row r="42" spans="1:44" ht="370.5">
      <c r="A42" s="10" t="s">
        <v>37</v>
      </c>
      <c r="B42" s="10" t="s">
        <v>34</v>
      </c>
      <c r="C42" s="10" t="s">
        <v>40</v>
      </c>
      <c r="D42" s="103">
        <v>2272106027.8000002</v>
      </c>
      <c r="E42" s="10" t="s">
        <v>235</v>
      </c>
      <c r="F42" s="103">
        <v>12836757.219209041</v>
      </c>
      <c r="G42" s="17">
        <v>340</v>
      </c>
      <c r="H42" s="17" t="s">
        <v>424</v>
      </c>
      <c r="I42" s="17" t="s">
        <v>425</v>
      </c>
      <c r="J42" s="17" t="s">
        <v>463</v>
      </c>
      <c r="K42" s="10" t="s">
        <v>77</v>
      </c>
      <c r="L42" s="9">
        <v>100</v>
      </c>
      <c r="M42" s="9" t="s">
        <v>114</v>
      </c>
      <c r="N42" s="9">
        <v>0</v>
      </c>
      <c r="O42" s="9">
        <v>50</v>
      </c>
      <c r="P42" s="9">
        <v>25</v>
      </c>
      <c r="Q42" s="9">
        <v>25</v>
      </c>
      <c r="R42" s="10" t="s">
        <v>234</v>
      </c>
      <c r="S42" s="14" t="s">
        <v>116</v>
      </c>
      <c r="T42" s="93">
        <f t="shared" si="1"/>
        <v>142798.38628666668</v>
      </c>
      <c r="U42" s="13">
        <f t="shared" si="8"/>
        <v>14279838.628666667</v>
      </c>
      <c r="V42" s="13">
        <f>Cpte_Financiero_WT_PIC25!$H$19/75</f>
        <v>6126000</v>
      </c>
      <c r="W42" s="13">
        <f>Cpte_Financiero_WT_PIC25!$H$25/75</f>
        <v>4707000</v>
      </c>
      <c r="X42" s="13">
        <f>Cpte_Financiero_WT_PIC25!$E$58/75</f>
        <v>736552.17973333329</v>
      </c>
      <c r="Y42" s="13">
        <f t="shared" si="9"/>
        <v>2710286.4489333332</v>
      </c>
      <c r="Z42" s="81">
        <f>'Cadena de Valor'!$I$19*1</f>
        <v>169333.33333333334</v>
      </c>
      <c r="AA42" s="29">
        <v>0</v>
      </c>
      <c r="AB42" s="81">
        <f>'Cadena de Valor'!$I$17*2</f>
        <v>290000</v>
      </c>
      <c r="AC42" s="81">
        <f>'Cadena de Valor'!$I$15*10</f>
        <v>747086.66666666674</v>
      </c>
      <c r="AD42" s="81">
        <f>'Cadena de Valor'!$I$16*1</f>
        <v>394444.33333333331</v>
      </c>
      <c r="AE42" s="81">
        <v>400000</v>
      </c>
      <c r="AF42" s="83">
        <f t="shared" si="3"/>
        <v>326658.2</v>
      </c>
      <c r="AG42" s="83">
        <f t="shared" si="4"/>
        <v>382763.91560000001</v>
      </c>
      <c r="AH42" s="15" t="s">
        <v>22</v>
      </c>
      <c r="AI42" s="10" t="s">
        <v>216</v>
      </c>
      <c r="AJ42" s="10" t="s">
        <v>284</v>
      </c>
      <c r="AK42" s="10" t="s">
        <v>118</v>
      </c>
      <c r="AL42" s="10" t="s">
        <v>119</v>
      </c>
      <c r="AM42" s="10" t="s">
        <v>349</v>
      </c>
      <c r="AN42" s="10" t="s">
        <v>323</v>
      </c>
      <c r="AO42" s="10" t="s">
        <v>324</v>
      </c>
      <c r="AP42" s="10" t="s">
        <v>325</v>
      </c>
      <c r="AQ42" s="10" t="s">
        <v>326</v>
      </c>
      <c r="AR42" s="10" t="s">
        <v>18</v>
      </c>
    </row>
    <row r="43" spans="1:44" ht="370.5">
      <c r="A43" s="10" t="s">
        <v>37</v>
      </c>
      <c r="B43" s="10" t="s">
        <v>34</v>
      </c>
      <c r="C43" s="10" t="s">
        <v>40</v>
      </c>
      <c r="D43" s="103">
        <v>2272106027.8000002</v>
      </c>
      <c r="E43" s="10" t="s">
        <v>235</v>
      </c>
      <c r="F43" s="103">
        <v>12836757.219209041</v>
      </c>
      <c r="G43" s="12">
        <v>341</v>
      </c>
      <c r="H43" s="12" t="s">
        <v>424</v>
      </c>
      <c r="I43" s="17" t="s">
        <v>425</v>
      </c>
      <c r="J43" s="12" t="s">
        <v>464</v>
      </c>
      <c r="K43" s="10" t="s">
        <v>78</v>
      </c>
      <c r="L43" s="9">
        <v>9</v>
      </c>
      <c r="M43" s="9" t="s">
        <v>6</v>
      </c>
      <c r="N43" s="9">
        <v>0</v>
      </c>
      <c r="O43" s="9">
        <v>3</v>
      </c>
      <c r="P43" s="9">
        <v>3</v>
      </c>
      <c r="Q43" s="9">
        <v>3</v>
      </c>
      <c r="R43" s="10" t="s">
        <v>234</v>
      </c>
      <c r="S43" s="14" t="s">
        <v>116</v>
      </c>
      <c r="T43" s="93">
        <f t="shared" si="1"/>
        <v>1636404.5513333334</v>
      </c>
      <c r="U43" s="13">
        <f t="shared" si="8"/>
        <v>14727640.962000001</v>
      </c>
      <c r="V43" s="13">
        <f>Cpte_Financiero_WT_PIC25!$H$19/75</f>
        <v>6126000</v>
      </c>
      <c r="W43" s="13">
        <f>Cpte_Financiero_WT_PIC25!$H$25/75</f>
        <v>4707000</v>
      </c>
      <c r="X43" s="13">
        <f>Cpte_Financiero_WT_PIC25!$E$58/75</f>
        <v>736552.17973333329</v>
      </c>
      <c r="Y43" s="13">
        <f t="shared" si="9"/>
        <v>3158088.7822666671</v>
      </c>
      <c r="Z43" s="81">
        <f>'Cadena de Valor'!$I$19*1</f>
        <v>169333.33333333334</v>
      </c>
      <c r="AA43" s="81">
        <f>'Cadena de Valor'!$I$20*2</f>
        <v>189333.33333333334</v>
      </c>
      <c r="AB43" s="81">
        <f>'Cadena de Valor'!$I$17*2</f>
        <v>290000</v>
      </c>
      <c r="AC43" s="29">
        <v>0</v>
      </c>
      <c r="AD43" s="29">
        <v>0</v>
      </c>
      <c r="AE43" s="81">
        <v>1800000</v>
      </c>
      <c r="AF43" s="83">
        <f t="shared" si="3"/>
        <v>326658.2</v>
      </c>
      <c r="AG43" s="83">
        <f t="shared" si="4"/>
        <v>382763.91560000001</v>
      </c>
      <c r="AH43" s="15" t="s">
        <v>22</v>
      </c>
      <c r="AI43" s="10" t="s">
        <v>216</v>
      </c>
      <c r="AJ43" s="10" t="s">
        <v>284</v>
      </c>
      <c r="AK43" s="10" t="s">
        <v>118</v>
      </c>
      <c r="AL43" s="10" t="s">
        <v>119</v>
      </c>
      <c r="AM43" s="10" t="s">
        <v>243</v>
      </c>
      <c r="AN43" s="10" t="s">
        <v>243</v>
      </c>
      <c r="AO43" s="10" t="s">
        <v>244</v>
      </c>
      <c r="AP43" s="10" t="s">
        <v>243</v>
      </c>
      <c r="AQ43" s="10" t="s">
        <v>243</v>
      </c>
      <c r="AR43" s="10" t="s">
        <v>18</v>
      </c>
    </row>
    <row r="44" spans="1:44" ht="370.5">
      <c r="A44" s="10" t="s">
        <v>37</v>
      </c>
      <c r="B44" s="10" t="s">
        <v>34</v>
      </c>
      <c r="C44" s="10" t="s">
        <v>40</v>
      </c>
      <c r="D44" s="103">
        <v>2272106027.8000002</v>
      </c>
      <c r="E44" s="10" t="s">
        <v>235</v>
      </c>
      <c r="F44" s="103">
        <v>12836757.219209041</v>
      </c>
      <c r="G44" s="12">
        <v>342</v>
      </c>
      <c r="H44" s="12" t="s">
        <v>465</v>
      </c>
      <c r="I44" s="17" t="s">
        <v>466</v>
      </c>
      <c r="J44" s="12" t="s">
        <v>467</v>
      </c>
      <c r="K44" s="10" t="s">
        <v>79</v>
      </c>
      <c r="L44" s="9">
        <v>1</v>
      </c>
      <c r="M44" s="9" t="s">
        <v>6</v>
      </c>
      <c r="N44" s="9">
        <v>0</v>
      </c>
      <c r="O44" s="9">
        <v>0</v>
      </c>
      <c r="P44" s="9">
        <v>0</v>
      </c>
      <c r="Q44" s="9">
        <v>1</v>
      </c>
      <c r="R44" s="10" t="s">
        <v>234</v>
      </c>
      <c r="S44" s="14" t="s">
        <v>116</v>
      </c>
      <c r="T44" s="93">
        <f t="shared" si="1"/>
        <v>14174505.295333333</v>
      </c>
      <c r="U44" s="13">
        <f t="shared" si="8"/>
        <v>14174505.295333333</v>
      </c>
      <c r="V44" s="13">
        <f>Cpte_Financiero_WT_PIC25!$H$19/75</f>
        <v>6126000</v>
      </c>
      <c r="W44" s="13">
        <f>Cpte_Financiero_WT_PIC25!$H$25/75</f>
        <v>4707000</v>
      </c>
      <c r="X44" s="13">
        <f>Cpte_Financiero_WT_PIC25!$E$58/75</f>
        <v>736552.17973333329</v>
      </c>
      <c r="Y44" s="13">
        <f t="shared" si="9"/>
        <v>2604953.1156000001</v>
      </c>
      <c r="Z44" s="81">
        <f>'Cadena de Valor'!$I$19*1</f>
        <v>169333.33333333334</v>
      </c>
      <c r="AA44" s="81">
        <f>'Cadena de Valor'!$I$20*1</f>
        <v>94666.666666666672</v>
      </c>
      <c r="AB44" s="81">
        <f>'Cadena de Valor'!$I$17*2</f>
        <v>290000</v>
      </c>
      <c r="AC44" s="81">
        <f>'Cadena de Valor'!$I$15*10</f>
        <v>747086.66666666674</v>
      </c>
      <c r="AD44" s="81">
        <f>'Cadena de Valor'!$I$16*1</f>
        <v>394444.33333333331</v>
      </c>
      <c r="AE44" s="81">
        <v>200000</v>
      </c>
      <c r="AF44" s="83">
        <f t="shared" si="3"/>
        <v>326658.2</v>
      </c>
      <c r="AG44" s="83">
        <f t="shared" si="4"/>
        <v>382763.91560000001</v>
      </c>
      <c r="AH44" s="15" t="s">
        <v>22</v>
      </c>
      <c r="AI44" s="10" t="s">
        <v>216</v>
      </c>
      <c r="AJ44" s="10" t="s">
        <v>284</v>
      </c>
      <c r="AK44" s="10" t="s">
        <v>118</v>
      </c>
      <c r="AL44" s="10" t="s">
        <v>119</v>
      </c>
      <c r="AM44" s="10" t="s">
        <v>340</v>
      </c>
      <c r="AN44" s="10" t="s">
        <v>327</v>
      </c>
      <c r="AO44" s="10" t="s">
        <v>299</v>
      </c>
      <c r="AP44" s="10">
        <v>200</v>
      </c>
      <c r="AQ44" s="10">
        <v>800</v>
      </c>
      <c r="AR44" s="10" t="s">
        <v>18</v>
      </c>
    </row>
    <row r="45" spans="1:44" ht="370.5">
      <c r="A45" s="10" t="s">
        <v>37</v>
      </c>
      <c r="B45" s="10" t="s">
        <v>34</v>
      </c>
      <c r="C45" s="10" t="s">
        <v>40</v>
      </c>
      <c r="D45" s="103">
        <v>2272106027.8000002</v>
      </c>
      <c r="E45" s="10" t="s">
        <v>235</v>
      </c>
      <c r="F45" s="103">
        <v>12836757.219209041</v>
      </c>
      <c r="G45" s="17">
        <v>343</v>
      </c>
      <c r="H45" s="17" t="s">
        <v>468</v>
      </c>
      <c r="I45" s="17" t="s">
        <v>469</v>
      </c>
      <c r="J45" s="17" t="s">
        <v>470</v>
      </c>
      <c r="K45" s="10" t="s">
        <v>80</v>
      </c>
      <c r="L45" s="9">
        <v>1</v>
      </c>
      <c r="M45" s="9" t="s">
        <v>6</v>
      </c>
      <c r="N45" s="9">
        <v>0</v>
      </c>
      <c r="O45" s="9">
        <v>1</v>
      </c>
      <c r="P45" s="9">
        <v>0</v>
      </c>
      <c r="Q45" s="9">
        <v>0</v>
      </c>
      <c r="R45" s="10" t="s">
        <v>234</v>
      </c>
      <c r="S45" s="14" t="s">
        <v>116</v>
      </c>
      <c r="T45" s="93">
        <f t="shared" si="1"/>
        <v>14174505.295333333</v>
      </c>
      <c r="U45" s="13">
        <f t="shared" si="8"/>
        <v>14174505.295333333</v>
      </c>
      <c r="V45" s="13">
        <f>Cpte_Financiero_WT_PIC25!$H$19/75</f>
        <v>6126000</v>
      </c>
      <c r="W45" s="13">
        <f>Cpte_Financiero_WT_PIC25!$H$25/75</f>
        <v>4707000</v>
      </c>
      <c r="X45" s="13">
        <f>Cpte_Financiero_WT_PIC25!$E$58/75</f>
        <v>736552.17973333329</v>
      </c>
      <c r="Y45" s="13">
        <f t="shared" si="9"/>
        <v>2604953.1156000001</v>
      </c>
      <c r="Z45" s="81">
        <f>'Cadena de Valor'!$I$19*1</f>
        <v>169333.33333333334</v>
      </c>
      <c r="AA45" s="81">
        <f>'Cadena de Valor'!$I$20*1</f>
        <v>94666.666666666672</v>
      </c>
      <c r="AB45" s="81">
        <f>'Cadena de Valor'!$I$17*2</f>
        <v>290000</v>
      </c>
      <c r="AC45" s="81">
        <f>'Cadena de Valor'!$I$15*10</f>
        <v>747086.66666666674</v>
      </c>
      <c r="AD45" s="81">
        <f>'Cadena de Valor'!$I$16*1</f>
        <v>394444.33333333331</v>
      </c>
      <c r="AE45" s="81">
        <v>200000</v>
      </c>
      <c r="AF45" s="83">
        <f t="shared" si="3"/>
        <v>326658.2</v>
      </c>
      <c r="AG45" s="83">
        <f t="shared" si="4"/>
        <v>382763.91560000001</v>
      </c>
      <c r="AH45" s="15" t="s">
        <v>22</v>
      </c>
      <c r="AI45" s="10" t="s">
        <v>216</v>
      </c>
      <c r="AJ45" s="10" t="s">
        <v>284</v>
      </c>
      <c r="AK45" s="10" t="s">
        <v>118</v>
      </c>
      <c r="AL45" s="10" t="s">
        <v>119</v>
      </c>
      <c r="AM45" s="10" t="s">
        <v>340</v>
      </c>
      <c r="AN45" s="10" t="s">
        <v>310</v>
      </c>
      <c r="AO45" s="10" t="s">
        <v>328</v>
      </c>
      <c r="AP45" s="10">
        <v>200</v>
      </c>
      <c r="AQ45" s="10">
        <v>800</v>
      </c>
      <c r="AR45" s="10" t="s">
        <v>18</v>
      </c>
    </row>
    <row r="46" spans="1:44" ht="370.5">
      <c r="A46" s="10" t="s">
        <v>37</v>
      </c>
      <c r="B46" s="10" t="s">
        <v>34</v>
      </c>
      <c r="C46" s="10" t="s">
        <v>40</v>
      </c>
      <c r="D46" s="103">
        <v>2272106027.8000002</v>
      </c>
      <c r="E46" s="10" t="s">
        <v>235</v>
      </c>
      <c r="F46" s="103">
        <v>12836757.219209041</v>
      </c>
      <c r="G46" s="12">
        <v>344</v>
      </c>
      <c r="H46" s="12" t="s">
        <v>471</v>
      </c>
      <c r="I46" s="17" t="s">
        <v>472</v>
      </c>
      <c r="J46" s="12" t="s">
        <v>473</v>
      </c>
      <c r="K46" s="10" t="s">
        <v>81</v>
      </c>
      <c r="L46" s="9">
        <v>4</v>
      </c>
      <c r="M46" s="9" t="s">
        <v>6</v>
      </c>
      <c r="N46" s="9">
        <v>0</v>
      </c>
      <c r="O46" s="9">
        <v>2</v>
      </c>
      <c r="P46" s="9">
        <v>1</v>
      </c>
      <c r="Q46" s="9">
        <v>1</v>
      </c>
      <c r="R46" s="10" t="s">
        <v>234</v>
      </c>
      <c r="S46" s="14" t="s">
        <v>116</v>
      </c>
      <c r="T46" s="93">
        <f t="shared" si="1"/>
        <v>3869959.6571666668</v>
      </c>
      <c r="U46" s="13">
        <f t="shared" si="8"/>
        <v>15479838.628666667</v>
      </c>
      <c r="V46" s="13">
        <f>Cpte_Financiero_WT_PIC25!$H$19/75</f>
        <v>6126000</v>
      </c>
      <c r="W46" s="13">
        <f>Cpte_Financiero_WT_PIC25!$H$25/75</f>
        <v>4707000</v>
      </c>
      <c r="X46" s="13">
        <f>Cpte_Financiero_WT_PIC25!$E$58/75</f>
        <v>736552.17973333329</v>
      </c>
      <c r="Y46" s="13">
        <f t="shared" si="9"/>
        <v>3910286.4489333332</v>
      </c>
      <c r="Z46" s="81">
        <f>'Cadena de Valor'!$I$19*1</f>
        <v>169333.33333333334</v>
      </c>
      <c r="AA46" s="29">
        <v>0</v>
      </c>
      <c r="AB46" s="81">
        <f>'Cadena de Valor'!$I$17*2</f>
        <v>290000</v>
      </c>
      <c r="AC46" s="81">
        <f>'Cadena de Valor'!$I$15*10</f>
        <v>747086.66666666674</v>
      </c>
      <c r="AD46" s="81">
        <f>'Cadena de Valor'!$I$16*1</f>
        <v>394444.33333333331</v>
      </c>
      <c r="AE46" s="81">
        <v>1600000</v>
      </c>
      <c r="AF46" s="83">
        <f t="shared" si="3"/>
        <v>326658.2</v>
      </c>
      <c r="AG46" s="83">
        <f t="shared" si="4"/>
        <v>382763.91560000001</v>
      </c>
      <c r="AH46" s="15" t="s">
        <v>22</v>
      </c>
      <c r="AI46" s="10" t="s">
        <v>216</v>
      </c>
      <c r="AJ46" s="10" t="s">
        <v>284</v>
      </c>
      <c r="AK46" s="10" t="s">
        <v>118</v>
      </c>
      <c r="AL46" s="10" t="s">
        <v>119</v>
      </c>
      <c r="AM46" s="10" t="s">
        <v>350</v>
      </c>
      <c r="AN46" s="10" t="s">
        <v>362</v>
      </c>
      <c r="AO46" s="10" t="s">
        <v>372</v>
      </c>
      <c r="AP46" s="10" t="s">
        <v>243</v>
      </c>
      <c r="AQ46" s="10" t="s">
        <v>243</v>
      </c>
      <c r="AR46" s="10" t="s">
        <v>18</v>
      </c>
    </row>
    <row r="47" spans="1:44" ht="370.5">
      <c r="A47" s="10" t="s">
        <v>37</v>
      </c>
      <c r="B47" s="10" t="s">
        <v>34</v>
      </c>
      <c r="C47" s="10" t="s">
        <v>40</v>
      </c>
      <c r="D47" s="103">
        <v>2272106027.8000002</v>
      </c>
      <c r="E47" s="10" t="s">
        <v>235</v>
      </c>
      <c r="F47" s="103">
        <v>12836757.219209041</v>
      </c>
      <c r="G47" s="12">
        <v>345</v>
      </c>
      <c r="H47" s="12" t="s">
        <v>474</v>
      </c>
      <c r="I47" s="17" t="s">
        <v>475</v>
      </c>
      <c r="J47" s="12" t="s">
        <v>476</v>
      </c>
      <c r="K47" s="10" t="s">
        <v>82</v>
      </c>
      <c r="L47" s="9">
        <v>4</v>
      </c>
      <c r="M47" s="9" t="s">
        <v>6</v>
      </c>
      <c r="N47" s="9">
        <v>0</v>
      </c>
      <c r="O47" s="9">
        <v>2</v>
      </c>
      <c r="P47" s="9">
        <v>1</v>
      </c>
      <c r="Q47" s="9">
        <v>1</v>
      </c>
      <c r="R47" s="10" t="s">
        <v>234</v>
      </c>
      <c r="S47" s="14" t="s">
        <v>116</v>
      </c>
      <c r="T47" s="93">
        <f t="shared" si="1"/>
        <v>3964626.3238333333</v>
      </c>
      <c r="U47" s="13">
        <f t="shared" si="8"/>
        <v>15858505.295333333</v>
      </c>
      <c r="V47" s="13">
        <f>Cpte_Financiero_WT_PIC25!$H$19/75</f>
        <v>6126000</v>
      </c>
      <c r="W47" s="13">
        <f>Cpte_Financiero_WT_PIC25!$H$25/75</f>
        <v>4707000</v>
      </c>
      <c r="X47" s="13">
        <f>Cpte_Financiero_WT_PIC25!$E$58/75</f>
        <v>736552.17973333329</v>
      </c>
      <c r="Y47" s="13">
        <f t="shared" si="9"/>
        <v>4288953.1156000001</v>
      </c>
      <c r="Z47" s="81">
        <f>'Cadena de Valor'!$I$19*1</f>
        <v>169333.33333333334</v>
      </c>
      <c r="AA47" s="81">
        <f>'Cadena de Valor'!$I$20*4</f>
        <v>378666.66666666669</v>
      </c>
      <c r="AB47" s="81">
        <f>'Cadena de Valor'!$I$17*2</f>
        <v>290000</v>
      </c>
      <c r="AC47" s="81">
        <f>'Cadena de Valor'!$I$15*10</f>
        <v>747086.66666666674</v>
      </c>
      <c r="AD47" s="81">
        <f>'Cadena de Valor'!$I$16*1</f>
        <v>394444.33333333331</v>
      </c>
      <c r="AE47" s="81">
        <v>1600000</v>
      </c>
      <c r="AF47" s="83">
        <f t="shared" si="3"/>
        <v>326658.2</v>
      </c>
      <c r="AG47" s="83">
        <f t="shared" si="4"/>
        <v>382763.91560000001</v>
      </c>
      <c r="AH47" s="15" t="s">
        <v>22</v>
      </c>
      <c r="AI47" s="10" t="s">
        <v>216</v>
      </c>
      <c r="AJ47" s="10" t="s">
        <v>284</v>
      </c>
      <c r="AK47" s="10" t="s">
        <v>118</v>
      </c>
      <c r="AL47" s="10" t="s">
        <v>119</v>
      </c>
      <c r="AM47" s="10" t="s">
        <v>351</v>
      </c>
      <c r="AN47" s="10" t="s">
        <v>329</v>
      </c>
      <c r="AO47" s="10" t="s">
        <v>330</v>
      </c>
      <c r="AP47" s="10">
        <v>250</v>
      </c>
      <c r="AQ47" s="10">
        <v>1000</v>
      </c>
      <c r="AR47" s="10" t="s">
        <v>18</v>
      </c>
    </row>
    <row r="48" spans="1:44" ht="370.5">
      <c r="A48" s="10" t="s">
        <v>37</v>
      </c>
      <c r="B48" s="10" t="s">
        <v>34</v>
      </c>
      <c r="C48" s="10" t="s">
        <v>40</v>
      </c>
      <c r="D48" s="103">
        <v>2272106027.8000002</v>
      </c>
      <c r="E48" s="10" t="s">
        <v>235</v>
      </c>
      <c r="F48" s="103">
        <v>12836757.219209041</v>
      </c>
      <c r="G48" s="17">
        <v>346</v>
      </c>
      <c r="H48" s="17" t="s">
        <v>433</v>
      </c>
      <c r="I48" s="17" t="s">
        <v>434</v>
      </c>
      <c r="J48" s="17" t="s">
        <v>477</v>
      </c>
      <c r="K48" s="10" t="s">
        <v>83</v>
      </c>
      <c r="L48" s="9">
        <v>4</v>
      </c>
      <c r="M48" s="9" t="s">
        <v>6</v>
      </c>
      <c r="N48" s="9">
        <v>0</v>
      </c>
      <c r="O48" s="9">
        <v>1</v>
      </c>
      <c r="P48" s="9">
        <v>2</v>
      </c>
      <c r="Q48" s="9">
        <v>1</v>
      </c>
      <c r="R48" s="10" t="s">
        <v>234</v>
      </c>
      <c r="S48" s="14" t="s">
        <v>116</v>
      </c>
      <c r="T48" s="93">
        <f t="shared" si="1"/>
        <v>3936904.0738333333</v>
      </c>
      <c r="U48" s="13">
        <f t="shared" si="8"/>
        <v>15747616.295333333</v>
      </c>
      <c r="V48" s="13">
        <f>Cpte_Financiero_WT_PIC25!$H$19/75</f>
        <v>6126000</v>
      </c>
      <c r="W48" s="13">
        <f>Cpte_Financiero_WT_PIC25!$H$25/75</f>
        <v>4707000</v>
      </c>
      <c r="X48" s="13">
        <f>Cpte_Financiero_WT_PIC25!$E$58/75</f>
        <v>736552.17973333329</v>
      </c>
      <c r="Y48" s="13">
        <f t="shared" si="9"/>
        <v>4178064.1156000001</v>
      </c>
      <c r="Z48" s="81">
        <f>'Cadena de Valor'!$I$19*1</f>
        <v>169333.33333333334</v>
      </c>
      <c r="AA48" s="81">
        <f>'Cadena de Valor'!$I$20*5</f>
        <v>473333.33333333337</v>
      </c>
      <c r="AB48" s="81">
        <f>'Cadena de Valor'!$I$17*2</f>
        <v>290000</v>
      </c>
      <c r="AC48" s="81">
        <f>'Cadena de Valor'!$I$15*10</f>
        <v>747086.66666666674</v>
      </c>
      <c r="AD48" s="81">
        <f>'Cadena de Valor'!$I$16*2</f>
        <v>788888.66666666663</v>
      </c>
      <c r="AE48" s="81">
        <v>1000000</v>
      </c>
      <c r="AF48" s="83">
        <f t="shared" si="3"/>
        <v>326658.2</v>
      </c>
      <c r="AG48" s="83">
        <f t="shared" si="4"/>
        <v>382763.91560000001</v>
      </c>
      <c r="AH48" s="15" t="s">
        <v>22</v>
      </c>
      <c r="AI48" s="10" t="s">
        <v>216</v>
      </c>
      <c r="AJ48" s="10" t="s">
        <v>284</v>
      </c>
      <c r="AK48" s="10" t="s">
        <v>118</v>
      </c>
      <c r="AL48" s="10" t="s">
        <v>119</v>
      </c>
      <c r="AM48" s="10" t="s">
        <v>346</v>
      </c>
      <c r="AN48" s="10" t="s">
        <v>269</v>
      </c>
      <c r="AO48" s="10" t="s">
        <v>309</v>
      </c>
      <c r="AP48" s="10">
        <v>250</v>
      </c>
      <c r="AQ48" s="10">
        <v>1250</v>
      </c>
      <c r="AR48" s="10" t="s">
        <v>18</v>
      </c>
    </row>
    <row r="49" spans="1:44" ht="283.89999999999998" customHeight="1">
      <c r="A49" s="10" t="s">
        <v>37</v>
      </c>
      <c r="B49" s="10" t="s">
        <v>34</v>
      </c>
      <c r="C49" s="10" t="s">
        <v>40</v>
      </c>
      <c r="D49" s="103">
        <v>2272106027.8000002</v>
      </c>
      <c r="E49" s="10" t="s">
        <v>235</v>
      </c>
      <c r="F49" s="103">
        <v>12836757.219209041</v>
      </c>
      <c r="G49" s="12">
        <v>347</v>
      </c>
      <c r="H49" s="12" t="s">
        <v>478</v>
      </c>
      <c r="I49" s="17" t="s">
        <v>479</v>
      </c>
      <c r="J49" s="12" t="s">
        <v>480</v>
      </c>
      <c r="K49" s="10" t="s">
        <v>84</v>
      </c>
      <c r="L49" s="9">
        <v>4</v>
      </c>
      <c r="M49" s="9" t="s">
        <v>6</v>
      </c>
      <c r="N49" s="9">
        <v>0</v>
      </c>
      <c r="O49" s="9">
        <v>0</v>
      </c>
      <c r="P49" s="9">
        <v>2</v>
      </c>
      <c r="Q49" s="9">
        <v>2</v>
      </c>
      <c r="R49" s="10" t="s">
        <v>234</v>
      </c>
      <c r="S49" s="14" t="s">
        <v>116</v>
      </c>
      <c r="T49" s="93">
        <f t="shared" si="1"/>
        <v>3913237.4071666668</v>
      </c>
      <c r="U49" s="13">
        <f t="shared" si="8"/>
        <v>15652949.628666667</v>
      </c>
      <c r="V49" s="13">
        <f>Cpte_Financiero_WT_PIC25!$H$19/75</f>
        <v>6126000</v>
      </c>
      <c r="W49" s="13">
        <f>Cpte_Financiero_WT_PIC25!$H$25/75</f>
        <v>4707000</v>
      </c>
      <c r="X49" s="13">
        <f>Cpte_Financiero_WT_PIC25!$E$58/75</f>
        <v>736552.17973333329</v>
      </c>
      <c r="Y49" s="13">
        <f t="shared" si="9"/>
        <v>4083397.4489333336</v>
      </c>
      <c r="Z49" s="81">
        <f>'Cadena de Valor'!$I$19*1</f>
        <v>169333.33333333334</v>
      </c>
      <c r="AA49" s="81">
        <f>'Cadena de Valor'!$I$20*4</f>
        <v>378666.66666666669</v>
      </c>
      <c r="AB49" s="81">
        <f>'Cadena de Valor'!$I$17*2</f>
        <v>290000</v>
      </c>
      <c r="AC49" s="81">
        <f>'Cadena de Valor'!$I$15*10</f>
        <v>747086.66666666674</v>
      </c>
      <c r="AD49" s="81">
        <f>'Cadena de Valor'!$I$16*2</f>
        <v>788888.66666666663</v>
      </c>
      <c r="AE49" s="81">
        <v>1000000</v>
      </c>
      <c r="AF49" s="83">
        <f t="shared" si="3"/>
        <v>326658.2</v>
      </c>
      <c r="AG49" s="83">
        <f t="shared" si="4"/>
        <v>382763.91560000001</v>
      </c>
      <c r="AH49" s="15" t="s">
        <v>22</v>
      </c>
      <c r="AI49" s="10" t="s">
        <v>216</v>
      </c>
      <c r="AJ49" s="10" t="s">
        <v>284</v>
      </c>
      <c r="AK49" s="10" t="s">
        <v>118</v>
      </c>
      <c r="AL49" s="10" t="s">
        <v>119</v>
      </c>
      <c r="AM49" s="10" t="s">
        <v>340</v>
      </c>
      <c r="AN49" s="10" t="s">
        <v>331</v>
      </c>
      <c r="AO49" s="10" t="s">
        <v>332</v>
      </c>
      <c r="AP49" s="10" t="s">
        <v>333</v>
      </c>
      <c r="AQ49" s="10" t="s">
        <v>334</v>
      </c>
      <c r="AR49" s="10" t="s">
        <v>18</v>
      </c>
    </row>
    <row r="50" spans="1:44" ht="303" customHeight="1">
      <c r="A50" s="10" t="s">
        <v>37</v>
      </c>
      <c r="B50" s="10" t="s">
        <v>34</v>
      </c>
      <c r="C50" s="10" t="s">
        <v>40</v>
      </c>
      <c r="D50" s="103">
        <v>2272106027.8000002</v>
      </c>
      <c r="E50" s="10" t="s">
        <v>235</v>
      </c>
      <c r="F50" s="103">
        <v>12836757.219209041</v>
      </c>
      <c r="G50" s="12">
        <v>348</v>
      </c>
      <c r="H50" s="12" t="s">
        <v>481</v>
      </c>
      <c r="I50" s="17" t="s">
        <v>482</v>
      </c>
      <c r="J50" s="12" t="s">
        <v>483</v>
      </c>
      <c r="K50" s="10" t="s">
        <v>85</v>
      </c>
      <c r="L50" s="9">
        <v>2</v>
      </c>
      <c r="M50" s="9" t="s">
        <v>6</v>
      </c>
      <c r="N50" s="9">
        <v>0</v>
      </c>
      <c r="O50" s="9">
        <v>0</v>
      </c>
      <c r="P50" s="9">
        <v>1</v>
      </c>
      <c r="Q50" s="9">
        <v>1</v>
      </c>
      <c r="R50" s="10" t="s">
        <v>234</v>
      </c>
      <c r="S50" s="14" t="s">
        <v>116</v>
      </c>
      <c r="T50" s="93">
        <f t="shared" si="1"/>
        <v>7234585.9810000006</v>
      </c>
      <c r="U50" s="13">
        <f t="shared" si="8"/>
        <v>14469171.962000001</v>
      </c>
      <c r="V50" s="13">
        <f>Cpte_Financiero_WT_PIC25!$H$19/75</f>
        <v>6126000</v>
      </c>
      <c r="W50" s="13">
        <f>Cpte_Financiero_WT_PIC25!$H$25/75</f>
        <v>4707000</v>
      </c>
      <c r="X50" s="13">
        <f>Cpte_Financiero_WT_PIC25!$E$58/75</f>
        <v>736552.17973333329</v>
      </c>
      <c r="Y50" s="13">
        <f t="shared" si="9"/>
        <v>2899619.7822666671</v>
      </c>
      <c r="Z50" s="81">
        <f>'Cadena de Valor'!$I$19*1</f>
        <v>169333.33333333334</v>
      </c>
      <c r="AA50" s="81">
        <f>'Cadena de Valor'!$I$20*2</f>
        <v>189333.33333333334</v>
      </c>
      <c r="AB50" s="81">
        <f>'Cadena de Valor'!$I$17*2</f>
        <v>290000</v>
      </c>
      <c r="AC50" s="81">
        <f>'Cadena de Valor'!$I$15*10</f>
        <v>747086.66666666674</v>
      </c>
      <c r="AD50" s="81">
        <f>'Cadena de Valor'!$I$16*1</f>
        <v>394444.33333333331</v>
      </c>
      <c r="AE50" s="81">
        <v>400000</v>
      </c>
      <c r="AF50" s="83">
        <f t="shared" si="3"/>
        <v>326658.2</v>
      </c>
      <c r="AG50" s="83">
        <f t="shared" si="4"/>
        <v>382763.91560000001</v>
      </c>
      <c r="AH50" s="15" t="s">
        <v>22</v>
      </c>
      <c r="AI50" s="10" t="s">
        <v>216</v>
      </c>
      <c r="AJ50" s="10" t="s">
        <v>284</v>
      </c>
      <c r="AK50" s="10" t="s">
        <v>118</v>
      </c>
      <c r="AL50" s="10" t="s">
        <v>119</v>
      </c>
      <c r="AM50" s="10" t="s">
        <v>340</v>
      </c>
      <c r="AN50" s="10" t="s">
        <v>335</v>
      </c>
      <c r="AO50" s="10" t="s">
        <v>336</v>
      </c>
      <c r="AP50" s="10">
        <v>200</v>
      </c>
      <c r="AQ50" s="10">
        <v>800</v>
      </c>
      <c r="AR50" s="10" t="s">
        <v>18</v>
      </c>
    </row>
    <row r="51" spans="1:44" ht="253.15" customHeight="1">
      <c r="A51" s="10" t="s">
        <v>37</v>
      </c>
      <c r="B51" s="10" t="s">
        <v>34</v>
      </c>
      <c r="C51" s="10" t="s">
        <v>40</v>
      </c>
      <c r="D51" s="103">
        <v>2272106027.8000002</v>
      </c>
      <c r="E51" s="10" t="s">
        <v>235</v>
      </c>
      <c r="F51" s="103">
        <v>12836757.219209041</v>
      </c>
      <c r="G51" s="17">
        <v>349</v>
      </c>
      <c r="H51" s="17" t="s">
        <v>436</v>
      </c>
      <c r="I51" s="17" t="s">
        <v>437</v>
      </c>
      <c r="J51" s="17" t="s">
        <v>484</v>
      </c>
      <c r="K51" s="10" t="s">
        <v>86</v>
      </c>
      <c r="L51" s="9">
        <v>1</v>
      </c>
      <c r="M51" s="9" t="s">
        <v>6</v>
      </c>
      <c r="N51" s="9">
        <v>0</v>
      </c>
      <c r="O51" s="9">
        <v>0</v>
      </c>
      <c r="P51" s="9">
        <v>1</v>
      </c>
      <c r="Q51" s="9">
        <v>0</v>
      </c>
      <c r="R51" s="10" t="s">
        <v>234</v>
      </c>
      <c r="S51" s="14" t="s">
        <v>116</v>
      </c>
      <c r="T51" s="93">
        <f t="shared" si="1"/>
        <v>14279838.628666667</v>
      </c>
      <c r="U51" s="13">
        <f t="shared" si="8"/>
        <v>14279838.628666667</v>
      </c>
      <c r="V51" s="13">
        <f>Cpte_Financiero_WT_PIC25!$H$19/75</f>
        <v>6126000</v>
      </c>
      <c r="W51" s="13">
        <f>Cpte_Financiero_WT_PIC25!$H$25/75</f>
        <v>4707000</v>
      </c>
      <c r="X51" s="13">
        <f>Cpte_Financiero_WT_PIC25!$E$58/75</f>
        <v>736552.17973333329</v>
      </c>
      <c r="Y51" s="13">
        <f t="shared" si="9"/>
        <v>2710286.4489333332</v>
      </c>
      <c r="Z51" s="81">
        <f>'Cadena de Valor'!$I$19*1</f>
        <v>169333.33333333334</v>
      </c>
      <c r="AA51" s="29">
        <v>0</v>
      </c>
      <c r="AB51" s="81">
        <f>'Cadena de Valor'!$I$17*2</f>
        <v>290000</v>
      </c>
      <c r="AC51" s="81">
        <f>'Cadena de Valor'!$I$15*10</f>
        <v>747086.66666666674</v>
      </c>
      <c r="AD51" s="81">
        <f>'Cadena de Valor'!$I$16*1</f>
        <v>394444.33333333331</v>
      </c>
      <c r="AE51" s="81">
        <v>400000</v>
      </c>
      <c r="AF51" s="83">
        <f t="shared" si="3"/>
        <v>326658.2</v>
      </c>
      <c r="AG51" s="83">
        <f t="shared" si="4"/>
        <v>382763.91560000001</v>
      </c>
      <c r="AH51" s="15" t="s">
        <v>22</v>
      </c>
      <c r="AI51" s="10" t="s">
        <v>216</v>
      </c>
      <c r="AJ51" s="10" t="s">
        <v>284</v>
      </c>
      <c r="AK51" s="10" t="s">
        <v>118</v>
      </c>
      <c r="AL51" s="10" t="s">
        <v>119</v>
      </c>
      <c r="AM51" s="10" t="s">
        <v>352</v>
      </c>
      <c r="AN51" s="10" t="s">
        <v>258</v>
      </c>
      <c r="AO51" s="10" t="s">
        <v>337</v>
      </c>
      <c r="AP51" s="10">
        <v>450</v>
      </c>
      <c r="AQ51" s="10">
        <v>2250</v>
      </c>
      <c r="AR51" s="10" t="s">
        <v>18</v>
      </c>
    </row>
    <row r="52" spans="1:44" ht="246.6" customHeight="1">
      <c r="A52" s="10" t="s">
        <v>37</v>
      </c>
      <c r="B52" s="10" t="s">
        <v>34</v>
      </c>
      <c r="C52" s="10" t="s">
        <v>40</v>
      </c>
      <c r="D52" s="103">
        <v>2272106027.8000002</v>
      </c>
      <c r="E52" s="10" t="s">
        <v>235</v>
      </c>
      <c r="F52" s="103">
        <v>12836757.219209041</v>
      </c>
      <c r="G52" s="12">
        <v>350</v>
      </c>
      <c r="H52" s="12" t="s">
        <v>485</v>
      </c>
      <c r="I52" s="17" t="s">
        <v>486</v>
      </c>
      <c r="J52" s="12" t="s">
        <v>487</v>
      </c>
      <c r="K52" s="10" t="s">
        <v>87</v>
      </c>
      <c r="L52" s="9">
        <v>2</v>
      </c>
      <c r="M52" s="9" t="s">
        <v>6</v>
      </c>
      <c r="N52" s="9">
        <v>0</v>
      </c>
      <c r="O52" s="9">
        <v>1</v>
      </c>
      <c r="P52" s="9">
        <v>1</v>
      </c>
      <c r="Q52" s="9">
        <v>0</v>
      </c>
      <c r="R52" s="10" t="s">
        <v>234</v>
      </c>
      <c r="S52" s="14" t="s">
        <v>116</v>
      </c>
      <c r="T52" s="93">
        <f t="shared" si="1"/>
        <v>7234585.9810000006</v>
      </c>
      <c r="U52" s="13">
        <f>SUM(V52:Y52)</f>
        <v>14469171.962000001</v>
      </c>
      <c r="V52" s="13">
        <f>Cpte_Financiero_WT_PIC25!$H$19/75</f>
        <v>6126000</v>
      </c>
      <c r="W52" s="13">
        <f>Cpte_Financiero_WT_PIC25!$H$25/75</f>
        <v>4707000</v>
      </c>
      <c r="X52" s="13">
        <f>Cpte_Financiero_WT_PIC25!$E$58/75</f>
        <v>736552.17973333329</v>
      </c>
      <c r="Y52" s="13">
        <f t="shared" si="9"/>
        <v>2899619.7822666671</v>
      </c>
      <c r="Z52" s="81">
        <f>'Cadena de Valor'!$I$19*1</f>
        <v>169333.33333333334</v>
      </c>
      <c r="AA52" s="81">
        <f>'Cadena de Valor'!$I$20*2</f>
        <v>189333.33333333334</v>
      </c>
      <c r="AB52" s="81">
        <f>'Cadena de Valor'!$I$17*2</f>
        <v>290000</v>
      </c>
      <c r="AC52" s="81">
        <f>'Cadena de Valor'!$I$15*10</f>
        <v>747086.66666666674</v>
      </c>
      <c r="AD52" s="81">
        <f>'Cadena de Valor'!$I$16*1</f>
        <v>394444.33333333331</v>
      </c>
      <c r="AE52" s="81">
        <v>400000</v>
      </c>
      <c r="AF52" s="83">
        <f t="shared" si="3"/>
        <v>326658.2</v>
      </c>
      <c r="AG52" s="83">
        <f t="shared" si="4"/>
        <v>382763.91560000001</v>
      </c>
      <c r="AH52" s="15" t="s">
        <v>22</v>
      </c>
      <c r="AI52" s="10" t="s">
        <v>216</v>
      </c>
      <c r="AJ52" s="10" t="s">
        <v>284</v>
      </c>
      <c r="AK52" s="10" t="s">
        <v>118</v>
      </c>
      <c r="AL52" s="10" t="s">
        <v>119</v>
      </c>
      <c r="AM52" s="10" t="s">
        <v>340</v>
      </c>
      <c r="AN52" s="10" t="s">
        <v>310</v>
      </c>
      <c r="AO52" s="10" t="s">
        <v>328</v>
      </c>
      <c r="AP52" s="10">
        <v>200</v>
      </c>
      <c r="AQ52" s="10">
        <v>800</v>
      </c>
      <c r="AR52" s="10" t="s">
        <v>18</v>
      </c>
    </row>
    <row r="53" spans="1:44" ht="225.6" customHeight="1">
      <c r="A53" s="10" t="s">
        <v>38</v>
      </c>
      <c r="B53" s="10" t="s">
        <v>35</v>
      </c>
      <c r="C53" s="10" t="s">
        <v>41</v>
      </c>
      <c r="D53" s="103">
        <v>2272106027.8000002</v>
      </c>
      <c r="E53" s="10" t="s">
        <v>235</v>
      </c>
      <c r="F53" s="103">
        <v>12836757.219209041</v>
      </c>
      <c r="G53" s="104">
        <v>351</v>
      </c>
      <c r="H53" s="104" t="s">
        <v>447</v>
      </c>
      <c r="I53" s="107" t="s">
        <v>448</v>
      </c>
      <c r="J53" s="104" t="s">
        <v>488</v>
      </c>
      <c r="K53" s="10" t="s">
        <v>88</v>
      </c>
      <c r="L53" s="9">
        <v>4</v>
      </c>
      <c r="M53" s="9" t="s">
        <v>115</v>
      </c>
      <c r="N53" s="9">
        <v>0</v>
      </c>
      <c r="O53" s="9">
        <v>1</v>
      </c>
      <c r="P53" s="9">
        <v>1</v>
      </c>
      <c r="Q53" s="9">
        <v>2</v>
      </c>
      <c r="R53" s="10" t="s">
        <v>234</v>
      </c>
      <c r="S53" s="14" t="s">
        <v>116</v>
      </c>
      <c r="T53" s="93">
        <f t="shared" si="1"/>
        <v>5469959.6571666673</v>
      </c>
      <c r="U53" s="13">
        <f t="shared" ref="U53:U77" si="10">SUM(V53:Y53)</f>
        <v>21879838.628666669</v>
      </c>
      <c r="V53" s="13">
        <f>Cpte_Financiero_WT_PIC25!$H$19/75</f>
        <v>6126000</v>
      </c>
      <c r="W53" s="13">
        <f>Cpte_Financiero_WT_PIC25!$H$25/75</f>
        <v>4707000</v>
      </c>
      <c r="X53" s="13">
        <f>Cpte_Financiero_WT_PIC25!$E$58/75</f>
        <v>736552.17973333329</v>
      </c>
      <c r="Y53" s="13">
        <f t="shared" si="9"/>
        <v>10310286.448933333</v>
      </c>
      <c r="Z53" s="81">
        <f>'Cadena de Valor'!$I$19*1</f>
        <v>169333.33333333334</v>
      </c>
      <c r="AA53" s="29">
        <v>0</v>
      </c>
      <c r="AB53" s="81">
        <f>'Cadena de Valor'!$I$17*2</f>
        <v>290000</v>
      </c>
      <c r="AC53" s="81">
        <f>'Cadena de Valor'!$I$15*10</f>
        <v>747086.66666666674</v>
      </c>
      <c r="AD53" s="81">
        <f>'Cadena de Valor'!$I$16*1</f>
        <v>394444.33333333331</v>
      </c>
      <c r="AE53" s="81">
        <v>8000000</v>
      </c>
      <c r="AF53" s="83">
        <f t="shared" si="3"/>
        <v>326658.2</v>
      </c>
      <c r="AG53" s="83">
        <f t="shared" si="4"/>
        <v>382763.91560000001</v>
      </c>
      <c r="AH53" s="15" t="s">
        <v>22</v>
      </c>
      <c r="AI53" s="10" t="s">
        <v>117</v>
      </c>
      <c r="AJ53" s="10" t="s">
        <v>236</v>
      </c>
      <c r="AK53" s="10" t="s">
        <v>118</v>
      </c>
      <c r="AL53" s="10" t="s">
        <v>119</v>
      </c>
      <c r="AM53" s="10" t="s">
        <v>237</v>
      </c>
      <c r="AN53" s="10" t="s">
        <v>237</v>
      </c>
      <c r="AO53" s="10" t="s">
        <v>238</v>
      </c>
      <c r="AP53" s="10" t="s">
        <v>237</v>
      </c>
      <c r="AQ53" s="10" t="s">
        <v>237</v>
      </c>
      <c r="AR53" s="10" t="s">
        <v>18</v>
      </c>
    </row>
    <row r="54" spans="1:44" ht="217.9" customHeight="1">
      <c r="A54" s="10" t="s">
        <v>38</v>
      </c>
      <c r="B54" s="10" t="s">
        <v>35</v>
      </c>
      <c r="C54" s="10" t="s">
        <v>41</v>
      </c>
      <c r="D54" s="103">
        <v>2272106027.8000002</v>
      </c>
      <c r="E54" s="10" t="s">
        <v>235</v>
      </c>
      <c r="F54" s="103">
        <v>12836757.219209041</v>
      </c>
      <c r="G54" s="104">
        <v>352</v>
      </c>
      <c r="H54" s="104" t="s">
        <v>489</v>
      </c>
      <c r="I54" s="107" t="s">
        <v>490</v>
      </c>
      <c r="J54" s="104" t="s">
        <v>491</v>
      </c>
      <c r="K54" s="10" t="s">
        <v>89</v>
      </c>
      <c r="L54" s="9">
        <v>4</v>
      </c>
      <c r="M54" s="9" t="s">
        <v>115</v>
      </c>
      <c r="N54" s="9">
        <v>0</v>
      </c>
      <c r="O54" s="9">
        <v>1</v>
      </c>
      <c r="P54" s="9">
        <v>2</v>
      </c>
      <c r="Q54" s="9">
        <v>1</v>
      </c>
      <c r="R54" s="10" t="s">
        <v>234</v>
      </c>
      <c r="S54" s="14" t="s">
        <v>116</v>
      </c>
      <c r="T54" s="93">
        <f t="shared" si="1"/>
        <v>3764626.3238333333</v>
      </c>
      <c r="U54" s="13">
        <f t="shared" si="10"/>
        <v>15058505.295333333</v>
      </c>
      <c r="V54" s="13">
        <f>Cpte_Financiero_WT_PIC25!$H$19/75</f>
        <v>6126000</v>
      </c>
      <c r="W54" s="13">
        <f>Cpte_Financiero_WT_PIC25!$H$25/75</f>
        <v>4707000</v>
      </c>
      <c r="X54" s="13">
        <f>Cpte_Financiero_WT_PIC25!$E$58/75</f>
        <v>736552.17973333329</v>
      </c>
      <c r="Y54" s="13">
        <f t="shared" si="9"/>
        <v>3488953.1156000001</v>
      </c>
      <c r="Z54" s="81">
        <f>'Cadena de Valor'!$I$19*1</f>
        <v>169333.33333333334</v>
      </c>
      <c r="AA54" s="81">
        <f>'Cadena de Valor'!$I$20*4</f>
        <v>378666.66666666669</v>
      </c>
      <c r="AB54" s="81">
        <f>'Cadena de Valor'!$I$17*2</f>
        <v>290000</v>
      </c>
      <c r="AC54" s="81">
        <f>'Cadena de Valor'!$I$15*10</f>
        <v>747086.66666666674</v>
      </c>
      <c r="AD54" s="81">
        <f>'Cadena de Valor'!$I$16*1</f>
        <v>394444.33333333331</v>
      </c>
      <c r="AE54" s="81">
        <v>800000</v>
      </c>
      <c r="AF54" s="83">
        <f t="shared" si="3"/>
        <v>326658.2</v>
      </c>
      <c r="AG54" s="83">
        <f t="shared" si="4"/>
        <v>382763.91560000001</v>
      </c>
      <c r="AH54" s="15" t="s">
        <v>22</v>
      </c>
      <c r="AI54" s="10" t="s">
        <v>117</v>
      </c>
      <c r="AJ54" s="10" t="s">
        <v>236</v>
      </c>
      <c r="AK54" s="10" t="s">
        <v>118</v>
      </c>
      <c r="AL54" s="10" t="s">
        <v>119</v>
      </c>
      <c r="AM54" s="10" t="s">
        <v>353</v>
      </c>
      <c r="AN54" s="10" t="s">
        <v>239</v>
      </c>
      <c r="AO54" s="10" t="s">
        <v>240</v>
      </c>
      <c r="AP54" s="10" t="s">
        <v>241</v>
      </c>
      <c r="AQ54" s="10" t="s">
        <v>242</v>
      </c>
      <c r="AR54" s="10" t="s">
        <v>18</v>
      </c>
    </row>
    <row r="55" spans="1:44" ht="195.6" customHeight="1">
      <c r="A55" s="10" t="s">
        <v>38</v>
      </c>
      <c r="B55" s="10" t="s">
        <v>35</v>
      </c>
      <c r="C55" s="10" t="s">
        <v>41</v>
      </c>
      <c r="D55" s="103">
        <v>2272106027.8000002</v>
      </c>
      <c r="E55" s="10" t="s">
        <v>235</v>
      </c>
      <c r="F55" s="103">
        <v>12836757.219209041</v>
      </c>
      <c r="G55" s="104">
        <v>353</v>
      </c>
      <c r="H55" s="104" t="s">
        <v>492</v>
      </c>
      <c r="I55" s="107" t="s">
        <v>493</v>
      </c>
      <c r="J55" s="104" t="s">
        <v>494</v>
      </c>
      <c r="K55" s="10" t="s">
        <v>90</v>
      </c>
      <c r="L55" s="9">
        <v>3</v>
      </c>
      <c r="M55" s="9" t="s">
        <v>6</v>
      </c>
      <c r="N55" s="9">
        <v>0</v>
      </c>
      <c r="O55" s="9">
        <v>1</v>
      </c>
      <c r="P55" s="9">
        <v>1</v>
      </c>
      <c r="Q55" s="9">
        <v>1</v>
      </c>
      <c r="R55" s="10" t="s">
        <v>234</v>
      </c>
      <c r="S55" s="14" t="s">
        <v>116</v>
      </c>
      <c r="T55" s="93">
        <f t="shared" si="1"/>
        <v>4759946.2095555561</v>
      </c>
      <c r="U55" s="13">
        <f t="shared" si="10"/>
        <v>14279838.628666667</v>
      </c>
      <c r="V55" s="13">
        <f>Cpte_Financiero_WT_PIC25!$H$19/75</f>
        <v>6126000</v>
      </c>
      <c r="W55" s="13">
        <f>Cpte_Financiero_WT_PIC25!$H$25/75</f>
        <v>4707000</v>
      </c>
      <c r="X55" s="13">
        <f>Cpte_Financiero_WT_PIC25!$E$58/75</f>
        <v>736552.17973333329</v>
      </c>
      <c r="Y55" s="13">
        <f t="shared" si="9"/>
        <v>2710286.4489333332</v>
      </c>
      <c r="Z55" s="81">
        <f>'Cadena de Valor'!$I$19*1</f>
        <v>169333.33333333334</v>
      </c>
      <c r="AA55" s="29">
        <v>0</v>
      </c>
      <c r="AB55" s="81">
        <f>'Cadena de Valor'!$I$17*2</f>
        <v>290000</v>
      </c>
      <c r="AC55" s="81">
        <f>'Cadena de Valor'!$I$15*10</f>
        <v>747086.66666666674</v>
      </c>
      <c r="AD55" s="81">
        <f>'Cadena de Valor'!$I$16*1</f>
        <v>394444.33333333331</v>
      </c>
      <c r="AE55" s="81">
        <v>400000</v>
      </c>
      <c r="AF55" s="83">
        <f t="shared" si="3"/>
        <v>326658.2</v>
      </c>
      <c r="AG55" s="83">
        <f t="shared" si="4"/>
        <v>382763.91560000001</v>
      </c>
      <c r="AH55" s="15" t="s">
        <v>22</v>
      </c>
      <c r="AI55" s="10" t="s">
        <v>117</v>
      </c>
      <c r="AJ55" s="10" t="s">
        <v>236</v>
      </c>
      <c r="AK55" s="10" t="s">
        <v>118</v>
      </c>
      <c r="AL55" s="10" t="s">
        <v>119</v>
      </c>
      <c r="AM55" s="10" t="s">
        <v>243</v>
      </c>
      <c r="AN55" s="10" t="s">
        <v>243</v>
      </c>
      <c r="AO55" s="10" t="s">
        <v>373</v>
      </c>
      <c r="AP55" s="10" t="s">
        <v>237</v>
      </c>
      <c r="AQ55" s="10" t="s">
        <v>243</v>
      </c>
      <c r="AR55" s="10" t="s">
        <v>18</v>
      </c>
    </row>
    <row r="56" spans="1:44" ht="217.15" customHeight="1">
      <c r="A56" s="10" t="s">
        <v>38</v>
      </c>
      <c r="B56" s="10" t="s">
        <v>35</v>
      </c>
      <c r="C56" s="10" t="s">
        <v>41</v>
      </c>
      <c r="D56" s="103">
        <v>2272106027.8000002</v>
      </c>
      <c r="E56" s="10" t="s">
        <v>235</v>
      </c>
      <c r="F56" s="103">
        <v>12836757.219209041</v>
      </c>
      <c r="G56" s="104">
        <v>354</v>
      </c>
      <c r="H56" s="104" t="s">
        <v>489</v>
      </c>
      <c r="I56" s="107" t="s">
        <v>490</v>
      </c>
      <c r="J56" s="104" t="s">
        <v>495</v>
      </c>
      <c r="K56" s="10" t="s">
        <v>91</v>
      </c>
      <c r="L56" s="9">
        <v>3</v>
      </c>
      <c r="M56" s="9" t="s">
        <v>6</v>
      </c>
      <c r="N56" s="9">
        <v>0</v>
      </c>
      <c r="O56" s="9">
        <v>1</v>
      </c>
      <c r="P56" s="9">
        <v>1</v>
      </c>
      <c r="Q56" s="9">
        <v>1</v>
      </c>
      <c r="R56" s="10" t="s">
        <v>234</v>
      </c>
      <c r="S56" s="14" t="s">
        <v>116</v>
      </c>
      <c r="T56" s="93">
        <f t="shared" si="1"/>
        <v>4921279.5428888891</v>
      </c>
      <c r="U56" s="13">
        <f t="shared" si="10"/>
        <v>14763838.628666667</v>
      </c>
      <c r="V56" s="13">
        <f>Cpte_Financiero_WT_PIC25!$H$19/75</f>
        <v>6126000</v>
      </c>
      <c r="W56" s="13">
        <f>Cpte_Financiero_WT_PIC25!$H$25/75</f>
        <v>4707000</v>
      </c>
      <c r="X56" s="13">
        <f>Cpte_Financiero_WT_PIC25!$E$58/75</f>
        <v>736552.17973333329</v>
      </c>
      <c r="Y56" s="13">
        <f t="shared" si="9"/>
        <v>3194286.4489333332</v>
      </c>
      <c r="Z56" s="81">
        <f>'Cadena de Valor'!$I$19*1</f>
        <v>169333.33333333334</v>
      </c>
      <c r="AA56" s="81">
        <f>'Cadena de Valor'!$I$20*3</f>
        <v>284000</v>
      </c>
      <c r="AB56" s="81">
        <f>'Cadena de Valor'!$I$17*2</f>
        <v>290000</v>
      </c>
      <c r="AC56" s="81">
        <f>'Cadena de Valor'!$I$15*10</f>
        <v>747086.66666666674</v>
      </c>
      <c r="AD56" s="81">
        <f>'Cadena de Valor'!$I$16*1</f>
        <v>394444.33333333331</v>
      </c>
      <c r="AE56" s="81">
        <v>600000</v>
      </c>
      <c r="AF56" s="83">
        <f t="shared" si="3"/>
        <v>326658.2</v>
      </c>
      <c r="AG56" s="83">
        <f t="shared" si="4"/>
        <v>382763.91560000001</v>
      </c>
      <c r="AH56" s="15" t="s">
        <v>22</v>
      </c>
      <c r="AI56" s="10" t="s">
        <v>117</v>
      </c>
      <c r="AJ56" s="10" t="s">
        <v>236</v>
      </c>
      <c r="AK56" s="10" t="s">
        <v>118</v>
      </c>
      <c r="AL56" s="10" t="s">
        <v>119</v>
      </c>
      <c r="AM56" s="10" t="s">
        <v>354</v>
      </c>
      <c r="AN56" s="10" t="s">
        <v>245</v>
      </c>
      <c r="AO56" s="10" t="s">
        <v>246</v>
      </c>
      <c r="AP56" s="10" t="s">
        <v>247</v>
      </c>
      <c r="AQ56" s="10" t="s">
        <v>248</v>
      </c>
      <c r="AR56" s="10" t="s">
        <v>18</v>
      </c>
    </row>
    <row r="57" spans="1:44" ht="202.9" customHeight="1">
      <c r="A57" s="10" t="s">
        <v>38</v>
      </c>
      <c r="B57" s="10" t="s">
        <v>35</v>
      </c>
      <c r="C57" s="10" t="s">
        <v>41</v>
      </c>
      <c r="D57" s="103">
        <v>2272106027.8000002</v>
      </c>
      <c r="E57" s="10" t="s">
        <v>235</v>
      </c>
      <c r="F57" s="103">
        <v>12836757.219209041</v>
      </c>
      <c r="G57" s="104">
        <v>355</v>
      </c>
      <c r="H57" s="104" t="s">
        <v>496</v>
      </c>
      <c r="I57" s="107" t="s">
        <v>497</v>
      </c>
      <c r="J57" s="104" t="s">
        <v>498</v>
      </c>
      <c r="K57" s="10" t="s">
        <v>92</v>
      </c>
      <c r="L57" s="9">
        <v>2</v>
      </c>
      <c r="M57" s="9" t="s">
        <v>6</v>
      </c>
      <c r="N57" s="9">
        <v>0</v>
      </c>
      <c r="O57" s="9">
        <v>1</v>
      </c>
      <c r="P57" s="9">
        <v>0</v>
      </c>
      <c r="Q57" s="9">
        <v>1</v>
      </c>
      <c r="R57" s="10" t="s">
        <v>234</v>
      </c>
      <c r="S57" s="14" t="s">
        <v>116</v>
      </c>
      <c r="T57" s="93">
        <f t="shared" si="1"/>
        <v>7234585.9810000006</v>
      </c>
      <c r="U57" s="13">
        <f t="shared" si="10"/>
        <v>14469171.962000001</v>
      </c>
      <c r="V57" s="13">
        <f>Cpte_Financiero_WT_PIC25!$H$19/75</f>
        <v>6126000</v>
      </c>
      <c r="W57" s="13">
        <f>Cpte_Financiero_WT_PIC25!$H$25/75</f>
        <v>4707000</v>
      </c>
      <c r="X57" s="13">
        <f>Cpte_Financiero_WT_PIC25!$E$58/75</f>
        <v>736552.17973333329</v>
      </c>
      <c r="Y57" s="13">
        <f t="shared" si="9"/>
        <v>2899619.7822666671</v>
      </c>
      <c r="Z57" s="81">
        <f>'Cadena de Valor'!$I$19*1</f>
        <v>169333.33333333334</v>
      </c>
      <c r="AA57" s="81">
        <f>'Cadena de Valor'!$I$20*2</f>
        <v>189333.33333333334</v>
      </c>
      <c r="AB57" s="81">
        <f>'Cadena de Valor'!$I$17*2</f>
        <v>290000</v>
      </c>
      <c r="AC57" s="81">
        <f>'Cadena de Valor'!$I$15*10</f>
        <v>747086.66666666674</v>
      </c>
      <c r="AD57" s="81">
        <f>'Cadena de Valor'!$I$16*1</f>
        <v>394444.33333333331</v>
      </c>
      <c r="AE57" s="81">
        <v>400000</v>
      </c>
      <c r="AF57" s="83">
        <f t="shared" si="3"/>
        <v>326658.2</v>
      </c>
      <c r="AG57" s="83">
        <f t="shared" si="4"/>
        <v>382763.91560000001</v>
      </c>
      <c r="AH57" s="15" t="s">
        <v>22</v>
      </c>
      <c r="AI57" s="10" t="s">
        <v>117</v>
      </c>
      <c r="AJ57" s="10" t="s">
        <v>236</v>
      </c>
      <c r="AK57" s="10" t="s">
        <v>118</v>
      </c>
      <c r="AL57" s="10" t="s">
        <v>119</v>
      </c>
      <c r="AM57" s="10" t="s">
        <v>355</v>
      </c>
      <c r="AN57" s="10" t="s">
        <v>249</v>
      </c>
      <c r="AO57" s="10" t="s">
        <v>250</v>
      </c>
      <c r="AP57" s="10" t="s">
        <v>251</v>
      </c>
      <c r="AQ57" s="10" t="s">
        <v>252</v>
      </c>
      <c r="AR57" s="10" t="s">
        <v>18</v>
      </c>
    </row>
    <row r="58" spans="1:44" ht="241.15" customHeight="1">
      <c r="A58" s="10" t="s">
        <v>38</v>
      </c>
      <c r="B58" s="10" t="s">
        <v>35</v>
      </c>
      <c r="C58" s="10" t="s">
        <v>41</v>
      </c>
      <c r="D58" s="103">
        <v>2272106027.8000002</v>
      </c>
      <c r="E58" s="10" t="s">
        <v>235</v>
      </c>
      <c r="F58" s="103">
        <v>12836757.219209041</v>
      </c>
      <c r="G58" s="104">
        <v>356</v>
      </c>
      <c r="H58" s="104" t="s">
        <v>386</v>
      </c>
      <c r="I58" s="107" t="s">
        <v>387</v>
      </c>
      <c r="J58" s="104" t="s">
        <v>499</v>
      </c>
      <c r="K58" s="10" t="s">
        <v>93</v>
      </c>
      <c r="L58" s="9">
        <v>4</v>
      </c>
      <c r="M58" s="9" t="s">
        <v>6</v>
      </c>
      <c r="N58" s="9">
        <v>0</v>
      </c>
      <c r="O58" s="9">
        <v>2</v>
      </c>
      <c r="P58" s="9">
        <v>1</v>
      </c>
      <c r="Q58" s="9">
        <v>1</v>
      </c>
      <c r="R58" s="10" t="s">
        <v>234</v>
      </c>
      <c r="S58" s="14" t="s">
        <v>116</v>
      </c>
      <c r="T58" s="93">
        <f t="shared" si="1"/>
        <v>3764626.3238333333</v>
      </c>
      <c r="U58" s="13">
        <f t="shared" si="10"/>
        <v>15058505.295333333</v>
      </c>
      <c r="V58" s="13">
        <f>Cpte_Financiero_WT_PIC25!$H$19/75</f>
        <v>6126000</v>
      </c>
      <c r="W58" s="13">
        <f>Cpte_Financiero_WT_PIC25!$H$25/75</f>
        <v>4707000</v>
      </c>
      <c r="X58" s="13">
        <f>Cpte_Financiero_WT_PIC25!$E$58/75</f>
        <v>736552.17973333329</v>
      </c>
      <c r="Y58" s="13">
        <f t="shared" si="9"/>
        <v>3488953.1156000001</v>
      </c>
      <c r="Z58" s="81">
        <f>'Cadena de Valor'!$I$19*1</f>
        <v>169333.33333333334</v>
      </c>
      <c r="AA58" s="81">
        <f>'Cadena de Valor'!$I$20*4</f>
        <v>378666.66666666669</v>
      </c>
      <c r="AB58" s="81">
        <f>'Cadena de Valor'!$I$17*2</f>
        <v>290000</v>
      </c>
      <c r="AC58" s="81">
        <f>'Cadena de Valor'!$I$15*10</f>
        <v>747086.66666666674</v>
      </c>
      <c r="AD58" s="81">
        <f>'Cadena de Valor'!$I$16*1</f>
        <v>394444.33333333331</v>
      </c>
      <c r="AE58" s="81">
        <v>800000</v>
      </c>
      <c r="AF58" s="83">
        <f t="shared" si="3"/>
        <v>326658.2</v>
      </c>
      <c r="AG58" s="83">
        <f t="shared" si="4"/>
        <v>382763.91560000001</v>
      </c>
      <c r="AH58" s="15" t="s">
        <v>22</v>
      </c>
      <c r="AI58" s="10" t="s">
        <v>117</v>
      </c>
      <c r="AJ58" s="10" t="s">
        <v>236</v>
      </c>
      <c r="AK58" s="10" t="s">
        <v>118</v>
      </c>
      <c r="AL58" s="10" t="s">
        <v>119</v>
      </c>
      <c r="AM58" s="10" t="s">
        <v>356</v>
      </c>
      <c r="AN58" s="10" t="s">
        <v>253</v>
      </c>
      <c r="AO58" s="10" t="s">
        <v>374</v>
      </c>
      <c r="AP58" s="10" t="s">
        <v>254</v>
      </c>
      <c r="AQ58" s="10" t="s">
        <v>255</v>
      </c>
      <c r="AR58" s="10" t="s">
        <v>18</v>
      </c>
    </row>
    <row r="59" spans="1:44" ht="183.6" customHeight="1">
      <c r="A59" s="10" t="s">
        <v>38</v>
      </c>
      <c r="B59" s="10" t="s">
        <v>35</v>
      </c>
      <c r="C59" s="10" t="s">
        <v>41</v>
      </c>
      <c r="D59" s="103">
        <v>2272106027.8000002</v>
      </c>
      <c r="E59" s="10" t="s">
        <v>235</v>
      </c>
      <c r="F59" s="103">
        <v>12836757.219209041</v>
      </c>
      <c r="G59" s="104">
        <v>357</v>
      </c>
      <c r="H59" s="104" t="s">
        <v>433</v>
      </c>
      <c r="I59" s="107" t="s">
        <v>434</v>
      </c>
      <c r="J59" s="104" t="s">
        <v>500</v>
      </c>
      <c r="K59" s="10" t="s">
        <v>94</v>
      </c>
      <c r="L59" s="9">
        <v>2</v>
      </c>
      <c r="M59" s="9" t="s">
        <v>6</v>
      </c>
      <c r="N59" s="9">
        <v>0</v>
      </c>
      <c r="O59" s="9">
        <v>1</v>
      </c>
      <c r="P59" s="9">
        <v>0</v>
      </c>
      <c r="Q59" s="9">
        <v>1</v>
      </c>
      <c r="R59" s="10" t="s">
        <v>234</v>
      </c>
      <c r="S59" s="14" t="s">
        <v>116</v>
      </c>
      <c r="T59" s="93">
        <f t="shared" si="1"/>
        <v>7234585.9810000006</v>
      </c>
      <c r="U59" s="13">
        <f t="shared" si="10"/>
        <v>14469171.962000001</v>
      </c>
      <c r="V59" s="13">
        <f>Cpte_Financiero_WT_PIC25!$H$19/75</f>
        <v>6126000</v>
      </c>
      <c r="W59" s="13">
        <f>Cpte_Financiero_WT_PIC25!$H$25/75</f>
        <v>4707000</v>
      </c>
      <c r="X59" s="13">
        <f>Cpte_Financiero_WT_PIC25!$E$58/75</f>
        <v>736552.17973333329</v>
      </c>
      <c r="Y59" s="13">
        <f t="shared" si="9"/>
        <v>2899619.7822666671</v>
      </c>
      <c r="Z59" s="81">
        <f>'Cadena de Valor'!$I$19*1</f>
        <v>169333.33333333334</v>
      </c>
      <c r="AA59" s="81">
        <f>'Cadena de Valor'!$I$20*2</f>
        <v>189333.33333333334</v>
      </c>
      <c r="AB59" s="81">
        <f>'Cadena de Valor'!$I$17*2</f>
        <v>290000</v>
      </c>
      <c r="AC59" s="81">
        <f>'Cadena de Valor'!$I$15*10</f>
        <v>747086.66666666674</v>
      </c>
      <c r="AD59" s="81">
        <f>'Cadena de Valor'!$I$16*1</f>
        <v>394444.33333333331</v>
      </c>
      <c r="AE59" s="81">
        <v>400000</v>
      </c>
      <c r="AF59" s="83">
        <f t="shared" si="3"/>
        <v>326658.2</v>
      </c>
      <c r="AG59" s="83">
        <f t="shared" si="4"/>
        <v>382763.91560000001</v>
      </c>
      <c r="AH59" s="15" t="s">
        <v>22</v>
      </c>
      <c r="AI59" s="10" t="s">
        <v>117</v>
      </c>
      <c r="AJ59" s="10" t="s">
        <v>236</v>
      </c>
      <c r="AK59" s="10" t="s">
        <v>118</v>
      </c>
      <c r="AL59" s="10" t="s">
        <v>119</v>
      </c>
      <c r="AM59" s="10" t="s">
        <v>343</v>
      </c>
      <c r="AN59" s="10" t="s">
        <v>256</v>
      </c>
      <c r="AO59" s="10" t="s">
        <v>257</v>
      </c>
      <c r="AP59" s="10">
        <v>200</v>
      </c>
      <c r="AQ59" s="10">
        <v>800</v>
      </c>
      <c r="AR59" s="10" t="s">
        <v>18</v>
      </c>
    </row>
    <row r="60" spans="1:44" ht="217.15" customHeight="1">
      <c r="A60" s="10" t="s">
        <v>38</v>
      </c>
      <c r="B60" s="10" t="s">
        <v>35</v>
      </c>
      <c r="C60" s="10" t="s">
        <v>41</v>
      </c>
      <c r="D60" s="103">
        <v>2272106027.8000002</v>
      </c>
      <c r="E60" s="10" t="s">
        <v>235</v>
      </c>
      <c r="F60" s="103">
        <v>12836757.219209041</v>
      </c>
      <c r="G60" s="104">
        <v>358</v>
      </c>
      <c r="H60" s="104" t="s">
        <v>433</v>
      </c>
      <c r="I60" s="107" t="s">
        <v>434</v>
      </c>
      <c r="J60" s="104" t="s">
        <v>501</v>
      </c>
      <c r="K60" s="10" t="s">
        <v>95</v>
      </c>
      <c r="L60" s="9">
        <v>2</v>
      </c>
      <c r="M60" s="9" t="s">
        <v>6</v>
      </c>
      <c r="N60" s="9">
        <v>0</v>
      </c>
      <c r="O60" s="9">
        <v>1</v>
      </c>
      <c r="P60" s="9">
        <v>1</v>
      </c>
      <c r="Q60" s="9">
        <v>0</v>
      </c>
      <c r="R60" s="10" t="s">
        <v>234</v>
      </c>
      <c r="S60" s="14" t="s">
        <v>116</v>
      </c>
      <c r="T60" s="93">
        <f t="shared" si="1"/>
        <v>7434585.9810000006</v>
      </c>
      <c r="U60" s="13">
        <f t="shared" si="10"/>
        <v>14869171.962000001</v>
      </c>
      <c r="V60" s="13">
        <f>Cpte_Financiero_WT_PIC25!$H$19/75</f>
        <v>6126000</v>
      </c>
      <c r="W60" s="13">
        <f>Cpte_Financiero_WT_PIC25!$H$25/75</f>
        <v>4707000</v>
      </c>
      <c r="X60" s="13">
        <f>Cpte_Financiero_WT_PIC25!$E$58/75</f>
        <v>736552.17973333329</v>
      </c>
      <c r="Y60" s="13">
        <f t="shared" si="9"/>
        <v>3299619.7822666671</v>
      </c>
      <c r="Z60" s="81">
        <f>'Cadena de Valor'!$I$19*1</f>
        <v>169333.33333333334</v>
      </c>
      <c r="AA60" s="81">
        <f>'Cadena de Valor'!$I$20*2</f>
        <v>189333.33333333334</v>
      </c>
      <c r="AB60" s="81">
        <f>'Cadena de Valor'!$I$17*2</f>
        <v>290000</v>
      </c>
      <c r="AC60" s="81">
        <f>'Cadena de Valor'!$I$15*10</f>
        <v>747086.66666666674</v>
      </c>
      <c r="AD60" s="81">
        <f>'Cadena de Valor'!$I$16*1</f>
        <v>394444.33333333331</v>
      </c>
      <c r="AE60" s="81">
        <v>800000</v>
      </c>
      <c r="AF60" s="83">
        <f t="shared" si="3"/>
        <v>326658.2</v>
      </c>
      <c r="AG60" s="83">
        <f t="shared" si="4"/>
        <v>382763.91560000001</v>
      </c>
      <c r="AH60" s="15" t="s">
        <v>22</v>
      </c>
      <c r="AI60" s="10" t="s">
        <v>117</v>
      </c>
      <c r="AJ60" s="10" t="s">
        <v>236</v>
      </c>
      <c r="AK60" s="10" t="s">
        <v>118</v>
      </c>
      <c r="AL60" s="10" t="s">
        <v>119</v>
      </c>
      <c r="AM60" s="10" t="s">
        <v>357</v>
      </c>
      <c r="AN60" s="10" t="s">
        <v>363</v>
      </c>
      <c r="AO60" s="10" t="s">
        <v>375</v>
      </c>
      <c r="AP60" s="10" t="s">
        <v>254</v>
      </c>
      <c r="AQ60" s="10" t="s">
        <v>255</v>
      </c>
      <c r="AR60" s="10" t="s">
        <v>18</v>
      </c>
    </row>
    <row r="61" spans="1:44" ht="178.9" customHeight="1">
      <c r="A61" s="10" t="s">
        <v>38</v>
      </c>
      <c r="B61" s="10" t="s">
        <v>35</v>
      </c>
      <c r="C61" s="10" t="s">
        <v>41</v>
      </c>
      <c r="D61" s="103">
        <v>2272106027.8000002</v>
      </c>
      <c r="E61" s="10" t="s">
        <v>235</v>
      </c>
      <c r="F61" s="103">
        <v>12836757.219209041</v>
      </c>
      <c r="G61" s="104">
        <v>359</v>
      </c>
      <c r="H61" s="104" t="s">
        <v>502</v>
      </c>
      <c r="I61" s="107" t="s">
        <v>503</v>
      </c>
      <c r="J61" s="104" t="s">
        <v>504</v>
      </c>
      <c r="K61" s="10" t="s">
        <v>96</v>
      </c>
      <c r="L61" s="9">
        <v>3</v>
      </c>
      <c r="M61" s="9" t="s">
        <v>6</v>
      </c>
      <c r="N61" s="9">
        <v>0</v>
      </c>
      <c r="O61" s="9">
        <v>1</v>
      </c>
      <c r="P61" s="9">
        <v>1</v>
      </c>
      <c r="Q61" s="9">
        <v>1</v>
      </c>
      <c r="R61" s="10" t="s">
        <v>234</v>
      </c>
      <c r="S61" s="14" t="s">
        <v>116</v>
      </c>
      <c r="T61" s="93">
        <f t="shared" si="1"/>
        <v>4921279.5428888891</v>
      </c>
      <c r="U61" s="13">
        <f t="shared" si="10"/>
        <v>14763838.628666667</v>
      </c>
      <c r="V61" s="13">
        <f>Cpte_Financiero_WT_PIC25!$H$19/75</f>
        <v>6126000</v>
      </c>
      <c r="W61" s="13">
        <f>Cpte_Financiero_WT_PIC25!$H$25/75</f>
        <v>4707000</v>
      </c>
      <c r="X61" s="13">
        <f>Cpte_Financiero_WT_PIC25!$E$58/75</f>
        <v>736552.17973333329</v>
      </c>
      <c r="Y61" s="13">
        <f t="shared" si="9"/>
        <v>3194286.4489333332</v>
      </c>
      <c r="Z61" s="81">
        <f>'Cadena de Valor'!$I$19*1</f>
        <v>169333.33333333334</v>
      </c>
      <c r="AA61" s="81">
        <f>'Cadena de Valor'!$I$20*3</f>
        <v>284000</v>
      </c>
      <c r="AB61" s="81">
        <f>'Cadena de Valor'!$I$17*2</f>
        <v>290000</v>
      </c>
      <c r="AC61" s="81">
        <f>'Cadena de Valor'!$I$15*10</f>
        <v>747086.66666666674</v>
      </c>
      <c r="AD61" s="81">
        <f>'Cadena de Valor'!$I$16*1</f>
        <v>394444.33333333331</v>
      </c>
      <c r="AE61" s="81">
        <v>600000</v>
      </c>
      <c r="AF61" s="83">
        <f t="shared" si="3"/>
        <v>326658.2</v>
      </c>
      <c r="AG61" s="83">
        <f t="shared" si="4"/>
        <v>382763.91560000001</v>
      </c>
      <c r="AH61" s="15" t="s">
        <v>22</v>
      </c>
      <c r="AI61" s="10" t="s">
        <v>117</v>
      </c>
      <c r="AJ61" s="10" t="s">
        <v>236</v>
      </c>
      <c r="AK61" s="10" t="s">
        <v>118</v>
      </c>
      <c r="AL61" s="10" t="s">
        <v>119</v>
      </c>
      <c r="AM61" s="10" t="s">
        <v>352</v>
      </c>
      <c r="AN61" s="10" t="s">
        <v>258</v>
      </c>
      <c r="AO61" s="10" t="s">
        <v>259</v>
      </c>
      <c r="AP61" s="7">
        <v>40</v>
      </c>
      <c r="AQ61" s="7">
        <v>200</v>
      </c>
      <c r="AR61" s="10" t="s">
        <v>18</v>
      </c>
    </row>
    <row r="62" spans="1:44" ht="181.15" customHeight="1">
      <c r="A62" s="10" t="s">
        <v>38</v>
      </c>
      <c r="B62" s="10" t="s">
        <v>35</v>
      </c>
      <c r="C62" s="10" t="s">
        <v>41</v>
      </c>
      <c r="D62" s="103">
        <v>2272106027.8000002</v>
      </c>
      <c r="E62" s="10" t="s">
        <v>235</v>
      </c>
      <c r="F62" s="103">
        <v>12836757.219209041</v>
      </c>
      <c r="G62" s="104">
        <v>360</v>
      </c>
      <c r="H62" s="104" t="s">
        <v>505</v>
      </c>
      <c r="I62" s="107" t="s">
        <v>506</v>
      </c>
      <c r="J62" s="104" t="s">
        <v>507</v>
      </c>
      <c r="K62" s="10" t="s">
        <v>97</v>
      </c>
      <c r="L62" s="9">
        <v>1</v>
      </c>
      <c r="M62" s="9" t="s">
        <v>6</v>
      </c>
      <c r="N62" s="9">
        <v>0</v>
      </c>
      <c r="O62" s="9">
        <v>0</v>
      </c>
      <c r="P62" s="9">
        <v>1</v>
      </c>
      <c r="Q62" s="9">
        <v>0</v>
      </c>
      <c r="R62" s="10" t="s">
        <v>234</v>
      </c>
      <c r="S62" s="14" t="s">
        <v>116</v>
      </c>
      <c r="T62" s="93">
        <f t="shared" si="1"/>
        <v>14879838.628666667</v>
      </c>
      <c r="U62" s="13">
        <f t="shared" si="10"/>
        <v>14879838.628666667</v>
      </c>
      <c r="V62" s="13">
        <f>Cpte_Financiero_WT_PIC25!$H$19/75</f>
        <v>6126000</v>
      </c>
      <c r="W62" s="13">
        <f>Cpte_Financiero_WT_PIC25!$H$25/75</f>
        <v>4707000</v>
      </c>
      <c r="X62" s="13">
        <f>Cpte_Financiero_WT_PIC25!$E$58/75</f>
        <v>736552.17973333329</v>
      </c>
      <c r="Y62" s="13">
        <f t="shared" si="9"/>
        <v>3310286.4489333332</v>
      </c>
      <c r="Z62" s="81">
        <f>'Cadena de Valor'!$I$19*1</f>
        <v>169333.33333333334</v>
      </c>
      <c r="AA62" s="29">
        <v>0</v>
      </c>
      <c r="AB62" s="81">
        <f>'Cadena de Valor'!$I$17*2</f>
        <v>290000</v>
      </c>
      <c r="AC62" s="81">
        <f>'Cadena de Valor'!$I$15*10</f>
        <v>747086.66666666674</v>
      </c>
      <c r="AD62" s="81">
        <f>'Cadena de Valor'!$I$16*1</f>
        <v>394444.33333333331</v>
      </c>
      <c r="AE62" s="81">
        <v>1000000</v>
      </c>
      <c r="AF62" s="83">
        <f t="shared" si="3"/>
        <v>326658.2</v>
      </c>
      <c r="AG62" s="83">
        <f t="shared" si="4"/>
        <v>382763.91560000001</v>
      </c>
      <c r="AH62" s="15" t="s">
        <v>22</v>
      </c>
      <c r="AI62" s="10" t="s">
        <v>117</v>
      </c>
      <c r="AJ62" s="10" t="s">
        <v>236</v>
      </c>
      <c r="AK62" s="10" t="s">
        <v>118</v>
      </c>
      <c r="AL62" s="10" t="s">
        <v>119</v>
      </c>
      <c r="AM62" s="10" t="s">
        <v>243</v>
      </c>
      <c r="AN62" s="10" t="s">
        <v>243</v>
      </c>
      <c r="AO62" s="10" t="s">
        <v>260</v>
      </c>
      <c r="AP62" s="10">
        <v>250</v>
      </c>
      <c r="AQ62" s="10">
        <v>1250</v>
      </c>
      <c r="AR62" s="10" t="s">
        <v>18</v>
      </c>
    </row>
    <row r="63" spans="1:44" ht="195" customHeight="1">
      <c r="A63" s="10" t="s">
        <v>38</v>
      </c>
      <c r="B63" s="10" t="s">
        <v>35</v>
      </c>
      <c r="C63" s="10" t="s">
        <v>41</v>
      </c>
      <c r="D63" s="103">
        <v>2272106027.8000002</v>
      </c>
      <c r="E63" s="10" t="s">
        <v>235</v>
      </c>
      <c r="F63" s="103">
        <v>12836757.219209041</v>
      </c>
      <c r="G63" s="104">
        <v>361</v>
      </c>
      <c r="H63" s="104" t="s">
        <v>485</v>
      </c>
      <c r="I63" s="107" t="s">
        <v>486</v>
      </c>
      <c r="J63" s="104" t="s">
        <v>508</v>
      </c>
      <c r="K63" s="10" t="s">
        <v>98</v>
      </c>
      <c r="L63" s="9">
        <v>1</v>
      </c>
      <c r="M63" s="9" t="s">
        <v>6</v>
      </c>
      <c r="N63" s="9">
        <v>0</v>
      </c>
      <c r="O63" s="9">
        <v>0</v>
      </c>
      <c r="P63" s="9">
        <v>1</v>
      </c>
      <c r="Q63" s="9">
        <v>0</v>
      </c>
      <c r="R63" s="10" t="s">
        <v>234</v>
      </c>
      <c r="S63" s="14" t="s">
        <v>116</v>
      </c>
      <c r="T63" s="93">
        <f t="shared" si="1"/>
        <v>14174505.295333333</v>
      </c>
      <c r="U63" s="13">
        <f t="shared" si="10"/>
        <v>14174505.295333333</v>
      </c>
      <c r="V63" s="13">
        <f>Cpte_Financiero_WT_PIC25!$H$19/75</f>
        <v>6126000</v>
      </c>
      <c r="W63" s="13">
        <f>Cpte_Financiero_WT_PIC25!$H$25/75</f>
        <v>4707000</v>
      </c>
      <c r="X63" s="13">
        <f>Cpte_Financiero_WT_PIC25!$E$58/75</f>
        <v>736552.17973333329</v>
      </c>
      <c r="Y63" s="13">
        <f t="shared" si="9"/>
        <v>2604953.1156000001</v>
      </c>
      <c r="Z63" s="81">
        <f>'Cadena de Valor'!$I$19*1</f>
        <v>169333.33333333334</v>
      </c>
      <c r="AA63" s="81">
        <f>'Cadena de Valor'!$I$20*1</f>
        <v>94666.666666666672</v>
      </c>
      <c r="AB63" s="81">
        <f>'Cadena de Valor'!$I$17*2</f>
        <v>290000</v>
      </c>
      <c r="AC63" s="81">
        <f>'Cadena de Valor'!$I$15*10</f>
        <v>747086.66666666674</v>
      </c>
      <c r="AD63" s="81">
        <f>'Cadena de Valor'!$I$16*1</f>
        <v>394444.33333333331</v>
      </c>
      <c r="AE63" s="81">
        <v>200000</v>
      </c>
      <c r="AF63" s="83">
        <f t="shared" si="3"/>
        <v>326658.2</v>
      </c>
      <c r="AG63" s="83">
        <f t="shared" si="4"/>
        <v>382763.91560000001</v>
      </c>
      <c r="AH63" s="15" t="s">
        <v>22</v>
      </c>
      <c r="AI63" s="10" t="s">
        <v>117</v>
      </c>
      <c r="AJ63" s="10" t="s">
        <v>236</v>
      </c>
      <c r="AK63" s="10" t="s">
        <v>118</v>
      </c>
      <c r="AL63" s="10" t="s">
        <v>119</v>
      </c>
      <c r="AM63" s="10" t="s">
        <v>345</v>
      </c>
      <c r="AN63" s="10" t="s">
        <v>261</v>
      </c>
      <c r="AO63" s="10" t="s">
        <v>262</v>
      </c>
      <c r="AP63" s="10">
        <v>90</v>
      </c>
      <c r="AQ63" s="10">
        <v>450</v>
      </c>
      <c r="AR63" s="10" t="s">
        <v>18</v>
      </c>
    </row>
    <row r="64" spans="1:44" ht="199.15" customHeight="1">
      <c r="A64" s="10" t="s">
        <v>38</v>
      </c>
      <c r="B64" s="10" t="s">
        <v>35</v>
      </c>
      <c r="C64" s="10" t="s">
        <v>41</v>
      </c>
      <c r="D64" s="103">
        <v>2272106027.8000002</v>
      </c>
      <c r="E64" s="10" t="s">
        <v>235</v>
      </c>
      <c r="F64" s="103">
        <v>12836757.219209041</v>
      </c>
      <c r="G64" s="104">
        <v>362</v>
      </c>
      <c r="H64" s="104" t="s">
        <v>413</v>
      </c>
      <c r="I64" s="107" t="s">
        <v>414</v>
      </c>
      <c r="J64" s="104" t="s">
        <v>509</v>
      </c>
      <c r="K64" s="10" t="s">
        <v>99</v>
      </c>
      <c r="L64" s="9">
        <v>1</v>
      </c>
      <c r="M64" s="9" t="s">
        <v>6</v>
      </c>
      <c r="N64" s="9">
        <v>0</v>
      </c>
      <c r="O64" s="9">
        <v>1</v>
      </c>
      <c r="P64" s="9">
        <v>0</v>
      </c>
      <c r="Q64" s="9">
        <v>0</v>
      </c>
      <c r="R64" s="10" t="s">
        <v>234</v>
      </c>
      <c r="S64" s="14" t="s">
        <v>116</v>
      </c>
      <c r="T64" s="93">
        <f t="shared" si="1"/>
        <v>14174505.295333333</v>
      </c>
      <c r="U64" s="13">
        <f t="shared" si="10"/>
        <v>14174505.295333333</v>
      </c>
      <c r="V64" s="13">
        <f>Cpte_Financiero_WT_PIC25!$H$19/75</f>
        <v>6126000</v>
      </c>
      <c r="W64" s="13">
        <f>Cpte_Financiero_WT_PIC25!$H$25/75</f>
        <v>4707000</v>
      </c>
      <c r="X64" s="13">
        <f>Cpte_Financiero_WT_PIC25!$E$58/75</f>
        <v>736552.17973333329</v>
      </c>
      <c r="Y64" s="13">
        <f t="shared" si="9"/>
        <v>2604953.1156000001</v>
      </c>
      <c r="Z64" s="81">
        <f>'Cadena de Valor'!$I$19*1</f>
        <v>169333.33333333334</v>
      </c>
      <c r="AA64" s="81">
        <f>'Cadena de Valor'!$I$20*1</f>
        <v>94666.666666666672</v>
      </c>
      <c r="AB64" s="81">
        <f>'Cadena de Valor'!$I$17*2</f>
        <v>290000</v>
      </c>
      <c r="AC64" s="81">
        <f>'Cadena de Valor'!$I$15*10</f>
        <v>747086.66666666674</v>
      </c>
      <c r="AD64" s="81">
        <f>'Cadena de Valor'!$I$16*1</f>
        <v>394444.33333333331</v>
      </c>
      <c r="AE64" s="81">
        <v>200000</v>
      </c>
      <c r="AF64" s="83">
        <f t="shared" si="3"/>
        <v>326658.2</v>
      </c>
      <c r="AG64" s="83">
        <f t="shared" si="4"/>
        <v>382763.91560000001</v>
      </c>
      <c r="AH64" s="15" t="s">
        <v>22</v>
      </c>
      <c r="AI64" s="10" t="s">
        <v>117</v>
      </c>
      <c r="AJ64" s="10" t="s">
        <v>236</v>
      </c>
      <c r="AK64" s="10" t="s">
        <v>118</v>
      </c>
      <c r="AL64" s="10" t="s">
        <v>119</v>
      </c>
      <c r="AM64" s="10" t="s">
        <v>352</v>
      </c>
      <c r="AN64" s="10" t="s">
        <v>258</v>
      </c>
      <c r="AO64" s="10" t="s">
        <v>376</v>
      </c>
      <c r="AP64" s="10" t="s">
        <v>264</v>
      </c>
      <c r="AQ64" s="10" t="s">
        <v>265</v>
      </c>
      <c r="AR64" s="10" t="s">
        <v>18</v>
      </c>
    </row>
    <row r="65" spans="1:44" ht="183" customHeight="1">
      <c r="A65" s="10" t="s">
        <v>38</v>
      </c>
      <c r="B65" s="10" t="s">
        <v>35</v>
      </c>
      <c r="C65" s="10" t="s">
        <v>41</v>
      </c>
      <c r="D65" s="103">
        <v>2272106027.8000002</v>
      </c>
      <c r="E65" s="10" t="s">
        <v>235</v>
      </c>
      <c r="F65" s="103">
        <v>12836757.219209041</v>
      </c>
      <c r="G65" s="104">
        <v>363</v>
      </c>
      <c r="H65" s="104" t="s">
        <v>400</v>
      </c>
      <c r="I65" s="107" t="s">
        <v>401</v>
      </c>
      <c r="J65" s="104" t="s">
        <v>510</v>
      </c>
      <c r="K65" s="10" t="s">
        <v>100</v>
      </c>
      <c r="L65" s="9">
        <v>6</v>
      </c>
      <c r="M65" s="9" t="s">
        <v>6</v>
      </c>
      <c r="N65" s="9">
        <v>0</v>
      </c>
      <c r="O65" s="9">
        <v>0</v>
      </c>
      <c r="P65" s="9">
        <v>6</v>
      </c>
      <c r="Q65" s="9">
        <v>0</v>
      </c>
      <c r="R65" s="10" t="s">
        <v>234</v>
      </c>
      <c r="S65" s="14" t="s">
        <v>116</v>
      </c>
      <c r="T65" s="93">
        <f t="shared" si="1"/>
        <v>2607973.104777778</v>
      </c>
      <c r="U65" s="13">
        <f t="shared" si="10"/>
        <v>15647838.628666667</v>
      </c>
      <c r="V65" s="13">
        <f>Cpte_Financiero_WT_PIC25!$H$19/75</f>
        <v>6126000</v>
      </c>
      <c r="W65" s="13">
        <f>Cpte_Financiero_WT_PIC25!$H$25/75</f>
        <v>4707000</v>
      </c>
      <c r="X65" s="13">
        <f>Cpte_Financiero_WT_PIC25!$E$58/75</f>
        <v>736552.17973333329</v>
      </c>
      <c r="Y65" s="13">
        <f t="shared" si="9"/>
        <v>4078286.4489333336</v>
      </c>
      <c r="Z65" s="81">
        <f>'Cadena de Valor'!$I$19*1</f>
        <v>169333.33333333334</v>
      </c>
      <c r="AA65" s="81">
        <f>'Cadena de Valor'!$I$20*6</f>
        <v>568000</v>
      </c>
      <c r="AB65" s="81">
        <f>'Cadena de Valor'!$I$17*2</f>
        <v>290000</v>
      </c>
      <c r="AC65" s="81">
        <f>'Cadena de Valor'!$I$15*10</f>
        <v>747086.66666666674</v>
      </c>
      <c r="AD65" s="81">
        <f>'Cadena de Valor'!$I$16*1</f>
        <v>394444.33333333331</v>
      </c>
      <c r="AE65" s="81">
        <v>1200000</v>
      </c>
      <c r="AF65" s="83">
        <f t="shared" si="3"/>
        <v>326658.2</v>
      </c>
      <c r="AG65" s="83">
        <f t="shared" si="4"/>
        <v>382763.91560000001</v>
      </c>
      <c r="AH65" s="15" t="s">
        <v>22</v>
      </c>
      <c r="AI65" s="10" t="s">
        <v>117</v>
      </c>
      <c r="AJ65" s="10" t="s">
        <v>236</v>
      </c>
      <c r="AK65" s="10" t="s">
        <v>118</v>
      </c>
      <c r="AL65" s="10" t="s">
        <v>119</v>
      </c>
      <c r="AM65" s="10" t="s">
        <v>358</v>
      </c>
      <c r="AN65" s="10" t="s">
        <v>263</v>
      </c>
      <c r="AO65" s="10" t="s">
        <v>377</v>
      </c>
      <c r="AP65" s="10" t="s">
        <v>264</v>
      </c>
      <c r="AQ65" s="10" t="s">
        <v>265</v>
      </c>
      <c r="AR65" s="10" t="s">
        <v>18</v>
      </c>
    </row>
    <row r="66" spans="1:44" ht="178.9" customHeight="1">
      <c r="A66" s="10" t="s">
        <v>38</v>
      </c>
      <c r="B66" s="10" t="s">
        <v>35</v>
      </c>
      <c r="C66" s="10" t="s">
        <v>41</v>
      </c>
      <c r="D66" s="103">
        <v>2272106027.8000002</v>
      </c>
      <c r="E66" s="10" t="s">
        <v>235</v>
      </c>
      <c r="F66" s="103">
        <v>12836757.219209041</v>
      </c>
      <c r="G66" s="104">
        <v>364</v>
      </c>
      <c r="H66" s="104" t="s">
        <v>511</v>
      </c>
      <c r="I66" s="107" t="s">
        <v>512</v>
      </c>
      <c r="J66" s="104" t="s">
        <v>513</v>
      </c>
      <c r="K66" s="10" t="s">
        <v>101</v>
      </c>
      <c r="L66" s="9">
        <v>4</v>
      </c>
      <c r="M66" s="9" t="s">
        <v>6</v>
      </c>
      <c r="N66" s="9">
        <v>0</v>
      </c>
      <c r="O66" s="9">
        <v>1</v>
      </c>
      <c r="P66" s="9">
        <v>1</v>
      </c>
      <c r="Q66" s="9">
        <v>2</v>
      </c>
      <c r="R66" s="10" t="s">
        <v>234</v>
      </c>
      <c r="S66" s="14" t="s">
        <v>116</v>
      </c>
      <c r="T66" s="93">
        <f t="shared" si="1"/>
        <v>3764626.3238333333</v>
      </c>
      <c r="U66" s="13">
        <f t="shared" si="10"/>
        <v>15058505.295333333</v>
      </c>
      <c r="V66" s="13">
        <f>Cpte_Financiero_WT_PIC25!$H$19/75</f>
        <v>6126000</v>
      </c>
      <c r="W66" s="13">
        <f>Cpte_Financiero_WT_PIC25!$H$25/75</f>
        <v>4707000</v>
      </c>
      <c r="X66" s="13">
        <f>Cpte_Financiero_WT_PIC25!$E$58/75</f>
        <v>736552.17973333329</v>
      </c>
      <c r="Y66" s="13">
        <f t="shared" si="9"/>
        <v>3488953.1156000001</v>
      </c>
      <c r="Z66" s="81">
        <f>'Cadena de Valor'!$I$19*1</f>
        <v>169333.33333333334</v>
      </c>
      <c r="AA66" s="81">
        <f>'Cadena de Valor'!$I$20*4</f>
        <v>378666.66666666669</v>
      </c>
      <c r="AB66" s="81">
        <f>'Cadena de Valor'!$I$17*2</f>
        <v>290000</v>
      </c>
      <c r="AC66" s="81">
        <f>'Cadena de Valor'!$I$15*10</f>
        <v>747086.66666666674</v>
      </c>
      <c r="AD66" s="81">
        <f>'Cadena de Valor'!$I$16*1</f>
        <v>394444.33333333331</v>
      </c>
      <c r="AE66" s="81">
        <v>800000</v>
      </c>
      <c r="AF66" s="83">
        <f t="shared" si="3"/>
        <v>326658.2</v>
      </c>
      <c r="AG66" s="83">
        <f t="shared" si="4"/>
        <v>382763.91560000001</v>
      </c>
      <c r="AH66" s="15" t="s">
        <v>22</v>
      </c>
      <c r="AI66" s="10" t="s">
        <v>117</v>
      </c>
      <c r="AJ66" s="10" t="s">
        <v>236</v>
      </c>
      <c r="AK66" s="10" t="s">
        <v>118</v>
      </c>
      <c r="AL66" s="10" t="s">
        <v>119</v>
      </c>
      <c r="AM66" s="10" t="s">
        <v>343</v>
      </c>
      <c r="AN66" s="10" t="s">
        <v>256</v>
      </c>
      <c r="AO66" s="10" t="s">
        <v>266</v>
      </c>
      <c r="AP66" s="10">
        <v>200</v>
      </c>
      <c r="AQ66" s="10">
        <v>800</v>
      </c>
      <c r="AR66" s="10" t="s">
        <v>18</v>
      </c>
    </row>
    <row r="67" spans="1:44" ht="190.9" customHeight="1">
      <c r="A67" s="10" t="s">
        <v>38</v>
      </c>
      <c r="B67" s="10" t="s">
        <v>35</v>
      </c>
      <c r="C67" s="10" t="s">
        <v>41</v>
      </c>
      <c r="D67" s="103">
        <v>2272106027.8000002</v>
      </c>
      <c r="E67" s="10" t="s">
        <v>235</v>
      </c>
      <c r="F67" s="103">
        <v>12836757.219209041</v>
      </c>
      <c r="G67" s="104">
        <v>365</v>
      </c>
      <c r="H67" s="104" t="s">
        <v>511</v>
      </c>
      <c r="I67" s="107" t="s">
        <v>512</v>
      </c>
      <c r="J67" s="104" t="s">
        <v>514</v>
      </c>
      <c r="K67" s="10" t="s">
        <v>102</v>
      </c>
      <c r="L67" s="9">
        <v>1</v>
      </c>
      <c r="M67" s="9" t="s">
        <v>6</v>
      </c>
      <c r="N67" s="9">
        <v>0</v>
      </c>
      <c r="O67" s="9">
        <v>0</v>
      </c>
      <c r="P67" s="9">
        <v>0</v>
      </c>
      <c r="Q67" s="9">
        <v>1</v>
      </c>
      <c r="R67" s="10" t="s">
        <v>234</v>
      </c>
      <c r="S67" s="14" t="s">
        <v>116</v>
      </c>
      <c r="T67" s="93">
        <f t="shared" si="1"/>
        <v>14279838.628666667</v>
      </c>
      <c r="U67" s="13">
        <f t="shared" si="10"/>
        <v>14279838.628666667</v>
      </c>
      <c r="V67" s="13">
        <f>Cpte_Financiero_WT_PIC25!$H$19/75</f>
        <v>6126000</v>
      </c>
      <c r="W67" s="13">
        <f>Cpte_Financiero_WT_PIC25!$H$25/75</f>
        <v>4707000</v>
      </c>
      <c r="X67" s="13">
        <f>Cpte_Financiero_WT_PIC25!$E$58/75</f>
        <v>736552.17973333329</v>
      </c>
      <c r="Y67" s="13">
        <f t="shared" si="9"/>
        <v>2710286.4489333332</v>
      </c>
      <c r="Z67" s="81">
        <f>'Cadena de Valor'!$I$19*1</f>
        <v>169333.33333333334</v>
      </c>
      <c r="AA67" s="29">
        <v>0</v>
      </c>
      <c r="AB67" s="81">
        <f>'Cadena de Valor'!$I$17*2</f>
        <v>290000</v>
      </c>
      <c r="AC67" s="81">
        <f>'Cadena de Valor'!$I$15*10</f>
        <v>747086.66666666674</v>
      </c>
      <c r="AD67" s="81">
        <f>'Cadena de Valor'!$I$16*1</f>
        <v>394444.33333333331</v>
      </c>
      <c r="AE67" s="81">
        <v>400000</v>
      </c>
      <c r="AF67" s="83">
        <f t="shared" si="3"/>
        <v>326658.2</v>
      </c>
      <c r="AG67" s="83">
        <f t="shared" si="4"/>
        <v>382763.91560000001</v>
      </c>
      <c r="AH67" s="15" t="s">
        <v>22</v>
      </c>
      <c r="AI67" s="10" t="s">
        <v>117</v>
      </c>
      <c r="AJ67" s="10" t="s">
        <v>236</v>
      </c>
      <c r="AK67" s="10" t="s">
        <v>118</v>
      </c>
      <c r="AL67" s="10" t="s">
        <v>119</v>
      </c>
      <c r="AM67" s="10" t="s">
        <v>352</v>
      </c>
      <c r="AN67" s="10" t="s">
        <v>258</v>
      </c>
      <c r="AO67" s="10" t="s">
        <v>378</v>
      </c>
      <c r="AP67" s="10" t="s">
        <v>247</v>
      </c>
      <c r="AQ67" s="10" t="s">
        <v>248</v>
      </c>
      <c r="AR67" s="10" t="s">
        <v>18</v>
      </c>
    </row>
    <row r="68" spans="1:44" ht="183.6" customHeight="1">
      <c r="A68" s="10" t="s">
        <v>38</v>
      </c>
      <c r="B68" s="10" t="s">
        <v>35</v>
      </c>
      <c r="C68" s="10" t="s">
        <v>41</v>
      </c>
      <c r="D68" s="103">
        <v>2272106027.8000002</v>
      </c>
      <c r="E68" s="10" t="s">
        <v>235</v>
      </c>
      <c r="F68" s="103">
        <v>12836757.219209041</v>
      </c>
      <c r="G68" s="104">
        <v>366</v>
      </c>
      <c r="H68" s="104" t="s">
        <v>489</v>
      </c>
      <c r="I68" s="107" t="s">
        <v>490</v>
      </c>
      <c r="J68" s="104" t="s">
        <v>515</v>
      </c>
      <c r="K68" s="10" t="s">
        <v>103</v>
      </c>
      <c r="L68" s="9">
        <v>1</v>
      </c>
      <c r="M68" s="9" t="s">
        <v>6</v>
      </c>
      <c r="N68" s="9">
        <v>0</v>
      </c>
      <c r="O68" s="9">
        <v>0</v>
      </c>
      <c r="P68" s="9">
        <v>0</v>
      </c>
      <c r="Q68" s="9">
        <v>1</v>
      </c>
      <c r="R68" s="10" t="s">
        <v>234</v>
      </c>
      <c r="S68" s="14" t="s">
        <v>116</v>
      </c>
      <c r="T68" s="93">
        <f t="shared" si="1"/>
        <v>14374505.295333333</v>
      </c>
      <c r="U68" s="13">
        <f t="shared" si="10"/>
        <v>14374505.295333333</v>
      </c>
      <c r="V68" s="13">
        <f>Cpte_Financiero_WT_PIC25!$H$19/75</f>
        <v>6126000</v>
      </c>
      <c r="W68" s="13">
        <f>Cpte_Financiero_WT_PIC25!$H$25/75</f>
        <v>4707000</v>
      </c>
      <c r="X68" s="13">
        <f>Cpte_Financiero_WT_PIC25!$E$58/75</f>
        <v>736552.17973333329</v>
      </c>
      <c r="Y68" s="13">
        <f t="shared" si="9"/>
        <v>2804953.1156000001</v>
      </c>
      <c r="Z68" s="81">
        <f>'Cadena de Valor'!$I$19*1</f>
        <v>169333.33333333334</v>
      </c>
      <c r="AA68" s="81">
        <f>'Cadena de Valor'!$I$20*1</f>
        <v>94666.666666666672</v>
      </c>
      <c r="AB68" s="81">
        <f>'Cadena de Valor'!$I$17*2</f>
        <v>290000</v>
      </c>
      <c r="AC68" s="81">
        <f>'Cadena de Valor'!$I$15*10</f>
        <v>747086.66666666674</v>
      </c>
      <c r="AD68" s="81">
        <f>'Cadena de Valor'!$I$16*1</f>
        <v>394444.33333333331</v>
      </c>
      <c r="AE68" s="81">
        <v>400000</v>
      </c>
      <c r="AF68" s="83">
        <f t="shared" si="3"/>
        <v>326658.2</v>
      </c>
      <c r="AG68" s="83">
        <f t="shared" si="4"/>
        <v>382763.91560000001</v>
      </c>
      <c r="AH68" s="15" t="s">
        <v>22</v>
      </c>
      <c r="AI68" s="10" t="s">
        <v>117</v>
      </c>
      <c r="AJ68" s="10" t="s">
        <v>236</v>
      </c>
      <c r="AK68" s="10" t="s">
        <v>118</v>
      </c>
      <c r="AL68" s="10" t="s">
        <v>119</v>
      </c>
      <c r="AM68" s="10" t="s">
        <v>359</v>
      </c>
      <c r="AN68" s="10" t="s">
        <v>267</v>
      </c>
      <c r="AO68" s="10" t="s">
        <v>268</v>
      </c>
      <c r="AP68" s="10">
        <v>180</v>
      </c>
      <c r="AQ68" s="10">
        <v>720</v>
      </c>
      <c r="AR68" s="10" t="s">
        <v>18</v>
      </c>
    </row>
    <row r="69" spans="1:44" ht="208.15" customHeight="1">
      <c r="A69" s="10" t="s">
        <v>38</v>
      </c>
      <c r="B69" s="10" t="s">
        <v>35</v>
      </c>
      <c r="C69" s="10" t="s">
        <v>41</v>
      </c>
      <c r="D69" s="103">
        <v>2272106027.8000002</v>
      </c>
      <c r="E69" s="10" t="s">
        <v>235</v>
      </c>
      <c r="F69" s="103">
        <v>12836757.219209041</v>
      </c>
      <c r="G69" s="104">
        <v>367</v>
      </c>
      <c r="H69" s="104" t="s">
        <v>430</v>
      </c>
      <c r="I69" s="107" t="s">
        <v>431</v>
      </c>
      <c r="J69" s="104" t="s">
        <v>516</v>
      </c>
      <c r="K69" s="10" t="s">
        <v>104</v>
      </c>
      <c r="L69" s="9">
        <v>1</v>
      </c>
      <c r="M69" s="9" t="s">
        <v>6</v>
      </c>
      <c r="N69" s="9">
        <v>0</v>
      </c>
      <c r="O69" s="9">
        <v>1</v>
      </c>
      <c r="P69" s="9">
        <v>0</v>
      </c>
      <c r="Q69" s="9">
        <v>0</v>
      </c>
      <c r="R69" s="10" t="s">
        <v>234</v>
      </c>
      <c r="S69" s="14" t="s">
        <v>116</v>
      </c>
      <c r="T69" s="93">
        <f t="shared" si="1"/>
        <v>14344557.818666667</v>
      </c>
      <c r="U69" s="13">
        <f t="shared" si="10"/>
        <v>14344557.818666667</v>
      </c>
      <c r="V69" s="13">
        <f>Cpte_Financiero_WT_PIC25!$H$19/75</f>
        <v>6126000</v>
      </c>
      <c r="W69" s="13">
        <f>Cpte_Financiero_WT_PIC25!$H$25/75</f>
        <v>4707000</v>
      </c>
      <c r="X69" s="13">
        <f>Cpte_Financiero_WT_PIC25!$E$58/75</f>
        <v>736552.17973333329</v>
      </c>
      <c r="Y69" s="13">
        <f t="shared" si="9"/>
        <v>2775005.6389333331</v>
      </c>
      <c r="Z69" s="81">
        <f>'Cadena de Valor'!$I$19*1</f>
        <v>169333.33333333334</v>
      </c>
      <c r="AA69" s="29">
        <v>0</v>
      </c>
      <c r="AB69" s="81">
        <f>'Cadena de Valor'!$I$17*2</f>
        <v>290000</v>
      </c>
      <c r="AC69" s="81">
        <f>'Cadena de Valor'!$I$15*10</f>
        <v>747086.66666666674</v>
      </c>
      <c r="AD69" s="81">
        <f>'Cadena de Valor'!$I$16*1</f>
        <v>394444.33333333331</v>
      </c>
      <c r="AE69" s="81">
        <v>464719.19</v>
      </c>
      <c r="AF69" s="83">
        <f t="shared" si="3"/>
        <v>326658.2</v>
      </c>
      <c r="AG69" s="83">
        <f t="shared" si="4"/>
        <v>382763.91560000001</v>
      </c>
      <c r="AH69" s="15" t="s">
        <v>22</v>
      </c>
      <c r="AI69" s="10" t="s">
        <v>117</v>
      </c>
      <c r="AJ69" s="10" t="s">
        <v>236</v>
      </c>
      <c r="AK69" s="10" t="s">
        <v>118</v>
      </c>
      <c r="AL69" s="10" t="s">
        <v>119</v>
      </c>
      <c r="AM69" s="10" t="s">
        <v>359</v>
      </c>
      <c r="AN69" s="10" t="s">
        <v>267</v>
      </c>
      <c r="AO69" s="10" t="s">
        <v>268</v>
      </c>
      <c r="AP69" s="10">
        <v>180</v>
      </c>
      <c r="AQ69" s="10">
        <v>720</v>
      </c>
      <c r="AR69" s="10" t="s">
        <v>18</v>
      </c>
    </row>
    <row r="70" spans="1:44" ht="201.6" customHeight="1">
      <c r="A70" s="10" t="s">
        <v>38</v>
      </c>
      <c r="B70" s="10" t="s">
        <v>35</v>
      </c>
      <c r="C70" s="10" t="s">
        <v>41</v>
      </c>
      <c r="D70" s="103">
        <v>2272106027.8000002</v>
      </c>
      <c r="E70" s="10" t="s">
        <v>235</v>
      </c>
      <c r="F70" s="103">
        <v>12836757.219209041</v>
      </c>
      <c r="G70" s="104">
        <v>368</v>
      </c>
      <c r="H70" s="104" t="s">
        <v>459</v>
      </c>
      <c r="I70" s="107" t="s">
        <v>460</v>
      </c>
      <c r="J70" s="104" t="s">
        <v>517</v>
      </c>
      <c r="K70" s="10" t="s">
        <v>105</v>
      </c>
      <c r="L70" s="9">
        <v>100</v>
      </c>
      <c r="M70" s="9" t="s">
        <v>114</v>
      </c>
      <c r="N70" s="9">
        <v>0</v>
      </c>
      <c r="O70" s="9">
        <v>50</v>
      </c>
      <c r="P70" s="9">
        <v>25</v>
      </c>
      <c r="Q70" s="9">
        <v>25</v>
      </c>
      <c r="R70" s="10" t="s">
        <v>234</v>
      </c>
      <c r="S70" s="14" t="s">
        <v>116</v>
      </c>
      <c r="T70" s="93">
        <f t="shared" si="1"/>
        <v>158798.38628666668</v>
      </c>
      <c r="U70" s="13">
        <f t="shared" si="10"/>
        <v>15879838.628666667</v>
      </c>
      <c r="V70" s="13">
        <f>Cpte_Financiero_WT_PIC25!$H$19/75</f>
        <v>6126000</v>
      </c>
      <c r="W70" s="13">
        <f>Cpte_Financiero_WT_PIC25!$H$25/75</f>
        <v>4707000</v>
      </c>
      <c r="X70" s="13">
        <f>Cpte_Financiero_WT_PIC25!$E$58/75</f>
        <v>736552.17973333329</v>
      </c>
      <c r="Y70" s="13">
        <f t="shared" si="9"/>
        <v>4310286.4489333332</v>
      </c>
      <c r="Z70" s="81">
        <f>'Cadena de Valor'!$I$19*1</f>
        <v>169333.33333333334</v>
      </c>
      <c r="AA70" s="29">
        <v>0</v>
      </c>
      <c r="AB70" s="81">
        <f>'Cadena de Valor'!$I$17*2</f>
        <v>290000</v>
      </c>
      <c r="AC70" s="81">
        <f>'Cadena de Valor'!$I$15*10</f>
        <v>747086.66666666674</v>
      </c>
      <c r="AD70" s="81">
        <f>'Cadena de Valor'!$I$16*1</f>
        <v>394444.33333333331</v>
      </c>
      <c r="AE70" s="81">
        <v>2000000</v>
      </c>
      <c r="AF70" s="83">
        <f t="shared" si="3"/>
        <v>326658.2</v>
      </c>
      <c r="AG70" s="83">
        <f t="shared" si="4"/>
        <v>382763.91560000001</v>
      </c>
      <c r="AH70" s="15" t="s">
        <v>22</v>
      </c>
      <c r="AI70" s="10" t="s">
        <v>117</v>
      </c>
      <c r="AJ70" s="10" t="s">
        <v>236</v>
      </c>
      <c r="AK70" s="10" t="s">
        <v>118</v>
      </c>
      <c r="AL70" s="10" t="s">
        <v>119</v>
      </c>
      <c r="AM70" s="10" t="s">
        <v>346</v>
      </c>
      <c r="AN70" s="10" t="s">
        <v>269</v>
      </c>
      <c r="AO70" s="10" t="s">
        <v>270</v>
      </c>
      <c r="AP70" s="10">
        <v>250</v>
      </c>
      <c r="AQ70" s="10">
        <v>1250</v>
      </c>
      <c r="AR70" s="10" t="s">
        <v>18</v>
      </c>
    </row>
    <row r="71" spans="1:44" ht="191.45" customHeight="1">
      <c r="A71" s="10" t="s">
        <v>38</v>
      </c>
      <c r="B71" s="10" t="s">
        <v>35</v>
      </c>
      <c r="C71" s="10" t="s">
        <v>41</v>
      </c>
      <c r="D71" s="103">
        <v>2272106027.8000002</v>
      </c>
      <c r="E71" s="10" t="s">
        <v>235</v>
      </c>
      <c r="F71" s="103">
        <v>12836757.219209041</v>
      </c>
      <c r="G71" s="104">
        <v>369</v>
      </c>
      <c r="H71" s="104" t="s">
        <v>447</v>
      </c>
      <c r="I71" s="107" t="s">
        <v>448</v>
      </c>
      <c r="J71" s="104" t="s">
        <v>518</v>
      </c>
      <c r="K71" s="10" t="s">
        <v>106</v>
      </c>
      <c r="L71" s="9">
        <v>2</v>
      </c>
      <c r="M71" s="9" t="s">
        <v>6</v>
      </c>
      <c r="N71" s="9">
        <v>0</v>
      </c>
      <c r="O71" s="9">
        <v>1</v>
      </c>
      <c r="P71" s="9">
        <v>0</v>
      </c>
      <c r="Q71" s="9">
        <v>1</v>
      </c>
      <c r="R71" s="10" t="s">
        <v>234</v>
      </c>
      <c r="S71" s="14" t="s">
        <v>116</v>
      </c>
      <c r="T71" s="93">
        <f t="shared" si="1"/>
        <v>7939919.3143333336</v>
      </c>
      <c r="U71" s="13">
        <f t="shared" si="10"/>
        <v>15879838.628666667</v>
      </c>
      <c r="V71" s="13">
        <f>Cpte_Financiero_WT_PIC25!$H$19/75</f>
        <v>6126000</v>
      </c>
      <c r="W71" s="13">
        <f>Cpte_Financiero_WT_PIC25!$H$25/75</f>
        <v>4707000</v>
      </c>
      <c r="X71" s="13">
        <f>Cpte_Financiero_WT_PIC25!$E$58/75</f>
        <v>736552.17973333329</v>
      </c>
      <c r="Y71" s="13">
        <f t="shared" ref="Y71:Y77" si="11">SUM(Z71:AG71)</f>
        <v>4310286.4489333332</v>
      </c>
      <c r="Z71" s="81">
        <f>'Cadena de Valor'!$I$19*1</f>
        <v>169333.33333333334</v>
      </c>
      <c r="AA71" s="29">
        <v>0</v>
      </c>
      <c r="AB71" s="81">
        <f>'Cadena de Valor'!$I$17*2</f>
        <v>290000</v>
      </c>
      <c r="AC71" s="81">
        <f>'Cadena de Valor'!$I$15*10</f>
        <v>747086.66666666674</v>
      </c>
      <c r="AD71" s="81">
        <f>'Cadena de Valor'!$I$16*1</f>
        <v>394444.33333333331</v>
      </c>
      <c r="AE71" s="81">
        <v>2000000</v>
      </c>
      <c r="AF71" s="83">
        <f t="shared" si="3"/>
        <v>326658.2</v>
      </c>
      <c r="AG71" s="83">
        <f t="shared" si="4"/>
        <v>382763.91560000001</v>
      </c>
      <c r="AH71" s="15" t="s">
        <v>22</v>
      </c>
      <c r="AI71" s="10" t="s">
        <v>117</v>
      </c>
      <c r="AJ71" s="10" t="s">
        <v>236</v>
      </c>
      <c r="AK71" s="10" t="s">
        <v>118</v>
      </c>
      <c r="AL71" s="10" t="s">
        <v>119</v>
      </c>
      <c r="AM71" s="10" t="s">
        <v>360</v>
      </c>
      <c r="AN71" s="10" t="s">
        <v>271</v>
      </c>
      <c r="AO71" s="10" t="s">
        <v>379</v>
      </c>
      <c r="AP71" s="10" t="s">
        <v>272</v>
      </c>
      <c r="AQ71" s="10" t="s">
        <v>273</v>
      </c>
      <c r="AR71" s="10" t="s">
        <v>18</v>
      </c>
    </row>
    <row r="72" spans="1:44" ht="190.9" customHeight="1">
      <c r="A72" s="10" t="s">
        <v>38</v>
      </c>
      <c r="B72" s="10" t="s">
        <v>35</v>
      </c>
      <c r="C72" s="10" t="s">
        <v>41</v>
      </c>
      <c r="D72" s="103">
        <v>2272106027.8000002</v>
      </c>
      <c r="E72" s="10" t="s">
        <v>235</v>
      </c>
      <c r="F72" s="103">
        <v>12836757.219209041</v>
      </c>
      <c r="G72" s="104">
        <v>370</v>
      </c>
      <c r="H72" s="104" t="s">
        <v>447</v>
      </c>
      <c r="I72" s="107" t="s">
        <v>448</v>
      </c>
      <c r="J72" s="104" t="s">
        <v>519</v>
      </c>
      <c r="K72" s="10" t="s">
        <v>107</v>
      </c>
      <c r="L72" s="9">
        <v>3</v>
      </c>
      <c r="M72" s="9" t="s">
        <v>6</v>
      </c>
      <c r="N72" s="9">
        <v>0</v>
      </c>
      <c r="O72" s="9">
        <v>1</v>
      </c>
      <c r="P72" s="9">
        <v>1</v>
      </c>
      <c r="Q72" s="9">
        <v>1</v>
      </c>
      <c r="R72" s="10" t="s">
        <v>234</v>
      </c>
      <c r="S72" s="14" t="s">
        <v>116</v>
      </c>
      <c r="T72" s="93">
        <f t="shared" ref="T72:T76" si="12">U72/L72</f>
        <v>5121279.5428888891</v>
      </c>
      <c r="U72" s="13">
        <f t="shared" si="10"/>
        <v>15363838.628666667</v>
      </c>
      <c r="V72" s="13">
        <f>Cpte_Financiero_WT_PIC25!$H$19/75</f>
        <v>6126000</v>
      </c>
      <c r="W72" s="13">
        <f>Cpte_Financiero_WT_PIC25!$H$25/75</f>
        <v>4707000</v>
      </c>
      <c r="X72" s="13">
        <f>Cpte_Financiero_WT_PIC25!$E$58/75</f>
        <v>736552.17973333329</v>
      </c>
      <c r="Y72" s="13">
        <f t="shared" si="11"/>
        <v>3794286.4489333332</v>
      </c>
      <c r="Z72" s="81">
        <f>'Cadena de Valor'!$I$19*1</f>
        <v>169333.33333333334</v>
      </c>
      <c r="AA72" s="81">
        <f>'Cadena de Valor'!$I$20*3</f>
        <v>284000</v>
      </c>
      <c r="AB72" s="81">
        <f>'Cadena de Valor'!$I$17*2</f>
        <v>290000</v>
      </c>
      <c r="AC72" s="81">
        <f>'Cadena de Valor'!$I$15*10</f>
        <v>747086.66666666674</v>
      </c>
      <c r="AD72" s="81">
        <f>'Cadena de Valor'!$I$16*1</f>
        <v>394444.33333333331</v>
      </c>
      <c r="AE72" s="81">
        <v>1200000</v>
      </c>
      <c r="AF72" s="83">
        <f t="shared" ref="AF72:AF81" si="13">24499365/75</f>
        <v>326658.2</v>
      </c>
      <c r="AG72" s="83">
        <f t="shared" ref="AG72:AG81" si="14">28707293.67/75</f>
        <v>382763.91560000001</v>
      </c>
      <c r="AH72" s="15" t="s">
        <v>22</v>
      </c>
      <c r="AI72" s="10" t="s">
        <v>117</v>
      </c>
      <c r="AJ72" s="10" t="s">
        <v>236</v>
      </c>
      <c r="AK72" s="10" t="s">
        <v>118</v>
      </c>
      <c r="AL72" s="10" t="s">
        <v>119</v>
      </c>
      <c r="AM72" s="10" t="s">
        <v>354</v>
      </c>
      <c r="AN72" s="10" t="s">
        <v>245</v>
      </c>
      <c r="AO72" s="10" t="s">
        <v>246</v>
      </c>
      <c r="AP72" s="10" t="s">
        <v>247</v>
      </c>
      <c r="AQ72" s="10" t="s">
        <v>248</v>
      </c>
      <c r="AR72" s="10" t="s">
        <v>18</v>
      </c>
    </row>
    <row r="73" spans="1:44" ht="178.9" customHeight="1">
      <c r="A73" s="10" t="s">
        <v>38</v>
      </c>
      <c r="B73" s="10" t="s">
        <v>35</v>
      </c>
      <c r="C73" s="10" t="s">
        <v>41</v>
      </c>
      <c r="D73" s="103">
        <v>2272106027.8000002</v>
      </c>
      <c r="E73" s="10" t="s">
        <v>235</v>
      </c>
      <c r="F73" s="103">
        <v>12836757.219209041</v>
      </c>
      <c r="G73" s="104">
        <v>371</v>
      </c>
      <c r="H73" s="104" t="s">
        <v>496</v>
      </c>
      <c r="I73" s="107" t="s">
        <v>497</v>
      </c>
      <c r="J73" s="104" t="s">
        <v>520</v>
      </c>
      <c r="K73" s="10" t="s">
        <v>108</v>
      </c>
      <c r="L73" s="9">
        <v>1</v>
      </c>
      <c r="M73" s="9" t="s">
        <v>6</v>
      </c>
      <c r="N73" s="9">
        <v>0</v>
      </c>
      <c r="O73" s="9">
        <v>0</v>
      </c>
      <c r="P73" s="9">
        <v>0</v>
      </c>
      <c r="Q73" s="9">
        <v>1</v>
      </c>
      <c r="R73" s="10" t="s">
        <v>234</v>
      </c>
      <c r="S73" s="14" t="s">
        <v>116</v>
      </c>
      <c r="T73" s="93">
        <f t="shared" si="12"/>
        <v>14879838.628666667</v>
      </c>
      <c r="U73" s="13">
        <f t="shared" si="10"/>
        <v>14879838.628666667</v>
      </c>
      <c r="V73" s="13">
        <f>Cpte_Financiero_WT_PIC25!$H$19/75</f>
        <v>6126000</v>
      </c>
      <c r="W73" s="13">
        <f>Cpte_Financiero_WT_PIC25!$H$25/75</f>
        <v>4707000</v>
      </c>
      <c r="X73" s="13">
        <f>Cpte_Financiero_WT_PIC25!$E$58/75</f>
        <v>736552.17973333329</v>
      </c>
      <c r="Y73" s="13">
        <f t="shared" si="11"/>
        <v>3310286.4489333332</v>
      </c>
      <c r="Z73" s="81">
        <f>'Cadena de Valor'!$I$19*1</f>
        <v>169333.33333333334</v>
      </c>
      <c r="AA73" s="29">
        <v>0</v>
      </c>
      <c r="AB73" s="81">
        <f>'Cadena de Valor'!$I$17*2</f>
        <v>290000</v>
      </c>
      <c r="AC73" s="81">
        <f>'Cadena de Valor'!$I$15*10</f>
        <v>747086.66666666674</v>
      </c>
      <c r="AD73" s="81">
        <f>'Cadena de Valor'!$I$16*1</f>
        <v>394444.33333333331</v>
      </c>
      <c r="AE73" s="81">
        <v>1000000</v>
      </c>
      <c r="AF73" s="83">
        <f t="shared" si="13"/>
        <v>326658.2</v>
      </c>
      <c r="AG73" s="83">
        <f t="shared" si="14"/>
        <v>382763.91560000001</v>
      </c>
      <c r="AH73" s="15" t="s">
        <v>22</v>
      </c>
      <c r="AI73" s="10" t="s">
        <v>117</v>
      </c>
      <c r="AJ73" s="10" t="s">
        <v>236</v>
      </c>
      <c r="AK73" s="10" t="s">
        <v>118</v>
      </c>
      <c r="AL73" s="10" t="s">
        <v>119</v>
      </c>
      <c r="AM73" s="10" t="s">
        <v>346</v>
      </c>
      <c r="AN73" s="10" t="s">
        <v>269</v>
      </c>
      <c r="AO73" s="10" t="s">
        <v>274</v>
      </c>
      <c r="AP73" s="10">
        <v>250</v>
      </c>
      <c r="AQ73" s="10">
        <v>1250</v>
      </c>
      <c r="AR73" s="10" t="s">
        <v>18</v>
      </c>
    </row>
    <row r="74" spans="1:44" ht="182.45" customHeight="1">
      <c r="A74" s="10" t="s">
        <v>38</v>
      </c>
      <c r="B74" s="10" t="s">
        <v>35</v>
      </c>
      <c r="C74" s="10" t="s">
        <v>41</v>
      </c>
      <c r="D74" s="103">
        <v>2272106027.8000002</v>
      </c>
      <c r="E74" s="10" t="s">
        <v>235</v>
      </c>
      <c r="F74" s="103">
        <v>12836757.219209041</v>
      </c>
      <c r="G74" s="104">
        <v>372</v>
      </c>
      <c r="H74" s="104" t="s">
        <v>521</v>
      </c>
      <c r="I74" s="107" t="s">
        <v>522</v>
      </c>
      <c r="J74" s="104" t="s">
        <v>523</v>
      </c>
      <c r="K74" s="10" t="s">
        <v>109</v>
      </c>
      <c r="L74" s="9">
        <v>1</v>
      </c>
      <c r="M74" s="9" t="s">
        <v>6</v>
      </c>
      <c r="N74" s="9">
        <v>0</v>
      </c>
      <c r="O74" s="9">
        <v>1</v>
      </c>
      <c r="P74" s="9">
        <v>0</v>
      </c>
      <c r="Q74" s="9">
        <v>0</v>
      </c>
      <c r="R74" s="10" t="s">
        <v>234</v>
      </c>
      <c r="S74" s="14" t="s">
        <v>116</v>
      </c>
      <c r="T74" s="93">
        <f t="shared" si="12"/>
        <v>14374505.295333333</v>
      </c>
      <c r="U74" s="13">
        <f t="shared" si="10"/>
        <v>14374505.295333333</v>
      </c>
      <c r="V74" s="13">
        <f>Cpte_Financiero_WT_PIC25!$H$19/75</f>
        <v>6126000</v>
      </c>
      <c r="W74" s="13">
        <f>Cpte_Financiero_WT_PIC25!$H$25/75</f>
        <v>4707000</v>
      </c>
      <c r="X74" s="13">
        <f>Cpte_Financiero_WT_PIC25!$E$58/75</f>
        <v>736552.17973333329</v>
      </c>
      <c r="Y74" s="13">
        <f t="shared" si="11"/>
        <v>2804953.1156000001</v>
      </c>
      <c r="Z74" s="81">
        <f>'Cadena de Valor'!$I$19*1</f>
        <v>169333.33333333334</v>
      </c>
      <c r="AA74" s="81">
        <f>'Cadena de Valor'!$I$20*1</f>
        <v>94666.666666666672</v>
      </c>
      <c r="AB74" s="81">
        <f>'Cadena de Valor'!$I$17*2</f>
        <v>290000</v>
      </c>
      <c r="AC74" s="81">
        <f>'Cadena de Valor'!$I$15*10</f>
        <v>747086.66666666674</v>
      </c>
      <c r="AD74" s="81">
        <f>'Cadena de Valor'!$I$16*1</f>
        <v>394444.33333333331</v>
      </c>
      <c r="AE74" s="81">
        <v>400000</v>
      </c>
      <c r="AF74" s="83">
        <f t="shared" si="13"/>
        <v>326658.2</v>
      </c>
      <c r="AG74" s="83">
        <f t="shared" si="14"/>
        <v>382763.91560000001</v>
      </c>
      <c r="AH74" s="15" t="s">
        <v>22</v>
      </c>
      <c r="AI74" s="10" t="s">
        <v>117</v>
      </c>
      <c r="AJ74" s="10" t="s">
        <v>236</v>
      </c>
      <c r="AK74" s="10" t="s">
        <v>118</v>
      </c>
      <c r="AL74" s="10" t="s">
        <v>119</v>
      </c>
      <c r="AM74" s="10" t="s">
        <v>352</v>
      </c>
      <c r="AN74" s="10" t="s">
        <v>258</v>
      </c>
      <c r="AO74" s="10" t="s">
        <v>380</v>
      </c>
      <c r="AP74" s="10" t="s">
        <v>277</v>
      </c>
      <c r="AQ74" s="10" t="s">
        <v>278</v>
      </c>
      <c r="AR74" s="10" t="s">
        <v>18</v>
      </c>
    </row>
    <row r="75" spans="1:44" ht="180" customHeight="1">
      <c r="A75" s="10" t="s">
        <v>38</v>
      </c>
      <c r="B75" s="10" t="s">
        <v>35</v>
      </c>
      <c r="C75" s="10" t="s">
        <v>41</v>
      </c>
      <c r="D75" s="103">
        <v>2272106027.8000002</v>
      </c>
      <c r="E75" s="10" t="s">
        <v>235</v>
      </c>
      <c r="F75" s="103">
        <v>12836757.219209041</v>
      </c>
      <c r="G75" s="104">
        <v>373</v>
      </c>
      <c r="H75" s="104" t="s">
        <v>478</v>
      </c>
      <c r="I75" s="107" t="s">
        <v>479</v>
      </c>
      <c r="J75" s="104" t="s">
        <v>524</v>
      </c>
      <c r="K75" s="10" t="s">
        <v>110</v>
      </c>
      <c r="L75" s="9">
        <v>4</v>
      </c>
      <c r="M75" s="9" t="s">
        <v>6</v>
      </c>
      <c r="N75" s="9">
        <v>0</v>
      </c>
      <c r="O75" s="9">
        <v>1</v>
      </c>
      <c r="P75" s="9">
        <v>2</v>
      </c>
      <c r="Q75" s="9">
        <v>1</v>
      </c>
      <c r="R75" s="10" t="s">
        <v>234</v>
      </c>
      <c r="S75" s="14" t="s">
        <v>116</v>
      </c>
      <c r="T75" s="93">
        <f t="shared" si="12"/>
        <v>4064626.3238333333</v>
      </c>
      <c r="U75" s="13">
        <f t="shared" si="10"/>
        <v>16258505.295333333</v>
      </c>
      <c r="V75" s="13">
        <f>Cpte_Financiero_WT_PIC25!$H$19/75</f>
        <v>6126000</v>
      </c>
      <c r="W75" s="13">
        <f>Cpte_Financiero_WT_PIC25!$H$25/75</f>
        <v>4707000</v>
      </c>
      <c r="X75" s="13">
        <f>Cpte_Financiero_WT_PIC25!$E$58/75</f>
        <v>736552.17973333329</v>
      </c>
      <c r="Y75" s="13">
        <f t="shared" si="11"/>
        <v>4688953.1156000001</v>
      </c>
      <c r="Z75" s="81">
        <f>'Cadena de Valor'!$I$19*1</f>
        <v>169333.33333333334</v>
      </c>
      <c r="AA75" s="81">
        <f>'Cadena de Valor'!$I$20*4</f>
        <v>378666.66666666669</v>
      </c>
      <c r="AB75" s="81">
        <f>'Cadena de Valor'!$I$17*2</f>
        <v>290000</v>
      </c>
      <c r="AC75" s="81">
        <f>'Cadena de Valor'!$I$15*10</f>
        <v>747086.66666666674</v>
      </c>
      <c r="AD75" s="81">
        <f>'Cadena de Valor'!$I$16*1</f>
        <v>394444.33333333331</v>
      </c>
      <c r="AE75" s="81">
        <v>2000000</v>
      </c>
      <c r="AF75" s="83">
        <f t="shared" si="13"/>
        <v>326658.2</v>
      </c>
      <c r="AG75" s="83">
        <f t="shared" si="14"/>
        <v>382763.91560000001</v>
      </c>
      <c r="AH75" s="15" t="s">
        <v>22</v>
      </c>
      <c r="AI75" s="10" t="s">
        <v>117</v>
      </c>
      <c r="AJ75" s="10" t="s">
        <v>236</v>
      </c>
      <c r="AK75" s="10" t="s">
        <v>118</v>
      </c>
      <c r="AL75" s="10" t="s">
        <v>119</v>
      </c>
      <c r="AM75" s="10" t="s">
        <v>353</v>
      </c>
      <c r="AN75" s="10" t="s">
        <v>239</v>
      </c>
      <c r="AO75" s="10" t="s">
        <v>381</v>
      </c>
      <c r="AP75" s="10" t="s">
        <v>241</v>
      </c>
      <c r="AQ75" s="10" t="s">
        <v>242</v>
      </c>
      <c r="AR75" s="10" t="s">
        <v>18</v>
      </c>
    </row>
    <row r="76" spans="1:44" ht="159.6" customHeight="1">
      <c r="A76" s="10" t="s">
        <v>38</v>
      </c>
      <c r="B76" s="10" t="s">
        <v>35</v>
      </c>
      <c r="C76" s="10" t="s">
        <v>41</v>
      </c>
      <c r="D76" s="103">
        <v>2272106027.8000002</v>
      </c>
      <c r="E76" s="10" t="s">
        <v>235</v>
      </c>
      <c r="F76" s="103">
        <v>12836757.219209041</v>
      </c>
      <c r="G76" s="104">
        <v>374</v>
      </c>
      <c r="H76" s="104" t="s">
        <v>525</v>
      </c>
      <c r="I76" s="107" t="s">
        <v>526</v>
      </c>
      <c r="J76" s="104" t="s">
        <v>527</v>
      </c>
      <c r="K76" s="10" t="s">
        <v>111</v>
      </c>
      <c r="L76" s="9">
        <v>100</v>
      </c>
      <c r="M76" s="9" t="s">
        <v>114</v>
      </c>
      <c r="N76" s="9">
        <v>0</v>
      </c>
      <c r="O76" s="9">
        <v>30</v>
      </c>
      <c r="P76" s="9">
        <v>30</v>
      </c>
      <c r="Q76" s="9">
        <v>40</v>
      </c>
      <c r="R76" s="10" t="s">
        <v>234</v>
      </c>
      <c r="S76" s="14" t="s">
        <v>116</v>
      </c>
      <c r="T76" s="93">
        <f t="shared" si="12"/>
        <v>148798.38628666668</v>
      </c>
      <c r="U76" s="13">
        <f t="shared" si="10"/>
        <v>14879838.628666667</v>
      </c>
      <c r="V76" s="13">
        <f>Cpte_Financiero_WT_PIC25!$H$19/75</f>
        <v>6126000</v>
      </c>
      <c r="W76" s="13">
        <f>Cpte_Financiero_WT_PIC25!$H$25/75</f>
        <v>4707000</v>
      </c>
      <c r="X76" s="13">
        <f>Cpte_Financiero_WT_PIC25!$E$58/75</f>
        <v>736552.17973333329</v>
      </c>
      <c r="Y76" s="13">
        <f t="shared" si="11"/>
        <v>3310286.4489333332</v>
      </c>
      <c r="Z76" s="81">
        <f>'Cadena de Valor'!$I$19*1</f>
        <v>169333.33333333334</v>
      </c>
      <c r="AA76" s="29">
        <v>0</v>
      </c>
      <c r="AB76" s="81">
        <f>'Cadena de Valor'!$I$17*2</f>
        <v>290000</v>
      </c>
      <c r="AC76" s="81">
        <f>'Cadena de Valor'!$I$15*10</f>
        <v>747086.66666666674</v>
      </c>
      <c r="AD76" s="81">
        <f>'Cadena de Valor'!$I$16*1</f>
        <v>394444.33333333331</v>
      </c>
      <c r="AE76" s="81">
        <v>1000000</v>
      </c>
      <c r="AF76" s="83">
        <f t="shared" si="13"/>
        <v>326658.2</v>
      </c>
      <c r="AG76" s="83">
        <f t="shared" si="14"/>
        <v>382763.91560000001</v>
      </c>
      <c r="AH76" s="15" t="s">
        <v>22</v>
      </c>
      <c r="AI76" s="10" t="s">
        <v>117</v>
      </c>
      <c r="AJ76" s="10" t="s">
        <v>236</v>
      </c>
      <c r="AK76" s="10" t="s">
        <v>118</v>
      </c>
      <c r="AL76" s="10" t="s">
        <v>119</v>
      </c>
      <c r="AM76" s="10" t="s">
        <v>341</v>
      </c>
      <c r="AN76" s="10" t="s">
        <v>275</v>
      </c>
      <c r="AO76" s="10" t="s">
        <v>276</v>
      </c>
      <c r="AP76" s="10" t="s">
        <v>277</v>
      </c>
      <c r="AQ76" s="10" t="s">
        <v>278</v>
      </c>
      <c r="AR76" s="10" t="s">
        <v>18</v>
      </c>
    </row>
    <row r="77" spans="1:44" ht="185.45" customHeight="1">
      <c r="A77" s="10" t="s">
        <v>38</v>
      </c>
      <c r="B77" s="10" t="s">
        <v>35</v>
      </c>
      <c r="C77" s="10" t="s">
        <v>41</v>
      </c>
      <c r="D77" s="103">
        <v>2272106027.8000002</v>
      </c>
      <c r="E77" s="10" t="s">
        <v>235</v>
      </c>
      <c r="F77" s="103">
        <v>12836757.219209041</v>
      </c>
      <c r="G77" s="104">
        <v>375</v>
      </c>
      <c r="H77" s="104" t="s">
        <v>528</v>
      </c>
      <c r="I77" s="107" t="s">
        <v>529</v>
      </c>
      <c r="J77" s="104" t="s">
        <v>530</v>
      </c>
      <c r="K77" s="10" t="s">
        <v>112</v>
      </c>
      <c r="L77" s="9">
        <v>1</v>
      </c>
      <c r="M77" s="9" t="s">
        <v>6</v>
      </c>
      <c r="N77" s="9">
        <v>0</v>
      </c>
      <c r="O77" s="9">
        <v>0</v>
      </c>
      <c r="P77" s="9">
        <v>0</v>
      </c>
      <c r="Q77" s="9">
        <v>1</v>
      </c>
      <c r="R77" s="10" t="s">
        <v>234</v>
      </c>
      <c r="S77" s="14" t="s">
        <v>116</v>
      </c>
      <c r="T77" s="93">
        <f>U77/L77</f>
        <v>14374505.295333333</v>
      </c>
      <c r="U77" s="13">
        <f t="shared" si="10"/>
        <v>14374505.295333333</v>
      </c>
      <c r="V77" s="13">
        <f>Cpte_Financiero_WT_PIC25!$H$19/75</f>
        <v>6126000</v>
      </c>
      <c r="W77" s="13">
        <f>Cpte_Financiero_WT_PIC25!$H$25/75</f>
        <v>4707000</v>
      </c>
      <c r="X77" s="13">
        <f>Cpte_Financiero_WT_PIC25!$E$58/75</f>
        <v>736552.17973333329</v>
      </c>
      <c r="Y77" s="13">
        <f t="shared" si="11"/>
        <v>2804953.1156000001</v>
      </c>
      <c r="Z77" s="81">
        <f>'Cadena de Valor'!$I$19*1</f>
        <v>169333.33333333334</v>
      </c>
      <c r="AA77" s="81">
        <f>'Cadena de Valor'!$I$20*1</f>
        <v>94666.666666666672</v>
      </c>
      <c r="AB77" s="81">
        <f>'Cadena de Valor'!$I$17*2</f>
        <v>290000</v>
      </c>
      <c r="AC77" s="81">
        <f>'Cadena de Valor'!$I$15*10</f>
        <v>747086.66666666674</v>
      </c>
      <c r="AD77" s="81">
        <f>'Cadena de Valor'!$I$16*1</f>
        <v>394444.33333333331</v>
      </c>
      <c r="AE77" s="81">
        <v>400000</v>
      </c>
      <c r="AF77" s="83">
        <f t="shared" si="13"/>
        <v>326658.2</v>
      </c>
      <c r="AG77" s="83">
        <f t="shared" si="14"/>
        <v>382763.91560000001</v>
      </c>
      <c r="AH77" s="15" t="s">
        <v>22</v>
      </c>
      <c r="AI77" s="10" t="s">
        <v>117</v>
      </c>
      <c r="AJ77" s="10" t="s">
        <v>236</v>
      </c>
      <c r="AK77" s="10" t="s">
        <v>118</v>
      </c>
      <c r="AL77" s="10" t="s">
        <v>119</v>
      </c>
      <c r="AM77" s="10" t="s">
        <v>340</v>
      </c>
      <c r="AN77" s="10" t="s">
        <v>279</v>
      </c>
      <c r="AO77" s="10" t="s">
        <v>280</v>
      </c>
      <c r="AP77" s="10">
        <v>200</v>
      </c>
      <c r="AQ77" s="10">
        <v>800</v>
      </c>
      <c r="AR77" s="10" t="s">
        <v>18</v>
      </c>
    </row>
    <row r="78" spans="1:44" ht="157.9" customHeight="1">
      <c r="A78" s="95" t="s">
        <v>219</v>
      </c>
      <c r="B78" s="10" t="s">
        <v>220</v>
      </c>
      <c r="C78" s="10" t="s">
        <v>221</v>
      </c>
      <c r="D78" s="103">
        <v>2272106027.8000002</v>
      </c>
      <c r="E78" s="10" t="s">
        <v>235</v>
      </c>
      <c r="F78" s="103">
        <v>12836757.219209041</v>
      </c>
      <c r="G78" s="17">
        <v>527</v>
      </c>
      <c r="H78" s="17" t="s">
        <v>496</v>
      </c>
      <c r="I78" s="17" t="s">
        <v>497</v>
      </c>
      <c r="J78" s="17" t="s">
        <v>531</v>
      </c>
      <c r="K78" s="10" t="s">
        <v>222</v>
      </c>
      <c r="L78" s="9">
        <v>100</v>
      </c>
      <c r="M78" s="9" t="s">
        <v>114</v>
      </c>
      <c r="N78" s="9">
        <v>25</v>
      </c>
      <c r="O78" s="9">
        <v>25</v>
      </c>
      <c r="P78" s="9">
        <v>25</v>
      </c>
      <c r="Q78" s="9">
        <v>25</v>
      </c>
      <c r="R78" s="10" t="s">
        <v>234</v>
      </c>
      <c r="S78" s="14" t="s">
        <v>223</v>
      </c>
      <c r="T78" s="93">
        <f t="shared" ref="T78:T81" si="15">U78/L78</f>
        <v>148295.05295333333</v>
      </c>
      <c r="U78" s="13">
        <f t="shared" ref="U78:U81" si="16">SUM(V78:Y78)</f>
        <v>14829505.295333333</v>
      </c>
      <c r="V78" s="13">
        <f>Cpte_Financiero_WT_PIC25!$H$19/75</f>
        <v>6126000</v>
      </c>
      <c r="W78" s="13">
        <f>Cpte_Financiero_WT_PIC25!$H$25/75</f>
        <v>4707000</v>
      </c>
      <c r="X78" s="13">
        <f>Cpte_Financiero_WT_PIC25!$E$58/75</f>
        <v>736552.17973333329</v>
      </c>
      <c r="Y78" s="13">
        <f t="shared" ref="Y78:Y81" si="17">SUM(Z78:AG78)</f>
        <v>3259953.1156000001</v>
      </c>
      <c r="Z78" s="81">
        <f>'[1]Cadena de Valor'!$I$19*1</f>
        <v>169333.33333333334</v>
      </c>
      <c r="AA78" s="81">
        <f>'[1]Cadena de Valor'!$I$20*1</f>
        <v>94666.666666666672</v>
      </c>
      <c r="AB78" s="81">
        <f>'[1]Cadena de Valor'!$I$17*1</f>
        <v>145000</v>
      </c>
      <c r="AC78" s="81">
        <f>'[1]Cadena de Valor'!$I$15*10</f>
        <v>747086.66666666674</v>
      </c>
      <c r="AD78" s="81">
        <f>'[1]Cadena de Valor'!$I$16*1</f>
        <v>394444.33333333331</v>
      </c>
      <c r="AE78" s="81">
        <v>1000000</v>
      </c>
      <c r="AF78" s="83">
        <f t="shared" si="13"/>
        <v>326658.2</v>
      </c>
      <c r="AG78" s="83">
        <f t="shared" si="14"/>
        <v>382763.91560000001</v>
      </c>
      <c r="AH78" s="15" t="s">
        <v>22</v>
      </c>
      <c r="AI78" s="7" t="s">
        <v>217</v>
      </c>
      <c r="AJ78" s="10" t="s">
        <v>281</v>
      </c>
      <c r="AK78" s="10" t="s">
        <v>118</v>
      </c>
      <c r="AL78" s="10" t="s">
        <v>119</v>
      </c>
      <c r="AM78" s="10" t="s">
        <v>282</v>
      </c>
      <c r="AN78" s="10" t="s">
        <v>282</v>
      </c>
      <c r="AO78" s="10" t="s">
        <v>282</v>
      </c>
      <c r="AP78" s="10" t="s">
        <v>282</v>
      </c>
      <c r="AQ78" s="10" t="s">
        <v>282</v>
      </c>
      <c r="AR78" s="10" t="s">
        <v>18</v>
      </c>
    </row>
    <row r="79" spans="1:44" ht="147" customHeight="1">
      <c r="A79" s="95" t="s">
        <v>219</v>
      </c>
      <c r="B79" s="10" t="s">
        <v>220</v>
      </c>
      <c r="C79" s="10" t="s">
        <v>221</v>
      </c>
      <c r="D79" s="103">
        <v>2272106027.8000002</v>
      </c>
      <c r="E79" s="10" t="s">
        <v>235</v>
      </c>
      <c r="F79" s="103">
        <v>12836757.219209041</v>
      </c>
      <c r="G79" s="12">
        <v>528</v>
      </c>
      <c r="H79" s="12" t="s">
        <v>521</v>
      </c>
      <c r="I79" s="17" t="s">
        <v>522</v>
      </c>
      <c r="J79" s="12" t="s">
        <v>532</v>
      </c>
      <c r="K79" s="10" t="s">
        <v>224</v>
      </c>
      <c r="L79" s="9">
        <v>40</v>
      </c>
      <c r="M79" s="9" t="s">
        <v>6</v>
      </c>
      <c r="N79" s="9">
        <v>10</v>
      </c>
      <c r="O79" s="9">
        <v>10</v>
      </c>
      <c r="P79" s="9">
        <v>10</v>
      </c>
      <c r="Q79" s="9">
        <v>10</v>
      </c>
      <c r="R79" s="10" t="s">
        <v>234</v>
      </c>
      <c r="S79" s="14" t="s">
        <v>223</v>
      </c>
      <c r="T79" s="93">
        <f t="shared" si="15"/>
        <v>445737.63238333334</v>
      </c>
      <c r="U79" s="13">
        <f t="shared" si="16"/>
        <v>17829505.295333333</v>
      </c>
      <c r="V79" s="13">
        <f>Cpte_Financiero_WT_PIC25!$H$19/75</f>
        <v>6126000</v>
      </c>
      <c r="W79" s="13">
        <f>Cpte_Financiero_WT_PIC25!$H$25/75</f>
        <v>4707000</v>
      </c>
      <c r="X79" s="13">
        <f>Cpte_Financiero_WT_PIC25!$E$58/75</f>
        <v>736552.17973333329</v>
      </c>
      <c r="Y79" s="13">
        <f t="shared" si="17"/>
        <v>6259953.1156000001</v>
      </c>
      <c r="Z79" s="81">
        <f>'[1]Cadena de Valor'!$I$19*1</f>
        <v>169333.33333333334</v>
      </c>
      <c r="AA79" s="81">
        <f>'[1]Cadena de Valor'!$I$20*1</f>
        <v>94666.666666666672</v>
      </c>
      <c r="AB79" s="81">
        <f>'[1]Cadena de Valor'!$I$17*1</f>
        <v>145000</v>
      </c>
      <c r="AC79" s="81">
        <f>'[1]Cadena de Valor'!$I$15*10</f>
        <v>747086.66666666674</v>
      </c>
      <c r="AD79" s="81">
        <f>'[1]Cadena de Valor'!$I$16*1</f>
        <v>394444.33333333331</v>
      </c>
      <c r="AE79" s="81">
        <v>4000000</v>
      </c>
      <c r="AF79" s="83">
        <f t="shared" si="13"/>
        <v>326658.2</v>
      </c>
      <c r="AG79" s="83">
        <f t="shared" si="14"/>
        <v>382763.91560000001</v>
      </c>
      <c r="AH79" s="15" t="s">
        <v>22</v>
      </c>
      <c r="AI79" s="7" t="s">
        <v>217</v>
      </c>
      <c r="AJ79" s="10" t="s">
        <v>281</v>
      </c>
      <c r="AK79" s="10" t="s">
        <v>118</v>
      </c>
      <c r="AL79" s="10" t="s">
        <v>119</v>
      </c>
      <c r="AM79" s="10" t="s">
        <v>346</v>
      </c>
      <c r="AN79" s="7" t="s">
        <v>269</v>
      </c>
      <c r="AO79" s="7" t="s">
        <v>274</v>
      </c>
      <c r="AP79" s="7">
        <v>120</v>
      </c>
      <c r="AQ79" s="7">
        <v>480</v>
      </c>
      <c r="AR79" s="10" t="s">
        <v>18</v>
      </c>
    </row>
    <row r="80" spans="1:44" ht="151.9" customHeight="1">
      <c r="A80" s="95" t="s">
        <v>219</v>
      </c>
      <c r="B80" s="10" t="s">
        <v>220</v>
      </c>
      <c r="C80" s="10" t="s">
        <v>221</v>
      </c>
      <c r="D80" s="103">
        <v>2272106027.8000002</v>
      </c>
      <c r="E80" s="10" t="s">
        <v>235</v>
      </c>
      <c r="F80" s="103">
        <v>12836757.219209041</v>
      </c>
      <c r="G80" s="12">
        <v>529</v>
      </c>
      <c r="H80" s="12" t="s">
        <v>533</v>
      </c>
      <c r="I80" s="17" t="s">
        <v>534</v>
      </c>
      <c r="J80" s="12" t="s">
        <v>535</v>
      </c>
      <c r="K80" s="10" t="s">
        <v>225</v>
      </c>
      <c r="L80" s="9">
        <v>2</v>
      </c>
      <c r="M80" s="9" t="s">
        <v>6</v>
      </c>
      <c r="N80" s="9">
        <v>1</v>
      </c>
      <c r="O80" s="9">
        <v>0</v>
      </c>
      <c r="P80" s="9">
        <v>1</v>
      </c>
      <c r="Q80" s="9">
        <v>0</v>
      </c>
      <c r="R80" s="10" t="s">
        <v>234</v>
      </c>
      <c r="S80" s="14" t="s">
        <v>223</v>
      </c>
      <c r="T80" s="93">
        <f t="shared" si="15"/>
        <v>7367419.3143333336</v>
      </c>
      <c r="U80" s="13">
        <f t="shared" si="16"/>
        <v>14734838.628666667</v>
      </c>
      <c r="V80" s="13">
        <f>Cpte_Financiero_WT_PIC25!$H$19/75</f>
        <v>6126000</v>
      </c>
      <c r="W80" s="13">
        <f>Cpte_Financiero_WT_PIC25!$H$25/75</f>
        <v>4707000</v>
      </c>
      <c r="X80" s="13">
        <f>Cpte_Financiero_WT_PIC25!$E$58/75</f>
        <v>736552.17973333329</v>
      </c>
      <c r="Y80" s="13">
        <f t="shared" si="17"/>
        <v>3165286.4489333332</v>
      </c>
      <c r="Z80" s="81">
        <f>'[1]Cadena de Valor'!$I$19*1</f>
        <v>169333.33333333334</v>
      </c>
      <c r="AA80" s="81">
        <v>0</v>
      </c>
      <c r="AB80" s="81">
        <f>'[1]Cadena de Valor'!$I$17*1</f>
        <v>145000</v>
      </c>
      <c r="AC80" s="81">
        <f>'[1]Cadena de Valor'!$I$15*10</f>
        <v>747086.66666666674</v>
      </c>
      <c r="AD80" s="81">
        <f>'[1]Cadena de Valor'!$I$16*1</f>
        <v>394444.33333333331</v>
      </c>
      <c r="AE80" s="81">
        <v>1000000</v>
      </c>
      <c r="AF80" s="83">
        <f t="shared" si="13"/>
        <v>326658.2</v>
      </c>
      <c r="AG80" s="83">
        <f t="shared" si="14"/>
        <v>382763.91560000001</v>
      </c>
      <c r="AH80" s="15" t="s">
        <v>22</v>
      </c>
      <c r="AI80" s="7" t="s">
        <v>217</v>
      </c>
      <c r="AJ80" s="10" t="s">
        <v>281</v>
      </c>
      <c r="AK80" s="10" t="s">
        <v>118</v>
      </c>
      <c r="AL80" s="10" t="s">
        <v>119</v>
      </c>
      <c r="AM80" s="10" t="s">
        <v>361</v>
      </c>
      <c r="AN80" s="7" t="s">
        <v>243</v>
      </c>
      <c r="AO80" s="10" t="s">
        <v>283</v>
      </c>
      <c r="AP80" s="7">
        <v>20</v>
      </c>
      <c r="AQ80" s="7">
        <v>80</v>
      </c>
      <c r="AR80" s="10" t="s">
        <v>18</v>
      </c>
    </row>
    <row r="81" spans="1:44" ht="157.15" customHeight="1">
      <c r="A81" s="95" t="s">
        <v>219</v>
      </c>
      <c r="B81" s="10" t="s">
        <v>220</v>
      </c>
      <c r="C81" s="10" t="s">
        <v>221</v>
      </c>
      <c r="D81" s="103">
        <v>2272106027.8000002</v>
      </c>
      <c r="E81" s="10" t="s">
        <v>235</v>
      </c>
      <c r="F81" s="103">
        <v>12836757.219209041</v>
      </c>
      <c r="G81" s="17">
        <v>530</v>
      </c>
      <c r="H81" s="17" t="s">
        <v>536</v>
      </c>
      <c r="I81" s="17" t="s">
        <v>537</v>
      </c>
      <c r="J81" s="17" t="s">
        <v>538</v>
      </c>
      <c r="K81" s="10" t="s">
        <v>226</v>
      </c>
      <c r="L81" s="9">
        <v>1</v>
      </c>
      <c r="M81" s="9" t="s">
        <v>115</v>
      </c>
      <c r="N81" s="9">
        <v>0</v>
      </c>
      <c r="O81" s="9">
        <v>1</v>
      </c>
      <c r="P81" s="9">
        <v>0</v>
      </c>
      <c r="Q81" s="9">
        <v>0</v>
      </c>
      <c r="R81" s="10" t="s">
        <v>234</v>
      </c>
      <c r="S81" s="14" t="s">
        <v>223</v>
      </c>
      <c r="T81" s="93">
        <f t="shared" si="15"/>
        <v>14734838.628666667</v>
      </c>
      <c r="U81" s="13">
        <f t="shared" si="16"/>
        <v>14734838.628666667</v>
      </c>
      <c r="V81" s="13">
        <f>Cpte_Financiero_WT_PIC25!$H$19/75</f>
        <v>6126000</v>
      </c>
      <c r="W81" s="13">
        <f>Cpte_Financiero_WT_PIC25!$H$25/75</f>
        <v>4707000</v>
      </c>
      <c r="X81" s="13">
        <f>Cpte_Financiero_WT_PIC25!$E$58/75</f>
        <v>736552.17973333329</v>
      </c>
      <c r="Y81" s="13">
        <f t="shared" si="17"/>
        <v>3165286.4489333332</v>
      </c>
      <c r="Z81" s="81">
        <f>'[1]Cadena de Valor'!$I$19*1</f>
        <v>169333.33333333334</v>
      </c>
      <c r="AA81" s="81">
        <v>0</v>
      </c>
      <c r="AB81" s="81">
        <f>'[1]Cadena de Valor'!$I$17*1</f>
        <v>145000</v>
      </c>
      <c r="AC81" s="81">
        <f>'[1]Cadena de Valor'!$I$15*10</f>
        <v>747086.66666666674</v>
      </c>
      <c r="AD81" s="81">
        <f>'[1]Cadena de Valor'!$I$16*1</f>
        <v>394444.33333333331</v>
      </c>
      <c r="AE81" s="81">
        <v>1000000</v>
      </c>
      <c r="AF81" s="83">
        <f t="shared" si="13"/>
        <v>326658.2</v>
      </c>
      <c r="AG81" s="83">
        <f t="shared" si="14"/>
        <v>382763.91560000001</v>
      </c>
      <c r="AH81" s="15" t="s">
        <v>22</v>
      </c>
      <c r="AI81" s="7" t="s">
        <v>217</v>
      </c>
      <c r="AJ81" s="10" t="s">
        <v>281</v>
      </c>
      <c r="AK81" s="10" t="s">
        <v>118</v>
      </c>
      <c r="AL81" s="10" t="s">
        <v>119</v>
      </c>
      <c r="AM81" s="10" t="s">
        <v>243</v>
      </c>
      <c r="AN81" s="7" t="s">
        <v>243</v>
      </c>
      <c r="AO81" s="7" t="s">
        <v>243</v>
      </c>
      <c r="AP81" s="7" t="s">
        <v>243</v>
      </c>
      <c r="AQ81" s="7" t="s">
        <v>243</v>
      </c>
      <c r="AR81" s="10" t="s">
        <v>18</v>
      </c>
    </row>
    <row r="82" spans="1:44">
      <c r="Z82" s="82">
        <f>SUM(Z7:Z81)</f>
        <v>12700000.000000009</v>
      </c>
      <c r="AA82" s="82">
        <f t="shared" ref="AA82:AG82" si="18">SUM(AA7:AA81)</f>
        <v>11643999.999999994</v>
      </c>
      <c r="AB82" s="82">
        <f t="shared" si="18"/>
        <v>18270000</v>
      </c>
      <c r="AC82" s="82">
        <f t="shared" si="18"/>
        <v>53043153.333333291</v>
      </c>
      <c r="AD82" s="82">
        <f t="shared" si="18"/>
        <v>29583324.99999997</v>
      </c>
      <c r="AE82" s="82">
        <f t="shared" si="18"/>
        <v>58664719.189999998</v>
      </c>
      <c r="AF82" s="82">
        <f t="shared" si="18"/>
        <v>24499364.999999966</v>
      </c>
      <c r="AG82" s="82">
        <f t="shared" si="18"/>
        <v>28707293.670000058</v>
      </c>
    </row>
  </sheetData>
  <autoFilter ref="A6:AZ82" xr:uid="{00000000-0001-0000-0000-000000000000}"/>
  <mergeCells count="44">
    <mergeCell ref="T4:T6"/>
    <mergeCell ref="A1:AR1"/>
    <mergeCell ref="A3:AR3"/>
    <mergeCell ref="F4:F6"/>
    <mergeCell ref="G4:G6"/>
    <mergeCell ref="K4:K6"/>
    <mergeCell ref="L4:L6"/>
    <mergeCell ref="M4:M6"/>
    <mergeCell ref="N4:N6"/>
    <mergeCell ref="Z5:AB5"/>
    <mergeCell ref="V4:V6"/>
    <mergeCell ref="W4:W6"/>
    <mergeCell ref="X4:X6"/>
    <mergeCell ref="O4:O6"/>
    <mergeCell ref="P4:P6"/>
    <mergeCell ref="Q4:Q6"/>
    <mergeCell ref="R4:R6"/>
    <mergeCell ref="S4:S6"/>
    <mergeCell ref="A4:A6"/>
    <mergeCell ref="B4:B6"/>
    <mergeCell ref="C4:C6"/>
    <mergeCell ref="D4:D6"/>
    <mergeCell ref="E4:E6"/>
    <mergeCell ref="H4:H6"/>
    <mergeCell ref="I4:I6"/>
    <mergeCell ref="J4:J6"/>
    <mergeCell ref="AR4:AR6"/>
    <mergeCell ref="AF5:AF6"/>
    <mergeCell ref="AG5:AG6"/>
    <mergeCell ref="AI4:AI6"/>
    <mergeCell ref="AJ4:AJ6"/>
    <mergeCell ref="AK4:AK6"/>
    <mergeCell ref="AL4:AL6"/>
    <mergeCell ref="AN4:AN6"/>
    <mergeCell ref="Y4:AG4"/>
    <mergeCell ref="AE5:AE6"/>
    <mergeCell ref="AC5:AD5"/>
    <mergeCell ref="AH4:AH6"/>
    <mergeCell ref="U4:U6"/>
    <mergeCell ref="AO4:AO6"/>
    <mergeCell ref="Y5:Y6"/>
    <mergeCell ref="AP4:AP6"/>
    <mergeCell ref="AQ4:AQ6"/>
    <mergeCell ref="AM4:AM6"/>
  </mergeCells>
  <phoneticPr fontId="6" type="noConversion"/>
  <pageMargins left="0.70866141732283472" right="0.70866141732283472" top="0.74803149606299213" bottom="0.74803149606299213" header="0.31496062992125984" footer="0.31496062992125984"/>
  <pageSetup paperSize="5" scale="1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F9990-2E73-4F5F-ABA9-550302194F75}">
  <dimension ref="A1:J69"/>
  <sheetViews>
    <sheetView showGridLines="0" tabSelected="1" topLeftCell="A50" workbookViewId="0">
      <selection activeCell="H64" sqref="H64"/>
    </sheetView>
  </sheetViews>
  <sheetFormatPr baseColWidth="10" defaultColWidth="11.42578125" defaultRowHeight="12.75"/>
  <cols>
    <col min="1" max="1" width="11.42578125" style="49"/>
    <col min="2" max="2" width="25.7109375" style="49" customWidth="1"/>
    <col min="3" max="3" width="17.42578125" style="49" customWidth="1"/>
    <col min="4" max="4" width="22.85546875" style="49" customWidth="1"/>
    <col min="5" max="5" width="11.42578125" style="49"/>
    <col min="6" max="6" width="11" style="49" customWidth="1"/>
    <col min="7" max="7" width="14.7109375" style="49" bestFit="1" customWidth="1"/>
    <col min="8" max="8" width="21.28515625" style="49" bestFit="1" customWidth="1"/>
    <col min="9" max="9" width="11.42578125" style="49"/>
    <col min="10" max="11" width="21.28515625" style="49" customWidth="1"/>
    <col min="12" max="16384" width="11.42578125" style="49"/>
  </cols>
  <sheetData>
    <row r="1" spans="1:8">
      <c r="A1" s="168" t="s">
        <v>192</v>
      </c>
      <c r="B1" s="169"/>
      <c r="C1" s="169"/>
      <c r="D1" s="169"/>
      <c r="E1" s="169"/>
      <c r="F1" s="169"/>
      <c r="G1" s="136"/>
      <c r="H1" s="170"/>
    </row>
    <row r="2" spans="1:8" ht="41.25" customHeight="1">
      <c r="A2" s="133" t="s">
        <v>208</v>
      </c>
      <c r="B2" s="129"/>
      <c r="C2" s="129"/>
      <c r="D2" s="129"/>
      <c r="E2" s="129"/>
      <c r="F2" s="129"/>
      <c r="G2" s="129"/>
      <c r="H2" s="134"/>
    </row>
    <row r="3" spans="1:8">
      <c r="A3" s="168" t="s">
        <v>207</v>
      </c>
      <c r="B3" s="169"/>
      <c r="C3" s="169"/>
      <c r="D3" s="169"/>
      <c r="E3" s="169"/>
      <c r="F3" s="169"/>
      <c r="G3" s="136"/>
      <c r="H3" s="170"/>
    </row>
    <row r="4" spans="1:8" ht="21.75" customHeight="1">
      <c r="A4" s="127" t="s">
        <v>193</v>
      </c>
      <c r="B4" s="128"/>
      <c r="C4" s="128"/>
      <c r="D4" s="128"/>
      <c r="E4" s="128"/>
      <c r="F4" s="128"/>
      <c r="G4" s="129"/>
      <c r="H4" s="130"/>
    </row>
    <row r="5" spans="1:8" s="54" customFormat="1" ht="56.25" customHeight="1">
      <c r="A5" s="50" t="s">
        <v>176</v>
      </c>
      <c r="B5" s="133" t="s">
        <v>183</v>
      </c>
      <c r="C5" s="134"/>
      <c r="D5" s="51" t="s">
        <v>190</v>
      </c>
      <c r="E5" s="51" t="s">
        <v>191</v>
      </c>
      <c r="F5" s="51" t="s">
        <v>150</v>
      </c>
      <c r="G5" s="52" t="s">
        <v>177</v>
      </c>
      <c r="H5" s="53" t="s">
        <v>178</v>
      </c>
    </row>
    <row r="6" spans="1:8" ht="21.6" customHeight="1">
      <c r="A6" s="131" t="s">
        <v>117</v>
      </c>
      <c r="B6" s="145" t="s">
        <v>35</v>
      </c>
      <c r="C6" s="147"/>
      <c r="D6" s="56" t="str">
        <f>DTB_EBS_WT_PIC25!B7</f>
        <v>Trabajador(a) Social</v>
      </c>
      <c r="E6" s="76">
        <v>9</v>
      </c>
      <c r="F6" s="57">
        <f>DTB_EBS_WT_PIC25!E7</f>
        <v>1</v>
      </c>
      <c r="G6" s="58">
        <f>Presupuesto_WT_PIC25!H4</f>
        <v>4000000</v>
      </c>
      <c r="H6" s="59">
        <f>E6*F6*G6</f>
        <v>36000000</v>
      </c>
    </row>
    <row r="7" spans="1:8" ht="33.6" customHeight="1">
      <c r="A7" s="131"/>
      <c r="B7" s="151"/>
      <c r="C7" s="152"/>
      <c r="D7" s="56" t="str">
        <f>DTB_EBS_WT_PIC25!B8</f>
        <v>Profesional de la Salud (Enfermero(a))</v>
      </c>
      <c r="E7" s="76">
        <v>9</v>
      </c>
      <c r="F7" s="57">
        <f>DTB_EBS_WT_PIC25!E8</f>
        <v>1</v>
      </c>
      <c r="G7" s="58">
        <f>Presupuesto_WT_PIC25!H5</f>
        <v>4000000</v>
      </c>
      <c r="H7" s="59">
        <f t="shared" ref="H7:H13" si="0">+E7*F7*G7</f>
        <v>36000000</v>
      </c>
    </row>
    <row r="8" spans="1:8" ht="30.6" customHeight="1">
      <c r="A8" s="131"/>
      <c r="B8" s="151"/>
      <c r="C8" s="152"/>
      <c r="D8" s="56" t="str">
        <f>DTB_EBS_WT_PIC25!B9</f>
        <v>Promotor de Salud, Hablante Wayunaiki</v>
      </c>
      <c r="E8" s="76">
        <v>9</v>
      </c>
      <c r="F8" s="57">
        <f>DTB_EBS_WT_PIC25!E9</f>
        <v>1</v>
      </c>
      <c r="G8" s="58">
        <f>Presupuesto_WT_PIC25!H8</f>
        <v>2500000</v>
      </c>
      <c r="H8" s="59">
        <f t="shared" si="0"/>
        <v>22500000</v>
      </c>
    </row>
    <row r="9" spans="1:8" ht="39" customHeight="1">
      <c r="A9" s="131"/>
      <c r="B9" s="151"/>
      <c r="C9" s="152"/>
      <c r="D9" s="56" t="str">
        <f>DTB_EBS_WT_PIC25!B10</f>
        <v>Tecnico de la Salud (Auxiliar de Enfermeria) hablante Wayunaiki</v>
      </c>
      <c r="E9" s="76">
        <v>9</v>
      </c>
      <c r="F9" s="57">
        <f>DTB_EBS_WT_PIC25!E10</f>
        <v>2</v>
      </c>
      <c r="G9" s="58">
        <f>Presupuesto_WT_PIC25!H9</f>
        <v>2650000</v>
      </c>
      <c r="H9" s="59">
        <f t="shared" si="0"/>
        <v>47700000</v>
      </c>
    </row>
    <row r="10" spans="1:8" ht="43.9" customHeight="1">
      <c r="A10" s="131" t="s">
        <v>216</v>
      </c>
      <c r="B10" s="145" t="s">
        <v>34</v>
      </c>
      <c r="C10" s="147"/>
      <c r="D10" s="56" t="str">
        <f>DTB_EBS_WT_PIC25!B13</f>
        <v>Profesional de la Salud (Medico General)</v>
      </c>
      <c r="E10" s="76">
        <v>9</v>
      </c>
      <c r="F10" s="57">
        <f>DTB_EBS_WT_PIC25!E13</f>
        <v>1</v>
      </c>
      <c r="G10" s="58">
        <f>Presupuesto_WT_PIC25!H6</f>
        <v>5000000</v>
      </c>
      <c r="H10" s="59">
        <f>+E10*F10*G10</f>
        <v>45000000</v>
      </c>
    </row>
    <row r="11" spans="1:8" ht="33.6" customHeight="1">
      <c r="A11" s="131"/>
      <c r="B11" s="151"/>
      <c r="C11" s="152"/>
      <c r="D11" s="56" t="str">
        <f>DTB_EBS_WT_PIC25!B14</f>
        <v>Profesional de la Salud (Enfermero(a))</v>
      </c>
      <c r="E11" s="76">
        <v>9</v>
      </c>
      <c r="F11" s="57">
        <f>DTB_EBS_WT_PIC25!E14</f>
        <v>1</v>
      </c>
      <c r="G11" s="58">
        <f>Presupuesto_WT_PIC25!H5</f>
        <v>4000000</v>
      </c>
      <c r="H11" s="59">
        <f t="shared" si="0"/>
        <v>36000000</v>
      </c>
    </row>
    <row r="12" spans="1:8" ht="39" customHeight="1">
      <c r="A12" s="131"/>
      <c r="B12" s="151"/>
      <c r="C12" s="152"/>
      <c r="D12" s="56" t="str">
        <f>DTB_EBS_WT_PIC25!B15</f>
        <v>Promotor de Salud, Hablante Wayunaiki</v>
      </c>
      <c r="E12" s="76">
        <v>9</v>
      </c>
      <c r="F12" s="57">
        <f>DTB_EBS_WT_PIC25!E15</f>
        <v>1</v>
      </c>
      <c r="G12" s="58">
        <f>Presupuesto_WT_PIC25!H8</f>
        <v>2500000</v>
      </c>
      <c r="H12" s="59">
        <f t="shared" si="0"/>
        <v>22500000</v>
      </c>
    </row>
    <row r="13" spans="1:8" ht="39" customHeight="1">
      <c r="A13" s="131"/>
      <c r="B13" s="151"/>
      <c r="C13" s="152"/>
      <c r="D13" s="72" t="str">
        <f>DTB_EBS_WT_PIC25!B16</f>
        <v>Tecnico de la Salud (Auxiliar de Enfermeria) hablante Wayunaiki</v>
      </c>
      <c r="E13" s="77">
        <v>9</v>
      </c>
      <c r="F13" s="73">
        <f>DTB_EBS_WT_PIC25!E16</f>
        <v>2</v>
      </c>
      <c r="G13" s="74">
        <f>Presupuesto_WT_PIC25!H9</f>
        <v>2650000</v>
      </c>
      <c r="H13" s="75">
        <f t="shared" si="0"/>
        <v>47700000</v>
      </c>
    </row>
    <row r="14" spans="1:8" ht="43.9" customHeight="1">
      <c r="A14" s="131" t="s">
        <v>217</v>
      </c>
      <c r="B14" s="145" t="s">
        <v>218</v>
      </c>
      <c r="C14" s="147"/>
      <c r="D14" s="56" t="str">
        <f>DTB_EBS_WT_PIC25!B19</f>
        <v>Profesional de la Salud (Enfermero(a))</v>
      </c>
      <c r="E14" s="76">
        <v>9</v>
      </c>
      <c r="F14" s="57">
        <v>1</v>
      </c>
      <c r="G14" s="58">
        <f>Presupuesto_WT_PIC25!H5</f>
        <v>4000000</v>
      </c>
      <c r="H14" s="59">
        <f>+E14*F14*G14</f>
        <v>36000000</v>
      </c>
    </row>
    <row r="15" spans="1:8" ht="33.6" customHeight="1">
      <c r="A15" s="131"/>
      <c r="B15" s="151"/>
      <c r="C15" s="152"/>
      <c r="D15" s="56" t="str">
        <f>DTB_EBS_WT_PIC25!B20</f>
        <v xml:space="preserve">Profesional de la Salud (Nutricionista) </v>
      </c>
      <c r="E15" s="76">
        <v>9</v>
      </c>
      <c r="F15" s="57">
        <v>1</v>
      </c>
      <c r="G15" s="58">
        <f>Presupuesto_WT_PIC25!H7</f>
        <v>4000000</v>
      </c>
      <c r="H15" s="59">
        <f t="shared" ref="H15:H17" si="1">+E15*F15*G15</f>
        <v>36000000</v>
      </c>
    </row>
    <row r="16" spans="1:8" ht="39" customHeight="1">
      <c r="A16" s="131"/>
      <c r="B16" s="151"/>
      <c r="C16" s="152"/>
      <c r="D16" s="56" t="str">
        <f>DTB_EBS_WT_PIC25!B21</f>
        <v>Promotor de Salud, Hablante Wayunaiki</v>
      </c>
      <c r="E16" s="76">
        <v>9</v>
      </c>
      <c r="F16" s="57">
        <v>1</v>
      </c>
      <c r="G16" s="58">
        <f>Presupuesto_WT_PIC25!H8</f>
        <v>2500000</v>
      </c>
      <c r="H16" s="59">
        <f t="shared" si="1"/>
        <v>22500000</v>
      </c>
    </row>
    <row r="17" spans="1:10" ht="39" customHeight="1">
      <c r="A17" s="131"/>
      <c r="B17" s="151"/>
      <c r="C17" s="152"/>
      <c r="D17" s="72" t="str">
        <f>DTB_EBS_WT_PIC25!B22</f>
        <v>Tecnico de la Salud (Auxiliar de Enfermeria) hablante Wayunaiki</v>
      </c>
      <c r="E17" s="77">
        <v>9</v>
      </c>
      <c r="F17" s="73">
        <v>2</v>
      </c>
      <c r="G17" s="74">
        <f>Presupuesto_WT_PIC25!H9</f>
        <v>2650000</v>
      </c>
      <c r="H17" s="75">
        <f t="shared" si="1"/>
        <v>47700000</v>
      </c>
    </row>
    <row r="18" spans="1:10" ht="39" customHeight="1" thickBot="1">
      <c r="A18" s="51" t="s">
        <v>195</v>
      </c>
      <c r="B18" s="153" t="s">
        <v>194</v>
      </c>
      <c r="C18" s="153"/>
      <c r="D18" s="72" t="str">
        <f>DTB_EBS_WT_PIC25!B4</f>
        <v>Tecnico de Sistemas</v>
      </c>
      <c r="E18" s="55">
        <v>9</v>
      </c>
      <c r="F18" s="73">
        <v>1</v>
      </c>
      <c r="G18" s="74">
        <f>Presupuesto_WT_PIC25!H9</f>
        <v>2650000</v>
      </c>
      <c r="H18" s="75">
        <f>+E18*F18*G18</f>
        <v>23850000</v>
      </c>
    </row>
    <row r="19" spans="1:10" ht="15" customHeight="1" thickBot="1">
      <c r="A19" s="61"/>
      <c r="B19" s="142" t="s">
        <v>179</v>
      </c>
      <c r="C19" s="143"/>
      <c r="D19" s="143"/>
      <c r="E19" s="143"/>
      <c r="F19" s="143"/>
      <c r="G19" s="154"/>
      <c r="H19" s="69">
        <f>SUM(H6:H18)</f>
        <v>459450000</v>
      </c>
    </row>
    <row r="20" spans="1:10">
      <c r="A20" s="122"/>
      <c r="B20" s="122"/>
      <c r="C20" s="122"/>
      <c r="D20" s="122"/>
      <c r="E20" s="122"/>
      <c r="F20" s="122"/>
      <c r="G20" s="122"/>
      <c r="H20" s="122"/>
    </row>
    <row r="21" spans="1:10" ht="14.25" customHeight="1">
      <c r="A21" s="127" t="s">
        <v>196</v>
      </c>
      <c r="B21" s="128"/>
      <c r="C21" s="128"/>
      <c r="D21" s="128"/>
      <c r="E21" s="128"/>
      <c r="F21" s="128"/>
      <c r="G21" s="129"/>
      <c r="H21" s="130"/>
    </row>
    <row r="22" spans="1:10" ht="14.25" customHeight="1">
      <c r="A22" s="127" t="s">
        <v>197</v>
      </c>
      <c r="B22" s="128"/>
      <c r="C22" s="128"/>
      <c r="D22" s="128"/>
      <c r="E22" s="128"/>
      <c r="F22" s="128"/>
      <c r="G22" s="129"/>
      <c r="H22" s="130"/>
    </row>
    <row r="23" spans="1:10" ht="15" customHeight="1">
      <c r="A23" s="51" t="s">
        <v>127</v>
      </c>
      <c r="B23" s="131" t="s">
        <v>121</v>
      </c>
      <c r="C23" s="131"/>
      <c r="D23" s="131"/>
      <c r="E23" s="51" t="s">
        <v>181</v>
      </c>
      <c r="F23" s="53" t="s">
        <v>150</v>
      </c>
      <c r="G23" s="52" t="s">
        <v>177</v>
      </c>
      <c r="H23" s="53" t="s">
        <v>178</v>
      </c>
    </row>
    <row r="24" spans="1:10" ht="30" customHeight="1" thickBot="1">
      <c r="A24" s="63">
        <v>1</v>
      </c>
      <c r="B24" s="132" t="str">
        <f>Presupuesto_WT_PIC25!B13</f>
        <v>Transporte en vehículos cabinado (incluye conductor, combustible, peajes).</v>
      </c>
      <c r="C24" s="132"/>
      <c r="D24" s="132"/>
      <c r="E24" s="78">
        <v>9</v>
      </c>
      <c r="F24" s="78">
        <f>Presupuesto_WT_PIC25!E13</f>
        <v>3</v>
      </c>
      <c r="G24" s="79">
        <f>Presupuesto_WT_PIC25!H13</f>
        <v>13075000</v>
      </c>
      <c r="H24" s="79">
        <f>(G24*F24)*E24</f>
        <v>353025000</v>
      </c>
    </row>
    <row r="25" spans="1:10" ht="16.149999999999999" customHeight="1" thickBot="1">
      <c r="A25" s="61"/>
      <c r="B25" s="142" t="s">
        <v>180</v>
      </c>
      <c r="C25" s="143"/>
      <c r="D25" s="143"/>
      <c r="E25" s="143"/>
      <c r="F25" s="143"/>
      <c r="G25" s="144"/>
      <c r="H25" s="80">
        <f>SUM(H24)</f>
        <v>353025000</v>
      </c>
    </row>
    <row r="26" spans="1:10">
      <c r="A26" s="122"/>
      <c r="B26" s="122"/>
      <c r="C26" s="122"/>
      <c r="D26" s="122"/>
      <c r="E26" s="122"/>
      <c r="F26" s="122"/>
      <c r="G26" s="122"/>
      <c r="H26" s="122"/>
    </row>
    <row r="27" spans="1:10" ht="18" customHeight="1">
      <c r="A27" s="133" t="s">
        <v>198</v>
      </c>
      <c r="B27" s="129"/>
      <c r="C27" s="129"/>
      <c r="D27" s="129"/>
      <c r="E27" s="129"/>
      <c r="F27" s="129"/>
      <c r="G27" s="129"/>
      <c r="H27" s="134"/>
    </row>
    <row r="28" spans="1:10">
      <c r="A28" s="51" t="s">
        <v>127</v>
      </c>
      <c r="B28" s="133" t="s">
        <v>121</v>
      </c>
      <c r="C28" s="129"/>
      <c r="D28" s="134"/>
      <c r="E28" s="135" t="s">
        <v>178</v>
      </c>
      <c r="F28" s="136"/>
      <c r="G28" s="136"/>
      <c r="H28" s="137"/>
    </row>
    <row r="29" spans="1:10" ht="14.25" customHeight="1">
      <c r="A29" s="63">
        <v>1</v>
      </c>
      <c r="B29" s="138" t="str">
        <f>'Anexo Tec _ PIC_25_WT'!Z6</f>
        <v>Volantes Full Color 10x14 Cm, x1000 Uni</v>
      </c>
      <c r="C29" s="139"/>
      <c r="D29" s="140"/>
      <c r="E29" s="141">
        <f>'Anexo Tec _ PIC_25_WT'!Z82</f>
        <v>12700000.000000009</v>
      </c>
      <c r="F29" s="141"/>
      <c r="G29" s="141"/>
      <c r="H29" s="141"/>
    </row>
    <row r="30" spans="1:10" ht="14.25" customHeight="1">
      <c r="A30" s="63">
        <v>2</v>
      </c>
      <c r="B30" s="138" t="str">
        <f>'Anexo Tec _ PIC_25_WT'!AA6</f>
        <v>Rotafolios 30Pg Full Color Propalcote 200Gr</v>
      </c>
      <c r="C30" s="139"/>
      <c r="D30" s="140"/>
      <c r="E30" s="141">
        <f>'Anexo Tec _ PIC_25_WT'!AA82</f>
        <v>11643999.999999994</v>
      </c>
      <c r="F30" s="141"/>
      <c r="G30" s="141"/>
      <c r="H30" s="141"/>
    </row>
    <row r="31" spans="1:10" ht="14.25" customHeight="1" thickBot="1">
      <c r="A31" s="63">
        <v>3</v>
      </c>
      <c r="B31" s="145" t="str">
        <f>'Anexo Tec _ PIC_25_WT'!AB6</f>
        <v>Pendon 140x100 Cm, en Banner con Tubos</v>
      </c>
      <c r="C31" s="146"/>
      <c r="D31" s="147"/>
      <c r="E31" s="161">
        <f>'Anexo Tec _ PIC_25_WT'!AB82</f>
        <v>18270000</v>
      </c>
      <c r="F31" s="161"/>
      <c r="G31" s="161"/>
      <c r="H31" s="161"/>
    </row>
    <row r="32" spans="1:10" ht="13.5" thickBot="1">
      <c r="A32" s="61"/>
      <c r="B32" s="142" t="s">
        <v>180</v>
      </c>
      <c r="C32" s="143"/>
      <c r="D32" s="144"/>
      <c r="E32" s="158">
        <f>SUM(E29:H31)</f>
        <v>42614000</v>
      </c>
      <c r="F32" s="159"/>
      <c r="G32" s="159"/>
      <c r="H32" s="160"/>
      <c r="J32" s="64"/>
    </row>
    <row r="33" spans="1:10">
      <c r="A33" s="122"/>
      <c r="B33" s="122"/>
      <c r="C33" s="122"/>
      <c r="D33" s="122"/>
      <c r="E33" s="122"/>
      <c r="F33" s="122"/>
      <c r="G33" s="122"/>
      <c r="H33" s="122"/>
      <c r="J33" s="64"/>
    </row>
    <row r="34" spans="1:10" ht="14.25" customHeight="1">
      <c r="A34" s="127" t="s">
        <v>199</v>
      </c>
      <c r="B34" s="128"/>
      <c r="C34" s="128"/>
      <c r="D34" s="128"/>
      <c r="E34" s="128"/>
      <c r="F34" s="128"/>
      <c r="G34" s="129"/>
      <c r="H34" s="130"/>
      <c r="J34" s="64"/>
    </row>
    <row r="35" spans="1:10">
      <c r="A35" s="51" t="s">
        <v>127</v>
      </c>
      <c r="B35" s="133" t="s">
        <v>121</v>
      </c>
      <c r="C35" s="129"/>
      <c r="D35" s="134"/>
      <c r="E35" s="135" t="s">
        <v>178</v>
      </c>
      <c r="F35" s="136"/>
      <c r="G35" s="136"/>
      <c r="H35" s="137"/>
    </row>
    <row r="36" spans="1:10" ht="19.149999999999999" customHeight="1">
      <c r="A36" s="63">
        <v>1</v>
      </c>
      <c r="B36" s="138" t="str">
        <f>'Anexo Tec _ PIC_25_WT'!AC6</f>
        <v>Cuñas Radiales x30 Sg</v>
      </c>
      <c r="C36" s="139"/>
      <c r="D36" s="140"/>
      <c r="E36" s="162">
        <f>'Anexo Tec _ PIC_25_WT'!AC82</f>
        <v>53043153.333333291</v>
      </c>
      <c r="F36" s="163"/>
      <c r="G36" s="163"/>
      <c r="H36" s="164"/>
    </row>
    <row r="37" spans="1:10" ht="18" customHeight="1" thickBot="1">
      <c r="A37" s="63">
        <v>2</v>
      </c>
      <c r="B37" s="145" t="str">
        <f>'Anexo Tec _ PIC_25_WT'!AD6</f>
        <v>Perifoneo Informativo</v>
      </c>
      <c r="C37" s="146"/>
      <c r="D37" s="147"/>
      <c r="E37" s="165">
        <f>'Anexo Tec _ PIC_25_WT'!AD82</f>
        <v>29583324.99999997</v>
      </c>
      <c r="F37" s="166"/>
      <c r="G37" s="166"/>
      <c r="H37" s="167"/>
    </row>
    <row r="38" spans="1:10" ht="21" customHeight="1" thickBot="1">
      <c r="A38" s="61"/>
      <c r="B38" s="142" t="s">
        <v>180</v>
      </c>
      <c r="C38" s="143"/>
      <c r="D38" s="144"/>
      <c r="E38" s="124">
        <f>SUM(E36:H37)</f>
        <v>82626478.333333254</v>
      </c>
      <c r="F38" s="125"/>
      <c r="G38" s="125"/>
      <c r="H38" s="126"/>
    </row>
    <row r="39" spans="1:10" ht="14.45" customHeight="1">
      <c r="A39" s="122"/>
      <c r="B39" s="122"/>
      <c r="C39" s="122"/>
      <c r="D39" s="122"/>
      <c r="E39" s="122"/>
      <c r="F39" s="122"/>
      <c r="G39" s="122"/>
      <c r="H39" s="123"/>
    </row>
    <row r="40" spans="1:10" ht="14.25" customHeight="1">
      <c r="A40" s="127" t="s">
        <v>338</v>
      </c>
      <c r="B40" s="128"/>
      <c r="C40" s="128"/>
      <c r="D40" s="128"/>
      <c r="E40" s="128"/>
      <c r="F40" s="128"/>
      <c r="G40" s="129"/>
      <c r="H40" s="130"/>
    </row>
    <row r="41" spans="1:10" ht="15" customHeight="1">
      <c r="A41" s="51" t="s">
        <v>127</v>
      </c>
      <c r="B41" s="133" t="s">
        <v>121</v>
      </c>
      <c r="C41" s="129"/>
      <c r="D41" s="134"/>
      <c r="E41" s="135" t="s">
        <v>178</v>
      </c>
      <c r="F41" s="136"/>
      <c r="G41" s="136"/>
      <c r="H41" s="137"/>
    </row>
    <row r="42" spans="1:10" ht="28.9" customHeight="1" thickBot="1">
      <c r="A42" s="63">
        <v>1</v>
      </c>
      <c r="B42" s="145" t="s">
        <v>209</v>
      </c>
      <c r="C42" s="146"/>
      <c r="D42" s="147"/>
      <c r="E42" s="148">
        <f>'Anexo Tec _ PIC_25_WT'!AE82</f>
        <v>58664719.189999998</v>
      </c>
      <c r="F42" s="149"/>
      <c r="G42" s="149"/>
      <c r="H42" s="150"/>
    </row>
    <row r="43" spans="1:10" ht="22.15" customHeight="1" thickBot="1">
      <c r="A43" s="61"/>
      <c r="B43" s="142" t="s">
        <v>180</v>
      </c>
      <c r="C43" s="143"/>
      <c r="D43" s="144"/>
      <c r="E43" s="124">
        <f>SUM(E42:H42)</f>
        <v>58664719.189999998</v>
      </c>
      <c r="F43" s="125"/>
      <c r="G43" s="125"/>
      <c r="H43" s="126"/>
    </row>
    <row r="44" spans="1:10" ht="15" customHeight="1">
      <c r="A44" s="122"/>
      <c r="B44" s="122"/>
      <c r="C44" s="122"/>
      <c r="D44" s="122"/>
      <c r="E44" s="122"/>
      <c r="F44" s="122"/>
      <c r="G44" s="122"/>
      <c r="H44" s="123"/>
    </row>
    <row r="45" spans="1:10" ht="14.25" customHeight="1">
      <c r="A45" s="127" t="s">
        <v>204</v>
      </c>
      <c r="B45" s="128"/>
      <c r="C45" s="128"/>
      <c r="D45" s="128"/>
      <c r="E45" s="128"/>
      <c r="F45" s="128"/>
      <c r="G45" s="129"/>
      <c r="H45" s="130"/>
    </row>
    <row r="46" spans="1:10" ht="15" customHeight="1">
      <c r="A46" s="51" t="s">
        <v>127</v>
      </c>
      <c r="B46" s="133" t="s">
        <v>121</v>
      </c>
      <c r="C46" s="129"/>
      <c r="D46" s="134"/>
      <c r="E46" s="135" t="s">
        <v>178</v>
      </c>
      <c r="F46" s="136"/>
      <c r="G46" s="136"/>
      <c r="H46" s="137"/>
    </row>
    <row r="47" spans="1:10" ht="26.45" customHeight="1" thickBot="1">
      <c r="A47" s="63">
        <v>1</v>
      </c>
      <c r="B47" s="145" t="s">
        <v>211</v>
      </c>
      <c r="C47" s="146"/>
      <c r="D47" s="147"/>
      <c r="E47" s="148">
        <f>'Anexo Tec _ PIC_25_WT'!AF82</f>
        <v>24499364.999999966</v>
      </c>
      <c r="F47" s="149"/>
      <c r="G47" s="149"/>
      <c r="H47" s="150"/>
    </row>
    <row r="48" spans="1:10" ht="22.15" customHeight="1" thickBot="1">
      <c r="A48" s="61"/>
      <c r="B48" s="142" t="s">
        <v>180</v>
      </c>
      <c r="C48" s="143"/>
      <c r="D48" s="144"/>
      <c r="E48" s="124">
        <f>SUM(E47:H47)</f>
        <v>24499364.999999966</v>
      </c>
      <c r="F48" s="125"/>
      <c r="G48" s="125"/>
      <c r="H48" s="126"/>
    </row>
    <row r="49" spans="1:8" ht="15" customHeight="1">
      <c r="A49" s="122"/>
      <c r="B49" s="122"/>
      <c r="C49" s="122"/>
      <c r="D49" s="122"/>
      <c r="E49" s="122"/>
      <c r="F49" s="122"/>
      <c r="G49" s="122"/>
      <c r="H49" s="123"/>
    </row>
    <row r="50" spans="1:8" ht="14.25" customHeight="1">
      <c r="A50" s="127" t="s">
        <v>205</v>
      </c>
      <c r="B50" s="128"/>
      <c r="C50" s="128"/>
      <c r="D50" s="128"/>
      <c r="E50" s="128"/>
      <c r="F50" s="128"/>
      <c r="G50" s="129"/>
      <c r="H50" s="130"/>
    </row>
    <row r="51" spans="1:8" ht="15" customHeight="1">
      <c r="A51" s="51" t="s">
        <v>127</v>
      </c>
      <c r="B51" s="133" t="s">
        <v>121</v>
      </c>
      <c r="C51" s="129"/>
      <c r="D51" s="134"/>
      <c r="E51" s="135" t="s">
        <v>178</v>
      </c>
      <c r="F51" s="136"/>
      <c r="G51" s="136"/>
      <c r="H51" s="137"/>
    </row>
    <row r="52" spans="1:8" ht="26.45" customHeight="1" thickBot="1">
      <c r="A52" s="63">
        <v>1</v>
      </c>
      <c r="B52" s="145" t="s">
        <v>210</v>
      </c>
      <c r="C52" s="146"/>
      <c r="D52" s="147"/>
      <c r="E52" s="148">
        <f>'Anexo Tec _ PIC_25_WT'!AG82</f>
        <v>28707293.670000058</v>
      </c>
      <c r="F52" s="149"/>
      <c r="G52" s="149"/>
      <c r="H52" s="150"/>
    </row>
    <row r="53" spans="1:8" ht="22.15" customHeight="1" thickBot="1">
      <c r="A53" s="61"/>
      <c r="B53" s="142" t="s">
        <v>180</v>
      </c>
      <c r="C53" s="143"/>
      <c r="D53" s="144"/>
      <c r="E53" s="124">
        <f>SUM(E52:H52)</f>
        <v>28707293.670000058</v>
      </c>
      <c r="F53" s="125"/>
      <c r="G53" s="125"/>
      <c r="H53" s="126"/>
    </row>
    <row r="54" spans="1:8" ht="14.45" customHeight="1">
      <c r="A54" s="122"/>
      <c r="B54" s="122"/>
      <c r="C54" s="122"/>
      <c r="D54" s="122"/>
      <c r="E54" s="122"/>
      <c r="F54" s="122"/>
      <c r="G54" s="122"/>
      <c r="H54" s="123"/>
    </row>
    <row r="55" spans="1:8" ht="14.25" customHeight="1">
      <c r="A55" s="127" t="s">
        <v>206</v>
      </c>
      <c r="B55" s="128"/>
      <c r="C55" s="128"/>
      <c r="D55" s="128"/>
      <c r="E55" s="128"/>
      <c r="F55" s="128"/>
      <c r="G55" s="129"/>
      <c r="H55" s="130"/>
    </row>
    <row r="56" spans="1:8">
      <c r="A56" s="51" t="s">
        <v>127</v>
      </c>
      <c r="B56" s="133" t="s">
        <v>121</v>
      </c>
      <c r="C56" s="129"/>
      <c r="D56" s="134"/>
      <c r="E56" s="135" t="s">
        <v>178</v>
      </c>
      <c r="F56" s="136"/>
      <c r="G56" s="136"/>
      <c r="H56" s="137"/>
    </row>
    <row r="57" spans="1:8" ht="14.25" customHeight="1" thickBot="1">
      <c r="A57" s="63">
        <v>1</v>
      </c>
      <c r="B57" s="145" t="s">
        <v>200</v>
      </c>
      <c r="C57" s="146"/>
      <c r="D57" s="147"/>
      <c r="E57" s="148">
        <f>Presupuesto_WT_PIC25!I21</f>
        <v>55241413.479999997</v>
      </c>
      <c r="F57" s="149"/>
      <c r="G57" s="149"/>
      <c r="H57" s="150"/>
    </row>
    <row r="58" spans="1:8" ht="13.5" thickBot="1">
      <c r="A58" s="65"/>
      <c r="B58" s="142" t="s">
        <v>180</v>
      </c>
      <c r="C58" s="143"/>
      <c r="D58" s="144"/>
      <c r="E58" s="124">
        <f>SUM(E57)</f>
        <v>55241413.479999997</v>
      </c>
      <c r="F58" s="125"/>
      <c r="G58" s="125"/>
      <c r="H58" s="126"/>
    </row>
    <row r="59" spans="1:8" ht="13.5" thickBot="1">
      <c r="A59" s="157"/>
      <c r="B59" s="157"/>
      <c r="C59" s="157"/>
      <c r="D59" s="157"/>
      <c r="E59" s="157"/>
      <c r="F59" s="157"/>
      <c r="G59" s="157"/>
      <c r="H59" s="157"/>
    </row>
    <row r="60" spans="1:8" ht="32.25" customHeight="1" thickBot="1">
      <c r="A60" s="65"/>
      <c r="B60" s="155" t="s">
        <v>201</v>
      </c>
      <c r="C60" s="156"/>
      <c r="D60" s="156"/>
      <c r="E60" s="200">
        <f>H19+H25+E32+E38+E43+E48+E53+E58</f>
        <v>1104828269.6733334</v>
      </c>
      <c r="F60" s="200"/>
      <c r="G60" s="200"/>
      <c r="H60" s="201"/>
    </row>
    <row r="61" spans="1:8">
      <c r="A61" s="65"/>
      <c r="B61" s="61"/>
      <c r="C61" s="60"/>
      <c r="D61" s="61"/>
      <c r="E61" s="61"/>
      <c r="F61" s="62"/>
      <c r="G61" s="66"/>
      <c r="H61" s="62"/>
    </row>
    <row r="62" spans="1:8">
      <c r="A62" s="65"/>
      <c r="B62" s="61"/>
      <c r="C62" s="60"/>
      <c r="D62" s="61"/>
      <c r="E62" s="61"/>
      <c r="F62" s="62"/>
      <c r="G62" s="66"/>
      <c r="H62" s="66"/>
    </row>
    <row r="63" spans="1:8">
      <c r="A63" s="65"/>
      <c r="B63" s="61"/>
      <c r="C63" s="60"/>
      <c r="D63" s="61"/>
      <c r="E63" s="61"/>
      <c r="F63" s="62"/>
      <c r="G63" s="66"/>
      <c r="H63" s="67"/>
    </row>
    <row r="64" spans="1:8">
      <c r="H64" s="68"/>
    </row>
    <row r="65" spans="8:8">
      <c r="H65" s="68"/>
    </row>
    <row r="66" spans="8:8">
      <c r="H66" s="68"/>
    </row>
    <row r="67" spans="8:8">
      <c r="H67" s="68"/>
    </row>
    <row r="69" spans="8:8">
      <c r="H69" s="68"/>
    </row>
  </sheetData>
  <mergeCells count="76">
    <mergeCell ref="A1:H1"/>
    <mergeCell ref="A2:H2"/>
    <mergeCell ref="A3:H3"/>
    <mergeCell ref="A4:H4"/>
    <mergeCell ref="A6:A9"/>
    <mergeCell ref="B5:C5"/>
    <mergeCell ref="B6:C9"/>
    <mergeCell ref="A40:H40"/>
    <mergeCell ref="B30:D30"/>
    <mergeCell ref="E30:H30"/>
    <mergeCell ref="B32:D32"/>
    <mergeCell ref="E32:H32"/>
    <mergeCell ref="A34:H34"/>
    <mergeCell ref="B31:D31"/>
    <mergeCell ref="E31:H31"/>
    <mergeCell ref="A33:H33"/>
    <mergeCell ref="B37:D37"/>
    <mergeCell ref="B36:D36"/>
    <mergeCell ref="A39:H39"/>
    <mergeCell ref="E35:H35"/>
    <mergeCell ref="E36:H36"/>
    <mergeCell ref="E37:H37"/>
    <mergeCell ref="B38:D38"/>
    <mergeCell ref="A44:H44"/>
    <mergeCell ref="B41:D41"/>
    <mergeCell ref="E41:H41"/>
    <mergeCell ref="B43:D43"/>
    <mergeCell ref="E43:H43"/>
    <mergeCell ref="B42:D42"/>
    <mergeCell ref="E42:H42"/>
    <mergeCell ref="B58:D58"/>
    <mergeCell ref="E58:H58"/>
    <mergeCell ref="B60:D60"/>
    <mergeCell ref="E60:H60"/>
    <mergeCell ref="A55:H55"/>
    <mergeCell ref="B56:D56"/>
    <mergeCell ref="E56:H56"/>
    <mergeCell ref="A59:H59"/>
    <mergeCell ref="B57:D57"/>
    <mergeCell ref="E57:H57"/>
    <mergeCell ref="A45:H45"/>
    <mergeCell ref="B46:D46"/>
    <mergeCell ref="E46:H46"/>
    <mergeCell ref="B47:D47"/>
    <mergeCell ref="E47:H47"/>
    <mergeCell ref="B53:D53"/>
    <mergeCell ref="E53:H53"/>
    <mergeCell ref="B48:D48"/>
    <mergeCell ref="E48:H48"/>
    <mergeCell ref="A49:H49"/>
    <mergeCell ref="A50:H50"/>
    <mergeCell ref="B51:D51"/>
    <mergeCell ref="E51:H51"/>
    <mergeCell ref="A10:A13"/>
    <mergeCell ref="B10:C13"/>
    <mergeCell ref="B18:C18"/>
    <mergeCell ref="A20:H20"/>
    <mergeCell ref="B19:G19"/>
    <mergeCell ref="A14:A17"/>
    <mergeCell ref="B14:C17"/>
    <mergeCell ref="A54:H54"/>
    <mergeCell ref="E38:H38"/>
    <mergeCell ref="A21:H21"/>
    <mergeCell ref="A22:H22"/>
    <mergeCell ref="B23:D23"/>
    <mergeCell ref="B24:D24"/>
    <mergeCell ref="B35:D35"/>
    <mergeCell ref="A27:H27"/>
    <mergeCell ref="B28:D28"/>
    <mergeCell ref="E28:H28"/>
    <mergeCell ref="B29:D29"/>
    <mergeCell ref="E29:H29"/>
    <mergeCell ref="B25:G25"/>
    <mergeCell ref="A26:H26"/>
    <mergeCell ref="B52:D52"/>
    <mergeCell ref="E52:H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27236-FE18-49AC-9243-6B0B0FFE2FF3}">
  <dimension ref="A1:L69"/>
  <sheetViews>
    <sheetView showGridLines="0" topLeftCell="A19" workbookViewId="0">
      <selection activeCell="I24" sqref="I24"/>
    </sheetView>
  </sheetViews>
  <sheetFormatPr baseColWidth="10" defaultRowHeight="15"/>
  <cols>
    <col min="1" max="1" width="19.28515625" customWidth="1"/>
    <col min="4" max="4" width="44" customWidth="1"/>
    <col min="5" max="5" width="14.140625" customWidth="1"/>
    <col min="7" max="7" width="19.28515625" bestFit="1" customWidth="1"/>
    <col min="8" max="8" width="19.140625" bestFit="1" customWidth="1"/>
    <col min="9" max="9" width="21.7109375" bestFit="1" customWidth="1"/>
    <col min="11" max="11" width="18" bestFit="1" customWidth="1"/>
    <col min="12" max="12" width="16.42578125" bestFit="1" customWidth="1"/>
  </cols>
  <sheetData>
    <row r="1" spans="1:12" ht="48" customHeight="1" thickBot="1">
      <c r="A1" s="179" t="s">
        <v>147</v>
      </c>
      <c r="B1" s="171"/>
      <c r="C1" s="171"/>
      <c r="D1" s="171"/>
      <c r="E1" s="171"/>
      <c r="F1" s="171"/>
      <c r="G1" s="171"/>
      <c r="H1" s="171"/>
      <c r="I1" s="171"/>
    </row>
    <row r="2" spans="1:12" ht="15.75" thickBot="1">
      <c r="A2" s="171" t="s">
        <v>148</v>
      </c>
      <c r="B2" s="171"/>
      <c r="C2" s="171"/>
      <c r="D2" s="171"/>
      <c r="E2" s="171"/>
      <c r="F2" s="171"/>
      <c r="G2" s="171"/>
      <c r="H2" s="171"/>
      <c r="I2" s="171"/>
    </row>
    <row r="3" spans="1:12" ht="15.75" thickBot="1">
      <c r="A3" s="171" t="s">
        <v>149</v>
      </c>
      <c r="B3" s="171"/>
      <c r="C3" s="171"/>
      <c r="D3" s="171"/>
      <c r="E3" s="31" t="s">
        <v>150</v>
      </c>
      <c r="F3" s="31" t="s">
        <v>151</v>
      </c>
      <c r="G3" s="31" t="s">
        <v>152</v>
      </c>
      <c r="H3" s="31" t="s">
        <v>153</v>
      </c>
      <c r="I3" s="31" t="s">
        <v>154</v>
      </c>
    </row>
    <row r="4" spans="1:12" ht="14.45" customHeight="1" thickBot="1">
      <c r="A4" s="173" t="s">
        <v>155</v>
      </c>
      <c r="B4" s="172" t="str">
        <f>[2]Presupuesto!B12</f>
        <v>Trabajador(a) Social</v>
      </c>
      <c r="C4" s="172"/>
      <c r="D4" s="172"/>
      <c r="E4" s="33">
        <v>1</v>
      </c>
      <c r="F4" s="33" t="s">
        <v>156</v>
      </c>
      <c r="G4" s="33" t="s">
        <v>157</v>
      </c>
      <c r="H4" s="34">
        <f>[2]Presupuesto!H12</f>
        <v>4000000</v>
      </c>
      <c r="I4" s="35">
        <f t="shared" ref="I4:I10" si="0">(H4*9)*E4</f>
        <v>36000000</v>
      </c>
    </row>
    <row r="5" spans="1:12" ht="15.75" thickBot="1">
      <c r="A5" s="174"/>
      <c r="B5" s="172" t="str">
        <f>[2]Presupuesto!B5</f>
        <v>Profesional de la Salud (Enfermero(a))</v>
      </c>
      <c r="C5" s="172"/>
      <c r="D5" s="172"/>
      <c r="E5" s="33">
        <v>3</v>
      </c>
      <c r="F5" s="33" t="s">
        <v>156</v>
      </c>
      <c r="G5" s="33" t="s">
        <v>157</v>
      </c>
      <c r="H5" s="34">
        <f>[2]Presupuesto!H5</f>
        <v>4000000</v>
      </c>
      <c r="I5" s="35">
        <f t="shared" si="0"/>
        <v>108000000</v>
      </c>
    </row>
    <row r="6" spans="1:12" ht="15.75" thickBot="1">
      <c r="A6" s="174"/>
      <c r="B6" s="172" t="str">
        <f>[2]Presupuesto!B7</f>
        <v>Profesional de la Salud (Medico General)</v>
      </c>
      <c r="C6" s="172"/>
      <c r="D6" s="172"/>
      <c r="E6" s="33">
        <v>1</v>
      </c>
      <c r="F6" s="33" t="s">
        <v>156</v>
      </c>
      <c r="G6" s="33" t="s">
        <v>157</v>
      </c>
      <c r="H6" s="34">
        <f>[2]Presupuesto!H7</f>
        <v>5000000</v>
      </c>
      <c r="I6" s="35">
        <f t="shared" si="0"/>
        <v>45000000</v>
      </c>
    </row>
    <row r="7" spans="1:12" ht="15.75" thickBot="1">
      <c r="A7" s="174"/>
      <c r="B7" s="172" t="str">
        <f>[2]Presupuesto!B6</f>
        <v xml:space="preserve">Profesional de la Salud (Nutricionista) </v>
      </c>
      <c r="C7" s="172"/>
      <c r="D7" s="172"/>
      <c r="E7" s="33">
        <v>1</v>
      </c>
      <c r="F7" s="33" t="s">
        <v>156</v>
      </c>
      <c r="G7" s="33" t="s">
        <v>157</v>
      </c>
      <c r="H7" s="34">
        <f>[2]Presupuesto!H6</f>
        <v>4000000</v>
      </c>
      <c r="I7" s="35">
        <f t="shared" si="0"/>
        <v>36000000</v>
      </c>
    </row>
    <row r="8" spans="1:12" ht="15.75" thickBot="1">
      <c r="A8" s="174"/>
      <c r="B8" s="172" t="str">
        <f>[2]Presupuesto!B13</f>
        <v>Promotor de Salud, Hablante Wayunaiki</v>
      </c>
      <c r="C8" s="172"/>
      <c r="D8" s="172"/>
      <c r="E8" s="33">
        <v>3</v>
      </c>
      <c r="F8" s="33" t="s">
        <v>156</v>
      </c>
      <c r="G8" s="33" t="s">
        <v>157</v>
      </c>
      <c r="H8" s="34">
        <f>[2]Presupuesto!H13</f>
        <v>2500000</v>
      </c>
      <c r="I8" s="35">
        <f t="shared" si="0"/>
        <v>67500000</v>
      </c>
    </row>
    <row r="9" spans="1:12" ht="15.75" thickBot="1">
      <c r="A9" s="174"/>
      <c r="B9" s="172" t="str">
        <f>[2]Presupuesto!B10</f>
        <v>Tecnico de la Salud (Auxiliar de Enfermeria) hablante Wayunaiki</v>
      </c>
      <c r="C9" s="172"/>
      <c r="D9" s="172"/>
      <c r="E9" s="33">
        <v>6</v>
      </c>
      <c r="F9" s="33" t="s">
        <v>156</v>
      </c>
      <c r="G9" s="33" t="s">
        <v>157</v>
      </c>
      <c r="H9" s="34">
        <f>[2]Presupuesto!H10</f>
        <v>2650000</v>
      </c>
      <c r="I9" s="35">
        <f t="shared" si="0"/>
        <v>143100000</v>
      </c>
    </row>
    <row r="10" spans="1:12" ht="15.75" thickBot="1">
      <c r="A10" s="175"/>
      <c r="B10" s="176" t="str">
        <f>[2]Presupuesto!B15</f>
        <v>Tecnico de Sistemas</v>
      </c>
      <c r="C10" s="177"/>
      <c r="D10" s="178"/>
      <c r="E10" s="33">
        <v>1</v>
      </c>
      <c r="F10" s="33" t="s">
        <v>156</v>
      </c>
      <c r="G10" s="33" t="s">
        <v>157</v>
      </c>
      <c r="H10" s="34">
        <f>[2]Presupuesto!H15</f>
        <v>2650000</v>
      </c>
      <c r="I10" s="35">
        <f t="shared" si="0"/>
        <v>23850000</v>
      </c>
    </row>
    <row r="11" spans="1:12" ht="15.75" thickBot="1">
      <c r="A11" s="171" t="s">
        <v>158</v>
      </c>
      <c r="B11" s="171"/>
      <c r="C11" s="171"/>
      <c r="D11" s="171"/>
      <c r="E11" s="171"/>
      <c r="F11" s="171"/>
      <c r="G11" s="171"/>
      <c r="H11" s="171"/>
      <c r="I11" s="36">
        <f>SUM(I4:I10)</f>
        <v>459450000</v>
      </c>
    </row>
    <row r="12" spans="1:12" ht="15.75" thickBot="1">
      <c r="A12" s="171" t="s">
        <v>149</v>
      </c>
      <c r="B12" s="171"/>
      <c r="C12" s="171"/>
      <c r="D12" s="171"/>
      <c r="E12" s="31" t="s">
        <v>150</v>
      </c>
      <c r="F12" s="31" t="s">
        <v>151</v>
      </c>
      <c r="G12" s="31" t="s">
        <v>152</v>
      </c>
      <c r="H12" s="31" t="s">
        <v>153</v>
      </c>
      <c r="I12" s="31" t="s">
        <v>154</v>
      </c>
    </row>
    <row r="13" spans="1:12" ht="36.6" customHeight="1" thickBot="1">
      <c r="A13" s="32" t="s">
        <v>159</v>
      </c>
      <c r="B13" s="182" t="s">
        <v>160</v>
      </c>
      <c r="C13" s="182"/>
      <c r="D13" s="182"/>
      <c r="E13" s="37">
        <v>3</v>
      </c>
      <c r="F13" s="37" t="s">
        <v>156</v>
      </c>
      <c r="G13" s="37">
        <v>9</v>
      </c>
      <c r="H13" s="38">
        <v>13075000</v>
      </c>
      <c r="I13" s="39">
        <f>(E13*H13)*G13</f>
        <v>353025000</v>
      </c>
      <c r="K13" s="40"/>
    </row>
    <row r="14" spans="1:12" ht="15.75" thickBot="1">
      <c r="A14" s="171" t="s">
        <v>161</v>
      </c>
      <c r="B14" s="171"/>
      <c r="C14" s="171"/>
      <c r="D14" s="171"/>
      <c r="E14" s="171"/>
      <c r="F14" s="171"/>
      <c r="G14" s="171"/>
      <c r="H14" s="171"/>
      <c r="I14" s="36">
        <f>SUM(I13)</f>
        <v>353025000</v>
      </c>
      <c r="K14" s="43"/>
      <c r="L14" s="106"/>
    </row>
    <row r="15" spans="1:12" ht="15.75" thickBot="1">
      <c r="A15" s="171" t="s">
        <v>149</v>
      </c>
      <c r="B15" s="171"/>
      <c r="C15" s="171"/>
      <c r="D15" s="171"/>
      <c r="E15" s="171"/>
      <c r="F15" s="31" t="s">
        <v>151</v>
      </c>
      <c r="G15" s="31" t="s">
        <v>152</v>
      </c>
      <c r="H15" s="31" t="s">
        <v>153</v>
      </c>
      <c r="I15" s="31" t="s">
        <v>154</v>
      </c>
      <c r="K15" s="43"/>
      <c r="L15" s="106"/>
    </row>
    <row r="16" spans="1:12" ht="35.450000000000003" customHeight="1" thickBot="1">
      <c r="A16" s="183" t="s">
        <v>162</v>
      </c>
      <c r="B16" s="187" t="s">
        <v>163</v>
      </c>
      <c r="C16" s="187"/>
      <c r="D16" s="187"/>
      <c r="E16" s="187"/>
      <c r="F16" s="37" t="s">
        <v>156</v>
      </c>
      <c r="G16" s="37">
        <v>9</v>
      </c>
      <c r="H16" s="41">
        <f>I16/9</f>
        <v>11342718.871111112</v>
      </c>
      <c r="I16" s="42">
        <v>102084469.84</v>
      </c>
      <c r="K16" s="105"/>
      <c r="L16" s="40"/>
    </row>
    <row r="17" spans="1:12" ht="48" customHeight="1" thickBot="1">
      <c r="A17" s="183"/>
      <c r="B17" s="184" t="str">
        <f>[2]Presupuesto!B24</f>
        <v>4. DESARROLLAR ACTIVIDADES DE PROMOCION DE LA SALUD Y GESTION DEL RIESGO DEL EJE ESTRATEGICO POBLACION ETNICA Y VULNERABLE, DEL PLAN DECENAL DE SALUD PUBLICA 2022 - 2031</v>
      </c>
      <c r="C17" s="185"/>
      <c r="D17" s="185"/>
      <c r="E17" s="186"/>
      <c r="F17" s="37" t="s">
        <v>156</v>
      </c>
      <c r="G17" s="37">
        <v>9</v>
      </c>
      <c r="H17" s="41">
        <f>I17/9</f>
        <v>11114154.038888888</v>
      </c>
      <c r="I17" s="42">
        <v>100027386.34999999</v>
      </c>
      <c r="K17" s="43"/>
      <c r="L17" s="40"/>
    </row>
    <row r="18" spans="1:12" ht="43.15" customHeight="1" thickBot="1">
      <c r="A18" s="183"/>
      <c r="B18" s="187" t="str">
        <f>[2]Presupuesto!B25</f>
        <v>5. DESARROLLAR ACTIVIDADES DE PROMOCION DE LA SALUD Y GESTION DEL RIESGO DEL EJE ESTARTEGICO PERSONAL DE LA SALUD, DEL PLAN DECENAL DE SALUD PUBLICA 2022 - 2031</v>
      </c>
      <c r="C18" s="187"/>
      <c r="D18" s="187"/>
      <c r="E18" s="187"/>
      <c r="F18" s="37" t="s">
        <v>156</v>
      </c>
      <c r="G18" s="37">
        <v>9</v>
      </c>
      <c r="H18" s="41">
        <f t="shared" ref="H18" si="1">I18/9</f>
        <v>3888888.888888889</v>
      </c>
      <c r="I18" s="42">
        <f>[2]Presupuesto!I25</f>
        <v>35000000</v>
      </c>
      <c r="K18" s="43"/>
      <c r="L18" s="40"/>
    </row>
    <row r="19" spans="1:12" ht="15.75" thickBot="1">
      <c r="A19" s="171" t="s">
        <v>164</v>
      </c>
      <c r="B19" s="171"/>
      <c r="C19" s="171"/>
      <c r="D19" s="171"/>
      <c r="E19" s="171"/>
      <c r="F19" s="171"/>
      <c r="G19" s="171"/>
      <c r="H19" s="171"/>
      <c r="I19" s="36">
        <f>SUM(I16:I18)</f>
        <v>237111856.19</v>
      </c>
      <c r="K19" s="40"/>
    </row>
    <row r="20" spans="1:12" ht="15.75" thickBot="1">
      <c r="A20" s="171" t="s">
        <v>149</v>
      </c>
      <c r="B20" s="171"/>
      <c r="C20" s="171"/>
      <c r="D20" s="171"/>
      <c r="E20" s="171"/>
      <c r="F20" s="171"/>
      <c r="G20" s="171"/>
      <c r="H20" s="171"/>
      <c r="I20" s="31" t="s">
        <v>154</v>
      </c>
      <c r="K20" s="40"/>
    </row>
    <row r="21" spans="1:12" ht="43.15" customHeight="1" thickBot="1">
      <c r="A21" s="32" t="s">
        <v>165</v>
      </c>
      <c r="B21" s="180" t="s">
        <v>166</v>
      </c>
      <c r="C21" s="180"/>
      <c r="D21" s="180"/>
      <c r="E21" s="180"/>
      <c r="F21" s="180"/>
      <c r="G21" s="180"/>
      <c r="H21" s="180"/>
      <c r="I21" s="44">
        <v>55241413.479999997</v>
      </c>
      <c r="K21" s="40"/>
    </row>
    <row r="22" spans="1:12" ht="15.75" thickBot="1">
      <c r="A22" s="171" t="s">
        <v>167</v>
      </c>
      <c r="B22" s="171"/>
      <c r="C22" s="171"/>
      <c r="D22" s="171"/>
      <c r="E22" s="171"/>
      <c r="F22" s="171"/>
      <c r="G22" s="171"/>
      <c r="H22" s="171"/>
      <c r="I22" s="45">
        <f>I21</f>
        <v>55241413.479999997</v>
      </c>
      <c r="K22" s="40"/>
      <c r="L22" s="40"/>
    </row>
    <row r="23" spans="1:12" ht="6" customHeight="1" thickBot="1">
      <c r="A23" s="181"/>
      <c r="B23" s="181"/>
      <c r="C23" s="181"/>
      <c r="D23" s="181"/>
      <c r="E23" s="181"/>
      <c r="F23" s="181"/>
      <c r="G23" s="181"/>
      <c r="H23" s="181"/>
      <c r="I23" s="181"/>
    </row>
    <row r="24" spans="1:12" ht="16.5" thickBot="1">
      <c r="A24" s="171" t="s">
        <v>168</v>
      </c>
      <c r="B24" s="171"/>
      <c r="C24" s="171"/>
      <c r="D24" s="171"/>
      <c r="E24" s="171"/>
      <c r="F24" s="171"/>
      <c r="G24" s="171"/>
      <c r="H24" s="171"/>
      <c r="I24" s="94">
        <f>I11+I14+I19+I22</f>
        <v>1104828269.6700001</v>
      </c>
      <c r="K24" s="43"/>
    </row>
    <row r="25" spans="1:12">
      <c r="K25" s="40"/>
    </row>
    <row r="26" spans="1:12">
      <c r="K26" s="46"/>
    </row>
    <row r="27" spans="1:12">
      <c r="I27" s="40"/>
      <c r="K27" s="40"/>
    </row>
    <row r="28" spans="1:12" ht="15.75">
      <c r="I28" s="47"/>
    </row>
    <row r="30" spans="1:12">
      <c r="I30" s="48"/>
      <c r="K30" s="40"/>
    </row>
    <row r="32" spans="1:12">
      <c r="I32" s="40"/>
    </row>
    <row r="34" spans="9:11">
      <c r="I34" s="40"/>
    </row>
    <row r="36" spans="9:11">
      <c r="I36" s="40"/>
    </row>
    <row r="37" spans="9:11">
      <c r="I37" s="43"/>
    </row>
    <row r="39" spans="9:11">
      <c r="I39" s="40"/>
      <c r="K39" s="40"/>
    </row>
    <row r="42" spans="9:11">
      <c r="I42" s="40"/>
    </row>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9" customFormat="1"/>
  </sheetData>
  <mergeCells count="26">
    <mergeCell ref="A19:H19"/>
    <mergeCell ref="B21:H21"/>
    <mergeCell ref="A23:I23"/>
    <mergeCell ref="A24:H24"/>
    <mergeCell ref="B13:D13"/>
    <mergeCell ref="A14:H14"/>
    <mergeCell ref="A15:E15"/>
    <mergeCell ref="A16:A18"/>
    <mergeCell ref="B17:E17"/>
    <mergeCell ref="B18:E18"/>
    <mergeCell ref="A22:H22"/>
    <mergeCell ref="B16:E16"/>
    <mergeCell ref="A20:H20"/>
    <mergeCell ref="A1:I1"/>
    <mergeCell ref="A2:I2"/>
    <mergeCell ref="A3:D3"/>
    <mergeCell ref="B4:D4"/>
    <mergeCell ref="B5:D5"/>
    <mergeCell ref="A11:H11"/>
    <mergeCell ref="A12:D12"/>
    <mergeCell ref="B6:D6"/>
    <mergeCell ref="B7:D7"/>
    <mergeCell ref="B8:D8"/>
    <mergeCell ref="B9:D9"/>
    <mergeCell ref="A4:A10"/>
    <mergeCell ref="B10:D1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77DCB-9193-436A-893F-A70577D29314}">
  <dimension ref="A1:I27"/>
  <sheetViews>
    <sheetView showGridLines="0" workbookViewId="0">
      <selection activeCell="G21" sqref="G21"/>
    </sheetView>
  </sheetViews>
  <sheetFormatPr baseColWidth="10" defaultRowHeight="15"/>
  <cols>
    <col min="1" max="1" width="21.28515625" customWidth="1"/>
    <col min="2" max="2" width="19.85546875" customWidth="1"/>
    <col min="3" max="3" width="16.42578125" customWidth="1"/>
    <col min="4" max="4" width="24.85546875" customWidth="1"/>
    <col min="5" max="5" width="11.5703125" style="24"/>
    <col min="6" max="6" width="15.28515625" bestFit="1" customWidth="1"/>
    <col min="7" max="7" width="16.42578125" bestFit="1" customWidth="1"/>
    <col min="8" max="9" width="18" bestFit="1" customWidth="1"/>
  </cols>
  <sheetData>
    <row r="1" spans="1:9" ht="46.9" customHeight="1" thickBot="1">
      <c r="A1" s="179" t="s">
        <v>184</v>
      </c>
      <c r="B1" s="171"/>
      <c r="C1" s="171"/>
      <c r="D1" s="171"/>
      <c r="E1" s="171"/>
    </row>
    <row r="2" spans="1:9" ht="15.75" thickBot="1">
      <c r="A2" s="171" t="s">
        <v>185</v>
      </c>
      <c r="B2" s="171"/>
      <c r="C2" s="171"/>
      <c r="D2" s="171"/>
      <c r="E2" s="171"/>
    </row>
    <row r="3" spans="1:9" ht="15.75" thickBot="1">
      <c r="A3" s="171" t="s">
        <v>186</v>
      </c>
      <c r="B3" s="171"/>
      <c r="C3" s="171"/>
      <c r="D3" s="171"/>
      <c r="E3" s="70" t="s">
        <v>150</v>
      </c>
    </row>
    <row r="4" spans="1:9" ht="15.75" thickBot="1">
      <c r="A4" s="71" t="s">
        <v>155</v>
      </c>
      <c r="B4" s="190" t="str">
        <f>'[2]Presupuesto Wayuu Talatshi'!B10:D10</f>
        <v>Tecnico de Sistemas</v>
      </c>
      <c r="C4" s="190"/>
      <c r="D4" s="190"/>
      <c r="E4" s="37">
        <v>1</v>
      </c>
    </row>
    <row r="5" spans="1:9" ht="40.15" customHeight="1" thickBot="1">
      <c r="A5" s="191" t="s">
        <v>187</v>
      </c>
      <c r="B5" s="191"/>
      <c r="C5" s="191"/>
      <c r="D5" s="191"/>
      <c r="E5" s="191"/>
    </row>
    <row r="6" spans="1:9" ht="15.75" thickBot="1">
      <c r="A6" s="171" t="s">
        <v>186</v>
      </c>
      <c r="B6" s="171"/>
      <c r="C6" s="171"/>
      <c r="D6" s="171"/>
      <c r="E6" s="70" t="s">
        <v>150</v>
      </c>
      <c r="G6" s="43"/>
    </row>
    <row r="7" spans="1:9" ht="15.75" thickBot="1">
      <c r="A7" s="188" t="s">
        <v>189</v>
      </c>
      <c r="B7" s="172" t="str">
        <f>'[2]Presupuesto Wayuu Talatshi'!B4:D4</f>
        <v>Trabajador(a) Social</v>
      </c>
      <c r="C7" s="172"/>
      <c r="D7" s="172"/>
      <c r="E7" s="37">
        <v>1</v>
      </c>
      <c r="G7" s="40"/>
      <c r="H7" s="40"/>
    </row>
    <row r="8" spans="1:9" ht="15.75" thickBot="1">
      <c r="A8" s="189"/>
      <c r="B8" s="172" t="str">
        <f>'[2]Presupuesto Wayuu Talatshi'!B5:D5</f>
        <v>Profesional de la Salud (Enfermero(a))</v>
      </c>
      <c r="C8" s="172"/>
      <c r="D8" s="172"/>
      <c r="E8" s="37">
        <v>1</v>
      </c>
      <c r="G8" s="40"/>
      <c r="H8" s="40"/>
    </row>
    <row r="9" spans="1:9" ht="15.75" thickBot="1">
      <c r="A9" s="189"/>
      <c r="B9" s="172" t="str">
        <f>'[2]Presupuesto Wayuu Talatshi'!B8:D8</f>
        <v>Promotor de Salud, Hablante Wayunaiki</v>
      </c>
      <c r="C9" s="172"/>
      <c r="D9" s="172"/>
      <c r="E9" s="37">
        <v>1</v>
      </c>
      <c r="G9" s="40"/>
      <c r="H9" s="40"/>
    </row>
    <row r="10" spans="1:9" ht="15.75" thickBot="1">
      <c r="A10" s="189"/>
      <c r="B10" s="172" t="str">
        <f>'[2]Presupuesto Wayuu Talatshi'!B9:D9</f>
        <v>Tecnico de la Salud (Auxiliar de Enfermeria) hablante Wayunaiki</v>
      </c>
      <c r="C10" s="172"/>
      <c r="D10" s="172"/>
      <c r="E10" s="37">
        <v>2</v>
      </c>
      <c r="G10" s="40"/>
      <c r="H10" s="40"/>
      <c r="I10" s="40"/>
    </row>
    <row r="11" spans="1:9" ht="41.45" customHeight="1" thickBot="1">
      <c r="A11" s="188" t="s">
        <v>188</v>
      </c>
      <c r="B11" s="188"/>
      <c r="C11" s="188"/>
      <c r="D11" s="188"/>
      <c r="E11" s="188"/>
      <c r="G11" s="40"/>
    </row>
    <row r="12" spans="1:9" ht="15.75" thickBot="1">
      <c r="A12" s="171" t="s">
        <v>186</v>
      </c>
      <c r="B12" s="171"/>
      <c r="C12" s="171"/>
      <c r="D12" s="171"/>
      <c r="E12" s="70" t="s">
        <v>150</v>
      </c>
    </row>
    <row r="13" spans="1:9" ht="15.75" thickBot="1">
      <c r="A13" s="188" t="s">
        <v>213</v>
      </c>
      <c r="B13" s="172" t="str">
        <f>'[2]Presupuesto Wayuu Talatshi'!B6:D6</f>
        <v>Profesional de la Salud (Medico General)</v>
      </c>
      <c r="C13" s="172"/>
      <c r="D13" s="172"/>
      <c r="E13" s="37">
        <v>1</v>
      </c>
      <c r="G13" s="40"/>
      <c r="H13" s="40"/>
    </row>
    <row r="14" spans="1:9" ht="15.75" thickBot="1">
      <c r="A14" s="189"/>
      <c r="B14" s="172" t="str">
        <f>'[2]Presupuesto Wayuu Talatshi'!B5:D5</f>
        <v>Profesional de la Salud (Enfermero(a))</v>
      </c>
      <c r="C14" s="172"/>
      <c r="D14" s="172"/>
      <c r="E14" s="37">
        <v>1</v>
      </c>
      <c r="G14" s="40"/>
      <c r="H14" s="40"/>
    </row>
    <row r="15" spans="1:9" ht="15.75" thickBot="1">
      <c r="A15" s="189"/>
      <c r="B15" s="172" t="str">
        <f>'[2]Presupuesto Wayuu Talatshi'!B8:D8</f>
        <v>Promotor de Salud, Hablante Wayunaiki</v>
      </c>
      <c r="C15" s="172"/>
      <c r="D15" s="172"/>
      <c r="E15" s="37">
        <v>1</v>
      </c>
      <c r="G15" s="40"/>
      <c r="H15" s="40"/>
    </row>
    <row r="16" spans="1:9" ht="15.75" thickBot="1">
      <c r="A16" s="189"/>
      <c r="B16" s="172" t="str">
        <f>'[2]Presupuesto Wayuu Talatshi'!B9:D9</f>
        <v>Tecnico de la Salud (Auxiliar de Enfermeria) hablante Wayunaiki</v>
      </c>
      <c r="C16" s="172"/>
      <c r="D16" s="172"/>
      <c r="E16" s="37">
        <v>2</v>
      </c>
      <c r="G16" s="40"/>
      <c r="H16" s="40"/>
      <c r="I16" s="40"/>
    </row>
    <row r="17" spans="1:9" ht="34.9" customHeight="1" thickBot="1">
      <c r="A17" s="188" t="s">
        <v>214</v>
      </c>
      <c r="B17" s="188"/>
      <c r="C17" s="188"/>
      <c r="D17" s="188"/>
      <c r="E17" s="188"/>
      <c r="G17" s="40"/>
    </row>
    <row r="18" spans="1:9" ht="15.75" thickBot="1">
      <c r="A18" s="171" t="s">
        <v>186</v>
      </c>
      <c r="B18" s="171"/>
      <c r="C18" s="171"/>
      <c r="D18" s="171"/>
      <c r="E18" s="70" t="s">
        <v>150</v>
      </c>
    </row>
    <row r="19" spans="1:9" ht="15.75" thickBot="1">
      <c r="A19" s="188" t="s">
        <v>215</v>
      </c>
      <c r="B19" s="172" t="str">
        <f>'[2]Presupuesto Wayuu Talatshi'!B5:D5</f>
        <v>Profesional de la Salud (Enfermero(a))</v>
      </c>
      <c r="C19" s="172"/>
      <c r="D19" s="172"/>
      <c r="E19" s="37">
        <v>1</v>
      </c>
      <c r="F19" s="43"/>
      <c r="G19" s="40"/>
      <c r="H19" s="40"/>
      <c r="I19" s="40"/>
    </row>
    <row r="20" spans="1:9" ht="15.75" thickBot="1">
      <c r="A20" s="189"/>
      <c r="B20" s="172" t="str">
        <f>'[2]Presupuesto Wayuu Talatshi'!B7:D7</f>
        <v xml:space="preserve">Profesional de la Salud (Nutricionista) </v>
      </c>
      <c r="C20" s="172"/>
      <c r="D20" s="172"/>
      <c r="E20" s="37">
        <v>1</v>
      </c>
      <c r="G20" s="40"/>
      <c r="H20" s="40"/>
      <c r="I20" s="40"/>
    </row>
    <row r="21" spans="1:9" ht="15.75" thickBot="1">
      <c r="A21" s="189"/>
      <c r="B21" s="172" t="str">
        <f>'[2]Presupuesto Wayuu Talatshi'!B8:D8</f>
        <v>Promotor de Salud, Hablante Wayunaiki</v>
      </c>
      <c r="C21" s="172"/>
      <c r="D21" s="172"/>
      <c r="E21" s="37">
        <v>1</v>
      </c>
      <c r="G21" s="40"/>
      <c r="H21" s="40"/>
      <c r="I21" s="40"/>
    </row>
    <row r="22" spans="1:9" ht="15.75" thickBot="1">
      <c r="A22" s="189"/>
      <c r="B22" s="172" t="str">
        <f>'[2]Presupuesto Wayuu Talatshi'!B9:D9</f>
        <v>Tecnico de la Salud (Auxiliar de Enfermeria) hablante Wayunaiki</v>
      </c>
      <c r="C22" s="172"/>
      <c r="D22" s="172"/>
      <c r="E22" s="37">
        <v>2</v>
      </c>
      <c r="G22" s="40"/>
      <c r="H22" s="40"/>
      <c r="I22" s="40"/>
    </row>
    <row r="23" spans="1:9">
      <c r="G23" s="40"/>
      <c r="I23" s="40"/>
    </row>
    <row r="25" spans="1:9">
      <c r="G25" s="40"/>
      <c r="H25" s="43"/>
      <c r="I25" s="40"/>
    </row>
    <row r="27" spans="1:9">
      <c r="G27" s="40"/>
    </row>
  </sheetData>
  <mergeCells count="25">
    <mergeCell ref="A17:E17"/>
    <mergeCell ref="A18:D18"/>
    <mergeCell ref="A19:A22"/>
    <mergeCell ref="B19:D19"/>
    <mergeCell ref="B20:D20"/>
    <mergeCell ref="B21:D21"/>
    <mergeCell ref="B22:D22"/>
    <mergeCell ref="A11:E11"/>
    <mergeCell ref="A1:E1"/>
    <mergeCell ref="A2:E2"/>
    <mergeCell ref="A3:D3"/>
    <mergeCell ref="B4:D4"/>
    <mergeCell ref="A5:E5"/>
    <mergeCell ref="A6:D6"/>
    <mergeCell ref="A7:A10"/>
    <mergeCell ref="B7:D7"/>
    <mergeCell ref="B8:D8"/>
    <mergeCell ref="B9:D9"/>
    <mergeCell ref="B10:D10"/>
    <mergeCell ref="A12:D12"/>
    <mergeCell ref="A13:A16"/>
    <mergeCell ref="B13:D13"/>
    <mergeCell ref="B14:D14"/>
    <mergeCell ref="B15:D15"/>
    <mergeCell ref="B16:D1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A2B06-4E6E-42FC-9722-986DEED33EA0}">
  <dimension ref="A1:P25"/>
  <sheetViews>
    <sheetView showGridLines="0" workbookViewId="0">
      <selection activeCell="F24" sqref="F24"/>
    </sheetView>
  </sheetViews>
  <sheetFormatPr baseColWidth="10" defaultRowHeight="15"/>
  <cols>
    <col min="6" max="6" width="15.5703125" customWidth="1"/>
    <col min="7" max="7" width="16.5703125" customWidth="1"/>
    <col min="8" max="8" width="15.42578125" customWidth="1"/>
    <col min="9" max="9" width="20.28515625" customWidth="1"/>
    <col min="11" max="11" width="9.140625" style="97" hidden="1" customWidth="1"/>
    <col min="12" max="12" width="37.28515625" hidden="1" customWidth="1"/>
    <col min="13" max="13" width="11.42578125" hidden="1" customWidth="1"/>
    <col min="14" max="14" width="15.28515625" hidden="1" customWidth="1"/>
    <col min="15" max="15" width="18.28515625" hidden="1" customWidth="1"/>
    <col min="16" max="16" width="19.7109375" hidden="1" customWidth="1"/>
  </cols>
  <sheetData>
    <row r="1" spans="1:16" ht="28.9" customHeight="1" thickBot="1">
      <c r="A1" s="197" t="s">
        <v>120</v>
      </c>
      <c r="B1" s="198"/>
      <c r="C1" s="198"/>
      <c r="D1" s="198"/>
      <c r="E1" s="198"/>
      <c r="F1" s="198"/>
      <c r="G1" s="198"/>
      <c r="H1" s="198"/>
      <c r="I1" s="199"/>
      <c r="J1" s="30"/>
      <c r="K1" s="194" t="s">
        <v>202</v>
      </c>
      <c r="L1" s="194"/>
      <c r="M1" s="194"/>
      <c r="N1" s="194"/>
      <c r="O1" s="194"/>
      <c r="P1" s="194"/>
    </row>
    <row r="2" spans="1:16">
      <c r="A2" s="85" t="s">
        <v>127</v>
      </c>
      <c r="B2" s="195" t="s">
        <v>122</v>
      </c>
      <c r="C2" s="195"/>
      <c r="D2" s="195"/>
      <c r="E2" s="195"/>
      <c r="F2" s="86" t="s">
        <v>123</v>
      </c>
      <c r="G2" s="86" t="s">
        <v>124</v>
      </c>
      <c r="H2" s="86" t="s">
        <v>125</v>
      </c>
      <c r="I2" s="87" t="s">
        <v>126</v>
      </c>
      <c r="K2" s="96" t="s">
        <v>127</v>
      </c>
      <c r="L2" s="96" t="s">
        <v>122</v>
      </c>
      <c r="M2" s="96" t="s">
        <v>229</v>
      </c>
      <c r="N2" s="96" t="s">
        <v>228</v>
      </c>
      <c r="O2" s="96" t="s">
        <v>153</v>
      </c>
      <c r="P2" s="96" t="s">
        <v>227</v>
      </c>
    </row>
    <row r="3" spans="1:16">
      <c r="A3" s="88">
        <v>1</v>
      </c>
      <c r="B3" s="192" t="s">
        <v>128</v>
      </c>
      <c r="C3" s="192"/>
      <c r="D3" s="192"/>
      <c r="E3" s="192"/>
      <c r="F3" s="84">
        <f>273900/10</f>
        <v>27390</v>
      </c>
      <c r="G3" s="84">
        <f>310000/10</f>
        <v>31000</v>
      </c>
      <c r="H3" s="84">
        <f>290000/10</f>
        <v>29000</v>
      </c>
      <c r="I3" s="89">
        <f>AVERAGE(F3:H3)</f>
        <v>29130</v>
      </c>
      <c r="K3" s="100">
        <v>1</v>
      </c>
      <c r="L3" s="5" t="s">
        <v>128</v>
      </c>
      <c r="M3" s="9">
        <v>50</v>
      </c>
      <c r="N3" s="9">
        <v>9</v>
      </c>
      <c r="O3" s="98">
        <f>I3</f>
        <v>29130</v>
      </c>
      <c r="P3" s="99">
        <f>O3*N3*M3</f>
        <v>13108500</v>
      </c>
    </row>
    <row r="4" spans="1:16">
      <c r="A4" s="88">
        <v>2</v>
      </c>
      <c r="B4" s="192" t="s">
        <v>129</v>
      </c>
      <c r="C4" s="192"/>
      <c r="D4" s="192"/>
      <c r="E4" s="192"/>
      <c r="F4" s="84">
        <f>219391/10</f>
        <v>21939.1</v>
      </c>
      <c r="G4" s="84">
        <f>290000/10</f>
        <v>29000</v>
      </c>
      <c r="H4" s="84">
        <f>250000/10</f>
        <v>25000</v>
      </c>
      <c r="I4" s="89">
        <f t="shared" ref="I4:I22" si="0">AVERAGE(F4:H4)</f>
        <v>25313.033333333336</v>
      </c>
      <c r="K4" s="100">
        <v>2</v>
      </c>
      <c r="L4" s="5" t="s">
        <v>129</v>
      </c>
      <c r="M4" s="9">
        <v>50</v>
      </c>
      <c r="N4" s="9">
        <v>9</v>
      </c>
      <c r="O4" s="98">
        <f>I4</f>
        <v>25313.033333333336</v>
      </c>
      <c r="P4" s="99">
        <f>O4*N4*M4</f>
        <v>11390865</v>
      </c>
    </row>
    <row r="5" spans="1:16">
      <c r="A5" s="88">
        <v>3</v>
      </c>
      <c r="B5" s="192" t="s">
        <v>130</v>
      </c>
      <c r="C5" s="192"/>
      <c r="D5" s="192"/>
      <c r="E5" s="192"/>
      <c r="F5" s="84">
        <f>40552/10</f>
        <v>4055.2</v>
      </c>
      <c r="G5" s="84">
        <f>60000/10</f>
        <v>6000</v>
      </c>
      <c r="H5" s="84">
        <f>50000/10</f>
        <v>5000</v>
      </c>
      <c r="I5" s="89">
        <f t="shared" si="0"/>
        <v>5018.4000000000005</v>
      </c>
      <c r="K5" s="193" t="s">
        <v>230</v>
      </c>
      <c r="L5" s="193"/>
      <c r="M5" s="193"/>
      <c r="N5" s="193"/>
      <c r="O5" s="193"/>
      <c r="P5" s="102">
        <f>P3+P4</f>
        <v>24499365</v>
      </c>
    </row>
    <row r="6" spans="1:16">
      <c r="A6" s="88">
        <v>4</v>
      </c>
      <c r="B6" s="192" t="s">
        <v>131</v>
      </c>
      <c r="C6" s="192"/>
      <c r="D6" s="192"/>
      <c r="E6" s="192"/>
      <c r="F6" s="84">
        <f>13200/12</f>
        <v>1100</v>
      </c>
      <c r="G6" s="84">
        <f>23000/12</f>
        <v>1916.6666666666667</v>
      </c>
      <c r="H6" s="84">
        <f>18000/12</f>
        <v>1500</v>
      </c>
      <c r="I6" s="89">
        <f t="shared" si="0"/>
        <v>1505.5555555555557</v>
      </c>
    </row>
    <row r="7" spans="1:16">
      <c r="A7" s="88">
        <v>5</v>
      </c>
      <c r="B7" s="192" t="s">
        <v>132</v>
      </c>
      <c r="C7" s="192"/>
      <c r="D7" s="192"/>
      <c r="E7" s="192"/>
      <c r="F7" s="84">
        <v>15389</v>
      </c>
      <c r="G7" s="84">
        <v>23000</v>
      </c>
      <c r="H7" s="84">
        <v>19000</v>
      </c>
      <c r="I7" s="89">
        <f t="shared" si="0"/>
        <v>19129.666666666668</v>
      </c>
      <c r="K7" s="193" t="s">
        <v>203</v>
      </c>
      <c r="L7" s="193"/>
      <c r="M7" s="193"/>
      <c r="N7" s="193"/>
      <c r="O7" s="193"/>
      <c r="P7" s="193"/>
    </row>
    <row r="8" spans="1:16">
      <c r="A8" s="88">
        <v>6</v>
      </c>
      <c r="B8" s="192" t="s">
        <v>133</v>
      </c>
      <c r="C8" s="192"/>
      <c r="D8" s="192"/>
      <c r="E8" s="192"/>
      <c r="F8" s="84">
        <v>15389</v>
      </c>
      <c r="G8" s="84">
        <v>23000</v>
      </c>
      <c r="H8" s="84">
        <v>18500</v>
      </c>
      <c r="I8" s="89">
        <f t="shared" si="0"/>
        <v>18963</v>
      </c>
      <c r="K8" s="96" t="s">
        <v>127</v>
      </c>
      <c r="L8" s="96" t="s">
        <v>122</v>
      </c>
      <c r="M8" s="96" t="s">
        <v>229</v>
      </c>
      <c r="N8" s="96" t="s">
        <v>228</v>
      </c>
      <c r="O8" s="96" t="s">
        <v>153</v>
      </c>
      <c r="P8" s="96" t="s">
        <v>227</v>
      </c>
    </row>
    <row r="9" spans="1:16">
      <c r="A9" s="88">
        <v>7</v>
      </c>
      <c r="B9" s="192" t="s">
        <v>134</v>
      </c>
      <c r="C9" s="192"/>
      <c r="D9" s="192"/>
      <c r="E9" s="192"/>
      <c r="F9" s="84">
        <v>15400</v>
      </c>
      <c r="G9" s="84">
        <v>25500</v>
      </c>
      <c r="H9" s="84">
        <v>18900</v>
      </c>
      <c r="I9" s="89">
        <f t="shared" si="0"/>
        <v>19933.333333333332</v>
      </c>
      <c r="K9" s="100">
        <v>1</v>
      </c>
      <c r="L9" s="5" t="str">
        <f>B5</f>
        <v>Lapiz Mongol N°2</v>
      </c>
      <c r="M9" s="9">
        <v>70</v>
      </c>
      <c r="N9" s="9">
        <v>9</v>
      </c>
      <c r="O9" s="98">
        <f>I5</f>
        <v>5018.4000000000005</v>
      </c>
      <c r="P9" s="99">
        <f>O9*N9*M9</f>
        <v>3161592.0000000005</v>
      </c>
    </row>
    <row r="10" spans="1:16">
      <c r="A10" s="88">
        <v>8</v>
      </c>
      <c r="B10" s="192" t="s">
        <v>135</v>
      </c>
      <c r="C10" s="192"/>
      <c r="D10" s="192"/>
      <c r="E10" s="192"/>
      <c r="F10" s="84">
        <v>15950</v>
      </c>
      <c r="G10" s="84">
        <v>22900</v>
      </c>
      <c r="H10" s="84">
        <v>19300</v>
      </c>
      <c r="I10" s="89">
        <f t="shared" si="0"/>
        <v>19383.333333333332</v>
      </c>
      <c r="K10" s="100">
        <v>2</v>
      </c>
      <c r="L10" s="5" t="str">
        <f t="shared" ref="L10:L18" si="1">B6</f>
        <v>Sacapuntas Metalico</v>
      </c>
      <c r="M10" s="100">
        <v>64</v>
      </c>
      <c r="N10" s="9">
        <v>9</v>
      </c>
      <c r="O10" s="98">
        <f t="shared" ref="O10:O18" si="2">I6</f>
        <v>1505.5555555555557</v>
      </c>
      <c r="P10" s="99">
        <f>O10*N10*M10</f>
        <v>867200</v>
      </c>
    </row>
    <row r="11" spans="1:16">
      <c r="A11" s="88">
        <v>9</v>
      </c>
      <c r="B11" s="192" t="s">
        <v>136</v>
      </c>
      <c r="C11" s="192"/>
      <c r="D11" s="192"/>
      <c r="E11" s="192"/>
      <c r="F11" s="84">
        <v>20339</v>
      </c>
      <c r="G11" s="84">
        <v>27000</v>
      </c>
      <c r="H11" s="84">
        <v>23000</v>
      </c>
      <c r="I11" s="89">
        <f t="shared" si="0"/>
        <v>23446.333333333332</v>
      </c>
      <c r="K11" s="100">
        <v>3</v>
      </c>
      <c r="L11" s="5" t="str">
        <f t="shared" si="1"/>
        <v>Folder AZ Tamaño Oficio</v>
      </c>
      <c r="M11" s="100">
        <v>32</v>
      </c>
      <c r="N11" s="9">
        <v>9</v>
      </c>
      <c r="O11" s="98">
        <f t="shared" si="2"/>
        <v>19129.666666666668</v>
      </c>
      <c r="P11" s="99">
        <f>O11*M11</f>
        <v>612149.33333333337</v>
      </c>
    </row>
    <row r="12" spans="1:16">
      <c r="A12" s="88">
        <v>10</v>
      </c>
      <c r="B12" s="192" t="s">
        <v>137</v>
      </c>
      <c r="C12" s="192"/>
      <c r="D12" s="192"/>
      <c r="E12" s="192"/>
      <c r="F12" s="84">
        <v>8580</v>
      </c>
      <c r="G12" s="84">
        <v>25000</v>
      </c>
      <c r="H12" s="84">
        <v>10000</v>
      </c>
      <c r="I12" s="89">
        <f t="shared" si="0"/>
        <v>14526.666666666666</v>
      </c>
      <c r="K12" s="100">
        <v>4</v>
      </c>
      <c r="L12" s="5" t="str">
        <f t="shared" si="1"/>
        <v>Folder AZ Tamaño Carta</v>
      </c>
      <c r="M12" s="100">
        <v>32</v>
      </c>
      <c r="N12" s="9">
        <v>9</v>
      </c>
      <c r="O12" s="98">
        <f t="shared" si="2"/>
        <v>18963</v>
      </c>
      <c r="P12" s="99">
        <f>O12*M12</f>
        <v>606816</v>
      </c>
    </row>
    <row r="13" spans="1:16">
      <c r="A13" s="88">
        <v>11</v>
      </c>
      <c r="B13" s="192" t="s">
        <v>138</v>
      </c>
      <c r="C13" s="192"/>
      <c r="D13" s="192"/>
      <c r="E13" s="192"/>
      <c r="F13" s="84">
        <v>12980</v>
      </c>
      <c r="G13" s="84">
        <v>29000</v>
      </c>
      <c r="H13" s="84">
        <v>15000</v>
      </c>
      <c r="I13" s="89">
        <f t="shared" si="0"/>
        <v>18993.333333333332</v>
      </c>
      <c r="K13" s="100">
        <v>5</v>
      </c>
      <c r="L13" s="5" t="str">
        <f t="shared" si="1"/>
        <v>Estuche Resaltador 4 Colores</v>
      </c>
      <c r="M13" s="100">
        <v>32</v>
      </c>
      <c r="N13" s="9">
        <v>9</v>
      </c>
      <c r="O13" s="98">
        <f t="shared" si="2"/>
        <v>19933.333333333332</v>
      </c>
      <c r="P13" s="99">
        <f t="shared" ref="P13:P17" si="3">O13*N13*M13</f>
        <v>5740800</v>
      </c>
    </row>
    <row r="14" spans="1:16">
      <c r="A14" s="88">
        <v>12</v>
      </c>
      <c r="B14" s="192" t="s">
        <v>139</v>
      </c>
      <c r="C14" s="192"/>
      <c r="D14" s="192"/>
      <c r="E14" s="192"/>
      <c r="F14" s="84">
        <f>11440/2</f>
        <v>5720</v>
      </c>
      <c r="G14" s="84">
        <f>25300/2</f>
        <v>12650</v>
      </c>
      <c r="H14" s="84">
        <v>14300</v>
      </c>
      <c r="I14" s="89">
        <f t="shared" si="0"/>
        <v>10890</v>
      </c>
      <c r="K14" s="100">
        <v>6</v>
      </c>
      <c r="L14" s="5" t="str">
        <f t="shared" si="1"/>
        <v>Planilleros Plasticos</v>
      </c>
      <c r="M14" s="100">
        <v>32</v>
      </c>
      <c r="N14" s="9">
        <v>9</v>
      </c>
      <c r="O14" s="98">
        <f t="shared" si="2"/>
        <v>19383.333333333332</v>
      </c>
      <c r="P14" s="99">
        <f>O14*M14</f>
        <v>620266.66666666663</v>
      </c>
    </row>
    <row r="15" spans="1:16">
      <c r="A15" s="88">
        <v>13</v>
      </c>
      <c r="B15" s="192" t="s">
        <v>140</v>
      </c>
      <c r="C15" s="192"/>
      <c r="D15" s="192"/>
      <c r="E15" s="192"/>
      <c r="F15" s="84">
        <v>77000</v>
      </c>
      <c r="G15" s="84">
        <v>83333</v>
      </c>
      <c r="H15" s="84">
        <v>63793</v>
      </c>
      <c r="I15" s="89">
        <f t="shared" si="0"/>
        <v>74708.666666666672</v>
      </c>
      <c r="K15" s="100">
        <v>7</v>
      </c>
      <c r="L15" s="5" t="str">
        <f t="shared" si="1"/>
        <v>Perforadora 2 Huecos</v>
      </c>
      <c r="M15" s="100">
        <v>32</v>
      </c>
      <c r="N15" s="9">
        <v>9</v>
      </c>
      <c r="O15" s="98">
        <f t="shared" si="2"/>
        <v>23446.333333333332</v>
      </c>
      <c r="P15" s="99">
        <f>O15*M15</f>
        <v>750282.66666666663</v>
      </c>
    </row>
    <row r="16" spans="1:16">
      <c r="A16" s="88">
        <v>14</v>
      </c>
      <c r="B16" s="192" t="s">
        <v>141</v>
      </c>
      <c r="C16" s="192"/>
      <c r="D16" s="192"/>
      <c r="E16" s="192"/>
      <c r="F16" s="84">
        <v>350000</v>
      </c>
      <c r="G16" s="84">
        <v>433333</v>
      </c>
      <c r="H16" s="84">
        <v>400000</v>
      </c>
      <c r="I16" s="89">
        <f t="shared" si="0"/>
        <v>394444.33333333331</v>
      </c>
      <c r="K16" s="100">
        <v>8</v>
      </c>
      <c r="L16" s="5" t="str">
        <f t="shared" si="1"/>
        <v>Caja de Grapas x 5000 Unidades</v>
      </c>
      <c r="M16" s="100">
        <v>32</v>
      </c>
      <c r="N16" s="9">
        <v>9</v>
      </c>
      <c r="O16" s="98">
        <f t="shared" si="2"/>
        <v>14526.666666666666</v>
      </c>
      <c r="P16" s="99">
        <f>O16*M16</f>
        <v>464853.33333333331</v>
      </c>
    </row>
    <row r="17" spans="1:16">
      <c r="A17" s="88">
        <v>15</v>
      </c>
      <c r="B17" s="192" t="s">
        <v>142</v>
      </c>
      <c r="C17" s="192"/>
      <c r="D17" s="192"/>
      <c r="E17" s="192"/>
      <c r="F17" s="84">
        <v>110000</v>
      </c>
      <c r="G17" s="84">
        <v>180000</v>
      </c>
      <c r="H17" s="84">
        <v>145000</v>
      </c>
      <c r="I17" s="89">
        <f t="shared" si="0"/>
        <v>145000</v>
      </c>
      <c r="K17" s="100">
        <v>9</v>
      </c>
      <c r="L17" s="5" t="str">
        <f t="shared" si="1"/>
        <v>Grapadora Mediana Metalica</v>
      </c>
      <c r="M17" s="100">
        <v>16</v>
      </c>
      <c r="N17" s="9">
        <v>9</v>
      </c>
      <c r="O17" s="98">
        <f t="shared" si="2"/>
        <v>18993.333333333332</v>
      </c>
      <c r="P17" s="99">
        <f t="shared" si="3"/>
        <v>2735040</v>
      </c>
    </row>
    <row r="18" spans="1:16">
      <c r="A18" s="88">
        <v>16</v>
      </c>
      <c r="B18" s="192" t="s">
        <v>143</v>
      </c>
      <c r="C18" s="192"/>
      <c r="D18" s="192"/>
      <c r="E18" s="192"/>
      <c r="F18" s="84">
        <v>55000</v>
      </c>
      <c r="G18" s="84">
        <v>90000</v>
      </c>
      <c r="H18" s="84">
        <v>89000</v>
      </c>
      <c r="I18" s="89">
        <f t="shared" si="0"/>
        <v>78000</v>
      </c>
      <c r="K18" s="100">
        <v>10</v>
      </c>
      <c r="L18" s="5" t="str">
        <f t="shared" si="1"/>
        <v>Sacagrapas x 2 Unidades</v>
      </c>
      <c r="M18" s="100">
        <v>32</v>
      </c>
      <c r="N18" s="9">
        <v>9</v>
      </c>
      <c r="O18" s="98">
        <f t="shared" si="2"/>
        <v>10890</v>
      </c>
      <c r="P18" s="99">
        <f>O18*N18*M18</f>
        <v>3136320</v>
      </c>
    </row>
    <row r="19" spans="1:16">
      <c r="A19" s="88">
        <v>17</v>
      </c>
      <c r="B19" s="192" t="s">
        <v>144</v>
      </c>
      <c r="C19" s="192"/>
      <c r="D19" s="192"/>
      <c r="E19" s="192"/>
      <c r="F19" s="84">
        <v>132000</v>
      </c>
      <c r="G19" s="84">
        <v>200000</v>
      </c>
      <c r="H19" s="84">
        <v>176000</v>
      </c>
      <c r="I19" s="89">
        <f t="shared" si="0"/>
        <v>169333.33333333334</v>
      </c>
      <c r="K19" s="100">
        <v>11</v>
      </c>
      <c r="L19" s="5" t="str">
        <f>B21</f>
        <v>Sueter Tipo Polo Bordado (3Uni x Persona)</v>
      </c>
      <c r="M19" s="100">
        <v>48</v>
      </c>
      <c r="N19" s="9">
        <v>9</v>
      </c>
      <c r="O19" s="101">
        <f>I21</f>
        <v>83166.666666666672</v>
      </c>
      <c r="P19" s="99">
        <f>O19*M19</f>
        <v>3992000</v>
      </c>
    </row>
    <row r="20" spans="1:16">
      <c r="A20" s="88">
        <v>18</v>
      </c>
      <c r="B20" s="192" t="s">
        <v>145</v>
      </c>
      <c r="C20" s="192"/>
      <c r="D20" s="192"/>
      <c r="E20" s="192"/>
      <c r="F20" s="84">
        <v>66000</v>
      </c>
      <c r="G20" s="84">
        <v>120000</v>
      </c>
      <c r="H20" s="84">
        <v>98000</v>
      </c>
      <c r="I20" s="89">
        <f t="shared" si="0"/>
        <v>94666.666666666672</v>
      </c>
      <c r="K20" s="100">
        <v>12</v>
      </c>
      <c r="L20" s="5" t="str">
        <f>B22</f>
        <v xml:space="preserve">Carnets PVC </v>
      </c>
      <c r="M20" s="100">
        <v>16</v>
      </c>
      <c r="N20" s="9">
        <v>9</v>
      </c>
      <c r="O20" s="101">
        <f>I22</f>
        <v>24166.666666666668</v>
      </c>
      <c r="P20" s="99">
        <f>O20*M20</f>
        <v>386666.66666666669</v>
      </c>
    </row>
    <row r="21" spans="1:16">
      <c r="A21" s="88">
        <v>19</v>
      </c>
      <c r="B21" s="192" t="s">
        <v>231</v>
      </c>
      <c r="C21" s="192"/>
      <c r="D21" s="192"/>
      <c r="E21" s="192"/>
      <c r="F21" s="84">
        <v>71500</v>
      </c>
      <c r="G21" s="84">
        <v>89000</v>
      </c>
      <c r="H21" s="84">
        <v>89000</v>
      </c>
      <c r="I21" s="89">
        <f t="shared" si="0"/>
        <v>83166.666666666672</v>
      </c>
      <c r="K21" s="100">
        <v>13</v>
      </c>
      <c r="L21" s="5" t="s">
        <v>232</v>
      </c>
      <c r="M21" s="100">
        <v>80</v>
      </c>
      <c r="N21" s="9">
        <v>9</v>
      </c>
      <c r="O21" s="101">
        <v>5128.5</v>
      </c>
      <c r="P21" s="99">
        <f>O21*N21*M21</f>
        <v>3692520</v>
      </c>
    </row>
    <row r="22" spans="1:16" ht="15.75" thickBot="1">
      <c r="A22" s="90">
        <v>20</v>
      </c>
      <c r="B22" s="196" t="s">
        <v>146</v>
      </c>
      <c r="C22" s="196"/>
      <c r="D22" s="196"/>
      <c r="E22" s="196"/>
      <c r="F22" s="91">
        <v>16500</v>
      </c>
      <c r="G22" s="91">
        <v>33000</v>
      </c>
      <c r="H22" s="91">
        <v>23000</v>
      </c>
      <c r="I22" s="92">
        <f t="shared" si="0"/>
        <v>24166.666666666668</v>
      </c>
      <c r="K22" s="100">
        <v>14</v>
      </c>
      <c r="L22" s="5" t="s">
        <v>233</v>
      </c>
      <c r="M22" s="100">
        <v>100</v>
      </c>
      <c r="N22" s="9">
        <v>9</v>
      </c>
      <c r="O22" s="101">
        <v>2156.4299999999998</v>
      </c>
      <c r="P22" s="99">
        <f>O22*N22*M22</f>
        <v>1940787</v>
      </c>
    </row>
    <row r="23" spans="1:16">
      <c r="K23" s="193" t="s">
        <v>230</v>
      </c>
      <c r="L23" s="193"/>
      <c r="M23" s="193"/>
      <c r="N23" s="193"/>
      <c r="O23" s="193"/>
      <c r="P23" s="102">
        <f>SUM(P9:P22)</f>
        <v>28707293.666666668</v>
      </c>
    </row>
    <row r="25" spans="1:16">
      <c r="L25" s="40"/>
      <c r="M25" s="40"/>
      <c r="N25" s="40"/>
      <c r="O25" s="40"/>
    </row>
  </sheetData>
  <mergeCells count="26">
    <mergeCell ref="K7:P7"/>
    <mergeCell ref="K23:O23"/>
    <mergeCell ref="K1:P1"/>
    <mergeCell ref="K5:O5"/>
    <mergeCell ref="B2:E2"/>
    <mergeCell ref="B4:E4"/>
    <mergeCell ref="B5:E5"/>
    <mergeCell ref="B6:E6"/>
    <mergeCell ref="B7:E7"/>
    <mergeCell ref="B3:E3"/>
    <mergeCell ref="B8:E8"/>
    <mergeCell ref="B21:E21"/>
    <mergeCell ref="B22:E22"/>
    <mergeCell ref="A1:I1"/>
    <mergeCell ref="B15:E15"/>
    <mergeCell ref="B16:E16"/>
    <mergeCell ref="B17:E17"/>
    <mergeCell ref="B18:E18"/>
    <mergeCell ref="B19:E19"/>
    <mergeCell ref="B20:E20"/>
    <mergeCell ref="B9:E9"/>
    <mergeCell ref="B10:E10"/>
    <mergeCell ref="B11:E11"/>
    <mergeCell ref="B12:E12"/>
    <mergeCell ref="B13:E13"/>
    <mergeCell ref="B14:E1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1A49B-C686-4C30-A5F4-43251C6B8D17}">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Anexo Tec _ PIC_25_WT</vt:lpstr>
      <vt:lpstr>Cpte_Financiero_WT_PIC25</vt:lpstr>
      <vt:lpstr>Presupuesto_WT_PIC25</vt:lpstr>
      <vt:lpstr>DTB_EBS_WT_PIC25</vt:lpstr>
      <vt:lpstr>Cadena de Valor</vt:lpstr>
      <vt:lpstr>Seguimiento</vt:lpstr>
      <vt:lpstr>'Anexo Tec _ PIC_25_WT'!Área_de_impresión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dc:creator>
  <cp:lastModifiedBy>Carlos Andres</cp:lastModifiedBy>
  <cp:lastPrinted>2024-11-22T20:13:21Z</cp:lastPrinted>
  <dcterms:created xsi:type="dcterms:W3CDTF">2024-03-09T16:48:58Z</dcterms:created>
  <dcterms:modified xsi:type="dcterms:W3CDTF">2025-03-26T20:01:28Z</dcterms:modified>
</cp:coreProperties>
</file>