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autoCompressPictures="0"/>
  <mc:AlternateContent xmlns:mc="http://schemas.openxmlformats.org/markup-compatibility/2006">
    <mc:Choice Requires="x15">
      <x15ac:absPath xmlns:x15ac="http://schemas.microsoft.com/office/spreadsheetml/2010/11/ac" url="C:\Users\Vicky.Pedreros\Documents\VIGENCIA 2025\PROCESO CONTRACTUAL\ESTUDIOS PREVIOS\PERSONAS JURIDICAS\"/>
    </mc:Choice>
  </mc:AlternateContent>
  <xr:revisionPtr revIDLastSave="0" documentId="13_ncr:1_{6369E597-A6A2-4274-B2DA-41CBC0DDE0C0}" xr6:coauthVersionLast="47" xr6:coauthVersionMax="47" xr10:uidLastSave="{00000000-0000-0000-0000-000000000000}"/>
  <bookViews>
    <workbookView xWindow="-120" yWindow="-120" windowWidth="29040" windowHeight="15840" tabRatio="903" firstSheet="2" activeTab="13" xr2:uid="{00000000-000D-0000-FFFF-FFFF00000000}"/>
  </bookViews>
  <sheets>
    <sheet name="CDP" sheetId="18" state="hidden" r:id="rId1"/>
    <sheet name="ART-20" sheetId="19" state="hidden" r:id="rId2"/>
    <sheet name="RESUMEN" sheetId="16" r:id="rId3"/>
    <sheet name="AUXILIARES" sheetId="1" r:id="rId4"/>
    <sheet name="JEFE PYD" sheetId="12" r:id="rId5"/>
    <sheet name="JEFE GR" sheetId="13" r:id="rId6"/>
    <sheet name="MÉDICO" sheetId="2" r:id="rId7"/>
    <sheet name="PSICOLOGA N.1" sheetId="4" r:id="rId8"/>
    <sheet name="PSICOLOGA N.2" sheetId="11" r:id="rId9"/>
    <sheet name="PROMOTORA 1-2-BLANCA y otra" sheetId="5" r:id="rId10"/>
    <sheet name="NUTRICIÓN" sheetId="6" r:id="rId11"/>
    <sheet name="SALUD ORAL" sheetId="7" r:id="rId12"/>
    <sheet name="SALUD LABORAL" sheetId="8" r:id="rId13"/>
    <sheet name="TRABAJADORA SOCIAL" sheetId="14" r:id="rId14"/>
  </sheets>
  <calcPr calcId="191029"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J2" i="14" l="1"/>
  <c r="K3" i="14"/>
  <c r="K4" i="14"/>
  <c r="K2" i="14"/>
  <c r="K5" i="14"/>
  <c r="K6" i="14"/>
  <c r="K7" i="14"/>
  <c r="J7" i="8"/>
  <c r="K7" i="8"/>
  <c r="K2" i="8"/>
  <c r="K3" i="8"/>
  <c r="K4" i="8"/>
  <c r="K5" i="8"/>
  <c r="K6" i="8"/>
  <c r="K8" i="8"/>
  <c r="K9" i="8"/>
  <c r="J10" i="7"/>
  <c r="K10" i="7"/>
  <c r="K2" i="7"/>
  <c r="K3" i="7"/>
  <c r="K4" i="7"/>
  <c r="K5" i="7"/>
  <c r="K6" i="7"/>
  <c r="K7" i="7"/>
  <c r="K8" i="7"/>
  <c r="K9" i="7"/>
  <c r="K11" i="7"/>
  <c r="K12" i="7"/>
  <c r="J5" i="6"/>
  <c r="K5" i="6"/>
  <c r="K2" i="6"/>
  <c r="K3" i="6"/>
  <c r="K4" i="6"/>
  <c r="K6" i="6"/>
  <c r="K7" i="6"/>
  <c r="K8" i="6"/>
  <c r="K9" i="6"/>
  <c r="K10" i="6"/>
  <c r="K11" i="6"/>
  <c r="K12" i="6"/>
  <c r="K13" i="6"/>
  <c r="K14" i="6"/>
  <c r="K15" i="6"/>
  <c r="K16" i="6"/>
  <c r="L2" i="5"/>
  <c r="L3" i="5"/>
  <c r="L4" i="5"/>
  <c r="L5" i="5"/>
  <c r="L6" i="5"/>
  <c r="L7" i="5"/>
  <c r="L8" i="5"/>
  <c r="J5" i="4"/>
  <c r="K5" i="4"/>
  <c r="J2" i="4"/>
  <c r="K2" i="4"/>
  <c r="J3" i="4"/>
  <c r="K3" i="4"/>
  <c r="J4" i="4"/>
  <c r="K4" i="4"/>
  <c r="K6" i="4"/>
  <c r="J7" i="4"/>
  <c r="K7" i="4"/>
  <c r="K8" i="4"/>
  <c r="K9" i="4"/>
  <c r="K10" i="4"/>
  <c r="K11" i="4"/>
  <c r="O7" i="4"/>
  <c r="K5" i="2"/>
  <c r="J2" i="2"/>
  <c r="K2" i="2"/>
  <c r="J3" i="2"/>
  <c r="K3" i="2"/>
  <c r="J6" i="2"/>
  <c r="K6" i="2"/>
  <c r="K7" i="2"/>
  <c r="K8" i="2"/>
  <c r="K9" i="2"/>
  <c r="I3" i="2"/>
  <c r="I2" i="1"/>
  <c r="L2" i="1"/>
  <c r="Z3" i="1"/>
  <c r="AA3" i="1"/>
  <c r="AB3" i="1"/>
  <c r="AB4" i="1"/>
  <c r="F2" i="1"/>
  <c r="G2" i="1"/>
  <c r="J7" i="13"/>
  <c r="J6" i="13"/>
  <c r="K6" i="13"/>
  <c r="K7" i="13"/>
  <c r="H2" i="13"/>
  <c r="K2" i="13"/>
  <c r="J3" i="13"/>
  <c r="K3" i="13"/>
  <c r="J4" i="13"/>
  <c r="K4" i="13"/>
  <c r="J5" i="13"/>
  <c r="K5" i="13"/>
  <c r="K8" i="13"/>
  <c r="J9" i="13"/>
  <c r="K9" i="13"/>
  <c r="K10" i="13"/>
  <c r="F3" i="2"/>
  <c r="O3" i="2"/>
  <c r="O4" i="2"/>
  <c r="F2" i="2"/>
  <c r="O2" i="2"/>
  <c r="F13" i="6"/>
  <c r="F12" i="6"/>
  <c r="F11" i="6"/>
  <c r="F2" i="6"/>
  <c r="F9" i="11"/>
  <c r="F9" i="4"/>
  <c r="F6" i="2"/>
  <c r="F5" i="2"/>
  <c r="F3" i="13"/>
  <c r="J3" i="12"/>
  <c r="K3" i="12"/>
  <c r="M2" i="1"/>
  <c r="F8" i="1"/>
  <c r="F4" i="1"/>
  <c r="F6" i="14"/>
  <c r="F4" i="14"/>
  <c r="F3" i="14"/>
  <c r="F8" i="8"/>
  <c r="F6" i="8"/>
  <c r="F5" i="8"/>
  <c r="F3" i="8"/>
  <c r="F2" i="8"/>
  <c r="F10" i="7"/>
  <c r="F9" i="7"/>
  <c r="F7" i="7"/>
  <c r="F6" i="7"/>
  <c r="F5" i="7"/>
  <c r="F4" i="7"/>
  <c r="F3" i="7"/>
  <c r="F2" i="7"/>
  <c r="F10" i="6"/>
  <c r="G3" i="5"/>
  <c r="F15" i="6"/>
  <c r="F14" i="6"/>
  <c r="F8" i="6"/>
  <c r="F6" i="6"/>
  <c r="F5" i="6"/>
  <c r="F4" i="6"/>
  <c r="F3" i="6"/>
  <c r="F5" i="5"/>
  <c r="G5" i="5"/>
  <c r="F7" i="5"/>
  <c r="G7" i="5"/>
  <c r="G6" i="5"/>
  <c r="F4" i="5"/>
  <c r="G4" i="5"/>
  <c r="F2" i="5"/>
  <c r="G2" i="5"/>
  <c r="F2" i="13"/>
  <c r="F4" i="13"/>
  <c r="F5" i="13"/>
  <c r="F10" i="12"/>
  <c r="F9" i="12"/>
  <c r="F7" i="12"/>
  <c r="F6" i="12"/>
  <c r="F2" i="12"/>
  <c r="F14" i="1"/>
  <c r="G14" i="1"/>
  <c r="G15" i="1"/>
  <c r="F11" i="1"/>
  <c r="G11" i="1"/>
  <c r="I10" i="1"/>
  <c r="I11" i="1"/>
  <c r="F5" i="1"/>
  <c r="F6" i="1"/>
  <c r="G6" i="1"/>
  <c r="G4" i="1"/>
  <c r="F3" i="1"/>
  <c r="F7" i="1"/>
  <c r="F9" i="1"/>
  <c r="F10" i="1"/>
  <c r="F12" i="1"/>
  <c r="F13" i="1"/>
  <c r="G3" i="1"/>
  <c r="G5" i="1"/>
  <c r="G7" i="1"/>
  <c r="G8" i="1"/>
  <c r="G9" i="1"/>
  <c r="G10" i="1"/>
  <c r="G12" i="1"/>
  <c r="G13" i="1"/>
  <c r="I6" i="2"/>
  <c r="AH3" i="1"/>
  <c r="J3" i="1"/>
  <c r="J4" i="1"/>
  <c r="K3" i="1"/>
  <c r="K11" i="1"/>
  <c r="L11" i="1"/>
  <c r="K10" i="1"/>
  <c r="K8" i="1"/>
  <c r="C4" i="16"/>
  <c r="D4" i="16"/>
  <c r="F4" i="16"/>
  <c r="E4" i="16"/>
  <c r="G4" i="16"/>
  <c r="I4" i="16"/>
  <c r="K4" i="16"/>
  <c r="R6" i="1"/>
  <c r="I14" i="1"/>
  <c r="I13" i="1"/>
  <c r="I12" i="1"/>
  <c r="I9" i="1"/>
  <c r="I8" i="1"/>
  <c r="L3" i="1"/>
  <c r="M3" i="1"/>
  <c r="N3" i="1"/>
  <c r="K4" i="1"/>
  <c r="L4" i="1"/>
  <c r="M4" i="1"/>
  <c r="N4" i="1"/>
  <c r="K5" i="1"/>
  <c r="L5" i="1"/>
  <c r="M5" i="1"/>
  <c r="N5" i="1"/>
  <c r="K7" i="1"/>
  <c r="L7" i="1"/>
  <c r="M7" i="1"/>
  <c r="N7" i="1"/>
  <c r="L8" i="1"/>
  <c r="M8" i="1"/>
  <c r="N8" i="1"/>
  <c r="K9" i="1"/>
  <c r="L9" i="1"/>
  <c r="M9" i="1"/>
  <c r="N9" i="1"/>
  <c r="L10" i="1"/>
  <c r="M10" i="1"/>
  <c r="N10" i="1"/>
  <c r="M11" i="1"/>
  <c r="N11" i="1"/>
  <c r="K12" i="1"/>
  <c r="L12" i="1"/>
  <c r="M12" i="1"/>
  <c r="N12" i="1"/>
  <c r="K13" i="1"/>
  <c r="L13" i="1"/>
  <c r="M13" i="1"/>
  <c r="N13" i="1"/>
  <c r="K14" i="1"/>
  <c r="L14" i="1"/>
  <c r="M14" i="1"/>
  <c r="N14" i="1"/>
  <c r="L15" i="1"/>
  <c r="M15" i="1"/>
  <c r="N15" i="1"/>
  <c r="C21" i="16"/>
  <c r="J2" i="12"/>
  <c r="K2" i="12"/>
  <c r="L2" i="12"/>
  <c r="M2" i="12"/>
  <c r="L3" i="12"/>
  <c r="M3" i="12"/>
  <c r="J4" i="12"/>
  <c r="K4" i="12"/>
  <c r="L4" i="12"/>
  <c r="M4" i="12"/>
  <c r="J5" i="12"/>
  <c r="K5" i="12"/>
  <c r="L5" i="12"/>
  <c r="M5" i="12"/>
  <c r="J6" i="12"/>
  <c r="K6" i="12"/>
  <c r="L6" i="12"/>
  <c r="M6" i="12"/>
  <c r="J7" i="12"/>
  <c r="K7" i="12"/>
  <c r="L7" i="12"/>
  <c r="M7" i="12"/>
  <c r="J8" i="12"/>
  <c r="K8" i="12"/>
  <c r="L8" i="12"/>
  <c r="M8" i="12"/>
  <c r="K9" i="12"/>
  <c r="L9" i="12"/>
  <c r="M9" i="12"/>
  <c r="K10" i="12"/>
  <c r="L10" i="12"/>
  <c r="M10" i="12"/>
  <c r="J11" i="12"/>
  <c r="K11" i="12"/>
  <c r="L11" i="12"/>
  <c r="M11" i="12"/>
  <c r="J12" i="12"/>
  <c r="K12" i="12"/>
  <c r="L12" i="12"/>
  <c r="M12" i="12"/>
  <c r="J13" i="12"/>
  <c r="K13" i="12"/>
  <c r="L13" i="12"/>
  <c r="M13" i="12"/>
  <c r="M14" i="12"/>
  <c r="C5" i="16"/>
  <c r="D5" i="16"/>
  <c r="F5" i="16"/>
  <c r="E5" i="16"/>
  <c r="G5" i="16"/>
  <c r="I5" i="16"/>
  <c r="L2" i="13"/>
  <c r="M2" i="13"/>
  <c r="L3" i="13"/>
  <c r="M3" i="13"/>
  <c r="L4" i="13"/>
  <c r="M4" i="13"/>
  <c r="L5" i="13"/>
  <c r="M5" i="13"/>
  <c r="L6" i="13"/>
  <c r="M6" i="13"/>
  <c r="L7" i="13"/>
  <c r="M7" i="13"/>
  <c r="L8" i="13"/>
  <c r="M8" i="13"/>
  <c r="L9" i="13"/>
  <c r="M9" i="13"/>
  <c r="M10" i="13"/>
  <c r="C6" i="16"/>
  <c r="D6" i="16"/>
  <c r="F6" i="16"/>
  <c r="E6" i="16"/>
  <c r="G6" i="16"/>
  <c r="I6" i="16"/>
  <c r="L2" i="2"/>
  <c r="M2" i="2"/>
  <c r="L3" i="2"/>
  <c r="M3" i="2"/>
  <c r="L5" i="2"/>
  <c r="M5" i="2"/>
  <c r="L6" i="2"/>
  <c r="M6" i="2"/>
  <c r="M7" i="2"/>
  <c r="C7" i="16"/>
  <c r="D7" i="16"/>
  <c r="F7" i="16"/>
  <c r="E7" i="16"/>
  <c r="G7" i="16"/>
  <c r="I7" i="16"/>
  <c r="L8" i="4"/>
  <c r="M8" i="4"/>
  <c r="L2" i="4"/>
  <c r="M2" i="4"/>
  <c r="L3" i="4"/>
  <c r="M3" i="4"/>
  <c r="L4" i="4"/>
  <c r="M4" i="4"/>
  <c r="L5" i="4"/>
  <c r="M5" i="4"/>
  <c r="L6" i="4"/>
  <c r="M6" i="4"/>
  <c r="L7" i="4"/>
  <c r="M7" i="4"/>
  <c r="L9" i="4"/>
  <c r="M9" i="4"/>
  <c r="L10" i="4"/>
  <c r="M10" i="4"/>
  <c r="M11" i="4"/>
  <c r="C8" i="16"/>
  <c r="D8" i="16"/>
  <c r="F8" i="16"/>
  <c r="E8" i="16"/>
  <c r="G8" i="16"/>
  <c r="I8" i="16"/>
  <c r="J2" i="11"/>
  <c r="K2" i="11"/>
  <c r="L2" i="11"/>
  <c r="M2" i="11"/>
  <c r="J3" i="11"/>
  <c r="K3" i="11"/>
  <c r="L3" i="11"/>
  <c r="M3" i="11"/>
  <c r="K4" i="11"/>
  <c r="L4" i="11"/>
  <c r="M4" i="11"/>
  <c r="K5" i="11"/>
  <c r="L5" i="11"/>
  <c r="M5" i="11"/>
  <c r="J6" i="11"/>
  <c r="K6" i="11"/>
  <c r="L6" i="11"/>
  <c r="M6" i="11"/>
  <c r="J7" i="11"/>
  <c r="K7" i="11"/>
  <c r="L7" i="11"/>
  <c r="M7" i="11"/>
  <c r="J8" i="11"/>
  <c r="K8" i="11"/>
  <c r="L8" i="11"/>
  <c r="M8" i="11"/>
  <c r="J9" i="11"/>
  <c r="K9" i="11"/>
  <c r="L9" i="11"/>
  <c r="M9" i="11"/>
  <c r="K10" i="11"/>
  <c r="L10" i="11"/>
  <c r="M10" i="11"/>
  <c r="M11" i="11"/>
  <c r="C9" i="16"/>
  <c r="D9" i="16"/>
  <c r="F9" i="16"/>
  <c r="E9" i="16"/>
  <c r="G9" i="16"/>
  <c r="I9" i="16"/>
  <c r="C10" i="16"/>
  <c r="D10" i="16"/>
  <c r="F10" i="16"/>
  <c r="E10" i="16"/>
  <c r="G10" i="16"/>
  <c r="I10" i="16"/>
  <c r="L2" i="6"/>
  <c r="M2" i="6"/>
  <c r="L3" i="6"/>
  <c r="M3" i="6"/>
  <c r="L4" i="6"/>
  <c r="M4" i="6"/>
  <c r="L5" i="6"/>
  <c r="M5" i="6"/>
  <c r="L6" i="6"/>
  <c r="M6" i="6"/>
  <c r="L7" i="6"/>
  <c r="M7" i="6"/>
  <c r="L8" i="6"/>
  <c r="M8" i="6"/>
  <c r="L9" i="6"/>
  <c r="M9" i="6"/>
  <c r="L10" i="6"/>
  <c r="M10" i="6"/>
  <c r="L11" i="6"/>
  <c r="M11" i="6"/>
  <c r="L12" i="6"/>
  <c r="M12" i="6"/>
  <c r="L13" i="6"/>
  <c r="M13" i="6"/>
  <c r="L14" i="6"/>
  <c r="M14" i="6"/>
  <c r="L15" i="6"/>
  <c r="M15" i="6"/>
  <c r="M16" i="6"/>
  <c r="C11" i="16"/>
  <c r="D11" i="16"/>
  <c r="F11" i="16"/>
  <c r="E11" i="16"/>
  <c r="G11" i="16"/>
  <c r="I11" i="16"/>
  <c r="L2" i="7"/>
  <c r="M2" i="7"/>
  <c r="L3" i="7"/>
  <c r="M3" i="7"/>
  <c r="L4" i="7"/>
  <c r="M4" i="7"/>
  <c r="L5" i="7"/>
  <c r="M5" i="7"/>
  <c r="L6" i="7"/>
  <c r="M6" i="7"/>
  <c r="L7" i="7"/>
  <c r="M7" i="7"/>
  <c r="L8" i="7"/>
  <c r="M8" i="7"/>
  <c r="L9" i="7"/>
  <c r="M9" i="7"/>
  <c r="L10" i="7"/>
  <c r="M10" i="7"/>
  <c r="L11" i="7"/>
  <c r="M11" i="7"/>
  <c r="M12" i="7"/>
  <c r="C12" i="16"/>
  <c r="D12" i="16"/>
  <c r="F12" i="16"/>
  <c r="E12" i="16"/>
  <c r="G12" i="16"/>
  <c r="I12" i="16"/>
  <c r="L2" i="8"/>
  <c r="M2" i="8"/>
  <c r="L3" i="8"/>
  <c r="M3" i="8"/>
  <c r="L4" i="8"/>
  <c r="M4" i="8"/>
  <c r="L5" i="8"/>
  <c r="M5" i="8"/>
  <c r="L6" i="8"/>
  <c r="M6" i="8"/>
  <c r="L7" i="8"/>
  <c r="M7" i="8"/>
  <c r="L8" i="8"/>
  <c r="M8" i="8"/>
  <c r="M9" i="8"/>
  <c r="C13" i="16"/>
  <c r="D13" i="16"/>
  <c r="F13" i="16"/>
  <c r="E13" i="16"/>
  <c r="G13" i="16"/>
  <c r="I13" i="16"/>
  <c r="L2" i="14"/>
  <c r="M2" i="14"/>
  <c r="L3" i="14"/>
  <c r="M3" i="14"/>
  <c r="L4" i="14"/>
  <c r="M4" i="14"/>
  <c r="L5" i="14"/>
  <c r="M5" i="14"/>
  <c r="L6" i="14"/>
  <c r="M6" i="14"/>
  <c r="M7" i="14"/>
  <c r="C14" i="16"/>
  <c r="D14" i="16"/>
  <c r="F14" i="16"/>
  <c r="E14" i="16"/>
  <c r="G14" i="16"/>
  <c r="I14" i="16"/>
  <c r="Z2" i="1"/>
  <c r="AA2" i="1"/>
  <c r="AB2" i="1"/>
  <c r="L9" i="8"/>
  <c r="L12" i="7"/>
  <c r="L16" i="6"/>
  <c r="L7" i="14"/>
  <c r="M4" i="5"/>
  <c r="M5" i="5"/>
  <c r="M7" i="5"/>
  <c r="M2" i="5"/>
  <c r="M3" i="5"/>
  <c r="M6" i="5"/>
  <c r="M8" i="5"/>
  <c r="N4" i="5"/>
  <c r="N5" i="5"/>
  <c r="N7" i="5"/>
  <c r="N2" i="5"/>
  <c r="N3" i="5"/>
  <c r="N6" i="5"/>
  <c r="N8" i="5"/>
  <c r="L11" i="11"/>
  <c r="K11" i="11"/>
  <c r="L11" i="4"/>
  <c r="L10" i="13"/>
  <c r="L14" i="12"/>
  <c r="K14" i="12"/>
  <c r="N2" i="1"/>
  <c r="I5" i="2"/>
  <c r="D7" i="18"/>
  <c r="C13" i="19"/>
  <c r="D13" i="19"/>
  <c r="C14" i="19"/>
  <c r="C15" i="19"/>
  <c r="D15" i="19"/>
  <c r="B14" i="19"/>
  <c r="B13" i="19"/>
  <c r="K9" i="16"/>
  <c r="K11" i="16"/>
  <c r="H15" i="16"/>
  <c r="B19" i="16"/>
  <c r="J11" i="16"/>
  <c r="K14" i="16"/>
  <c r="J14" i="16"/>
  <c r="J9" i="16"/>
  <c r="K13" i="16"/>
  <c r="J13" i="16"/>
  <c r="J12" i="16"/>
  <c r="K12" i="16"/>
  <c r="J10" i="16"/>
  <c r="K10" i="16"/>
  <c r="K5" i="16"/>
  <c r="J5" i="16"/>
  <c r="J8" i="16"/>
  <c r="K8" i="16"/>
  <c r="J6" i="16"/>
  <c r="K6" i="16"/>
  <c r="J4" i="16"/>
  <c r="J7" i="16"/>
  <c r="J15" i="16"/>
  <c r="K7" i="16"/>
  <c r="K15" i="16"/>
  <c r="L7" i="2"/>
  <c r="I15" i="16"/>
  <c r="K6" i="1"/>
  <c r="L6" i="1"/>
  <c r="M6" i="1"/>
  <c r="N6" i="1"/>
  <c r="N16" i="1"/>
  <c r="L16" i="1"/>
  <c r="L17" i="1"/>
  <c r="L18" i="1"/>
  <c r="M1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2" authorId="0" shapeId="0" xr:uid="{00000000-0006-0000-0300-000001000000}">
      <text>
        <r>
          <rPr>
            <b/>
            <sz val="9"/>
            <color indexed="81"/>
            <rFont val="Tahoma"/>
            <charset val="1"/>
          </rPr>
          <t>Erika Mayerly Pedroza Sanchez:</t>
        </r>
        <r>
          <rPr>
            <sz val="9"/>
            <color indexed="81"/>
            <rFont val="Tahoma"/>
            <charset val="1"/>
          </rPr>
          <t xml:space="preserve">
Revisar si va dejra 40 familias mensuales 0 50</t>
        </r>
      </text>
    </comment>
    <comment ref="J2" authorId="0" shapeId="0" xr:uid="{00000000-0006-0000-0300-000002000000}">
      <text>
        <r>
          <rPr>
            <b/>
            <sz val="9"/>
            <color indexed="81"/>
            <rFont val="Tahoma"/>
            <charset val="1"/>
          </rPr>
          <t>Erika Mayerly Pedroza Sanchez:</t>
        </r>
        <r>
          <rPr>
            <sz val="9"/>
            <color indexed="81"/>
            <rFont val="Tahoma"/>
            <charset val="1"/>
          </rPr>
          <t xml:space="preserve">
DIVIDE X 9 AUXILIARES * 8 
MESES PERO EN CUADRO RESUMEN SON 8 MESES??
</t>
        </r>
      </text>
    </comment>
    <comment ref="C3" authorId="0" shapeId="0" xr:uid="{00000000-0006-0000-0300-000003000000}">
      <text>
        <r>
          <rPr>
            <b/>
            <sz val="9"/>
            <color indexed="81"/>
            <rFont val="Tahoma"/>
            <charset val="1"/>
          </rPr>
          <t>Erika Mayerly Pedroza Sanchez:</t>
        </r>
        <r>
          <rPr>
            <sz val="9"/>
            <color indexed="81"/>
            <rFont val="Tahoma"/>
            <charset val="1"/>
          </rPr>
          <t xml:space="preserve">
Revise santidad todal de planes de cuidado mensual por auxilair y total</t>
        </r>
      </text>
    </comment>
    <comment ref="C5" authorId="0" shapeId="0" xr:uid="{00000000-0006-0000-0300-000004000000}">
      <text>
        <r>
          <rPr>
            <b/>
            <sz val="9"/>
            <color indexed="81"/>
            <rFont val="Tahoma"/>
            <charset val="1"/>
          </rPr>
          <t>Erika Mayerly Pedroza Sanchez:</t>
        </r>
        <r>
          <rPr>
            <sz val="9"/>
            <color indexed="81"/>
            <rFont val="Tahoma"/>
            <charset val="1"/>
          </rPr>
          <t xml:space="preserve">
se sugiere dejar mensualmente </t>
        </r>
      </text>
    </comment>
    <comment ref="C6" authorId="0" shapeId="0" xr:uid="{00000000-0006-0000-0300-000005000000}">
      <text>
        <r>
          <rPr>
            <b/>
            <sz val="9"/>
            <color indexed="81"/>
            <rFont val="Tahoma"/>
            <charset val="1"/>
          </rPr>
          <t>Erika Mayerly Pedroza Sanchez:</t>
        </r>
        <r>
          <rPr>
            <sz val="9"/>
            <color indexed="81"/>
            <rFont val="Tahoma"/>
            <charset val="1"/>
          </rPr>
          <t xml:space="preserve">
se suguiere dejar mensualmente y población en geenral</t>
        </r>
      </text>
    </comment>
    <comment ref="C7" authorId="0" shapeId="0" xr:uid="{00000000-0006-0000-0300-000006000000}">
      <text>
        <r>
          <rPr>
            <b/>
            <sz val="9"/>
            <color indexed="81"/>
            <rFont val="Tahoma"/>
            <charset val="1"/>
          </rPr>
          <t>Erika Mayerly Pedroza Sanchez:</t>
        </r>
        <r>
          <rPr>
            <sz val="9"/>
            <color indexed="81"/>
            <rFont val="Tahoma"/>
            <charset val="1"/>
          </rPr>
          <t xml:space="preserve">
se sugiere dejar mensualmente</t>
        </r>
      </text>
    </comment>
    <comment ref="C8" authorId="0" shapeId="0" xr:uid="{00000000-0006-0000-0300-000007000000}">
      <text>
        <r>
          <rPr>
            <b/>
            <sz val="9"/>
            <color indexed="81"/>
            <rFont val="Tahoma"/>
            <charset val="1"/>
          </rPr>
          <t>Erika Mayerly Pedroza Sanchez:</t>
        </r>
        <r>
          <rPr>
            <sz val="9"/>
            <color indexed="81"/>
            <rFont val="Tahoma"/>
            <charset val="1"/>
          </rPr>
          <t xml:space="preserve">
Se Sugiere dejar mensualmente por lo menos 5 canlizadas y efectivas mensualmente </t>
        </r>
      </text>
    </comment>
    <comment ref="I8" authorId="0" shapeId="0" xr:uid="{00000000-0006-0000-0300-000008000000}">
      <text>
        <r>
          <rPr>
            <b/>
            <sz val="9"/>
            <color indexed="81"/>
            <rFont val="Tahoma"/>
            <charset val="1"/>
          </rPr>
          <t>Erika Mayerly Pedroza Sanchez:</t>
        </r>
        <r>
          <rPr>
            <sz val="9"/>
            <color indexed="81"/>
            <rFont val="Tahoma"/>
            <charset val="1"/>
          </rPr>
          <t xml:space="preserve">
EL TOTAL 117 Y POR MESES 563, NO CONCUERDA O ES AL CONTRARIO?</t>
        </r>
      </text>
    </comment>
    <comment ref="C9" authorId="0" shapeId="0" xr:uid="{00000000-0006-0000-0300-000009000000}">
      <text>
        <r>
          <rPr>
            <b/>
            <sz val="9"/>
            <color indexed="81"/>
            <rFont val="Tahoma"/>
            <charset val="1"/>
          </rPr>
          <t>Erika Mayerly Pedroza Sanchez:</t>
        </r>
        <r>
          <rPr>
            <sz val="9"/>
            <color indexed="81"/>
            <rFont val="Tahoma"/>
            <charset val="1"/>
          </rPr>
          <t xml:space="preserve">
Se Sugiere dejar mensualmente por lo menos 5 canlizadas y efectivas mensualmente
</t>
        </r>
      </text>
    </comment>
    <comment ref="C10" authorId="0" shapeId="0" xr:uid="{00000000-0006-0000-0300-00000A000000}">
      <text>
        <r>
          <rPr>
            <b/>
            <sz val="9"/>
            <color indexed="81"/>
            <rFont val="Tahoma"/>
            <charset val="1"/>
          </rPr>
          <t>Erika Mayerly Pedroza Sanchez:</t>
        </r>
        <r>
          <rPr>
            <sz val="9"/>
            <color indexed="81"/>
            <rFont val="Tahoma"/>
            <charset val="1"/>
          </rPr>
          <t xml:space="preserve">
Se Sugiere dejar mensualmente por lo menos 10 canlizados y efectivas mensualmente</t>
        </r>
      </text>
    </comment>
    <comment ref="C11" authorId="0" shapeId="0" xr:uid="{00000000-0006-0000-0300-00000B000000}">
      <text>
        <r>
          <rPr>
            <b/>
            <sz val="9"/>
            <color indexed="81"/>
            <rFont val="Tahoma"/>
            <charset val="1"/>
          </rPr>
          <t>Erika Mayerly Pedroza Sanchez:</t>
        </r>
        <r>
          <rPr>
            <sz val="9"/>
            <color indexed="81"/>
            <rFont val="Tahoma"/>
            <charset val="1"/>
          </rPr>
          <t xml:space="preserve">
deben definir cuantos AIEPI , mensuales por Auxiliar teniendo en cuenta la población objeto que esta por sisben en el municipio</t>
        </r>
      </text>
    </comment>
    <comment ref="C12" authorId="0" shapeId="0" xr:uid="{00000000-0006-0000-0300-00000C000000}">
      <text>
        <r>
          <rPr>
            <b/>
            <sz val="9"/>
            <color indexed="81"/>
            <rFont val="Tahoma"/>
            <charset val="1"/>
          </rPr>
          <t>Erika Mayerly Pedroza Sanchez:</t>
        </r>
        <r>
          <rPr>
            <sz val="9"/>
            <color indexed="81"/>
            <rFont val="Tahoma"/>
            <charset val="1"/>
          </rPr>
          <t xml:space="preserve">
se suguiere dejar mensual por que no se sabe cuantas gestantes en total hay </t>
        </r>
      </text>
    </comment>
    <comment ref="C15" authorId="0" shapeId="0" xr:uid="{00000000-0006-0000-0300-00000D000000}">
      <text>
        <r>
          <rPr>
            <b/>
            <sz val="9"/>
            <color indexed="81"/>
            <rFont val="Tahoma"/>
            <charset val="1"/>
          </rPr>
          <t>Erika Mayerly Pedroza Sanchez                       definir cuantas jornadas mensuales  debe apoyar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10" authorId="0" shapeId="0" xr:uid="{00000000-0006-0000-0400-000001000000}">
      <text>
        <r>
          <rPr>
            <b/>
            <sz val="9"/>
            <color indexed="81"/>
            <rFont val="Tahoma"/>
            <charset val="1"/>
          </rPr>
          <t>Erika Mayerly Pedroza Sanchez:</t>
        </r>
        <r>
          <rPr>
            <sz val="9"/>
            <color indexed="81"/>
            <rFont val="Tahoma"/>
            <charset val="1"/>
          </rPr>
          <t xml:space="preserve">
se sugiere dejar mensualmente a demnada no definiria cantidad, odefina cuantas durante el contrato 1/2/3/4...</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2" authorId="0" shapeId="0" xr:uid="{00000000-0006-0000-0500-000001000000}">
      <text>
        <r>
          <rPr>
            <b/>
            <sz val="9"/>
            <color indexed="81"/>
            <rFont val="Tahoma"/>
            <charset val="1"/>
          </rPr>
          <t>Erika Mayerly Pedroza Sanchez:</t>
        </r>
        <r>
          <rPr>
            <sz val="9"/>
            <color indexed="81"/>
            <rFont val="Tahoma"/>
            <charset val="1"/>
          </rPr>
          <t xml:space="preserve">
se sugiere dejar nensualmente a demanda</t>
        </r>
      </text>
    </comment>
    <comment ref="I2" authorId="0" shapeId="0" xr:uid="{00000000-0006-0000-0500-000002000000}">
      <text>
        <r>
          <rPr>
            <b/>
            <sz val="9"/>
            <color indexed="81"/>
            <rFont val="Tahoma"/>
            <charset val="1"/>
          </rPr>
          <t>Erika Mayerly Pedroza Sanchez:</t>
        </r>
        <r>
          <rPr>
            <sz val="9"/>
            <color indexed="81"/>
            <rFont val="Tahoma"/>
            <charset val="1"/>
          </rPr>
          <t xml:space="preserve">
CUANTAS MENSUALES   56??? TOTAL 504 ATIVIDADES</t>
        </r>
      </text>
    </comment>
    <comment ref="I3" authorId="0" shapeId="0" xr:uid="{00000000-0006-0000-0500-000003000000}">
      <text>
        <r>
          <rPr>
            <b/>
            <sz val="9"/>
            <color indexed="81"/>
            <rFont val="Tahoma"/>
            <charset val="1"/>
          </rPr>
          <t>Erika Mayerly Pedroza Sanchez:</t>
        </r>
        <r>
          <rPr>
            <sz val="9"/>
            <color indexed="81"/>
            <rFont val="Tahoma"/>
            <charset val="1"/>
          </rPr>
          <t xml:space="preserve">
CUANTAS MENSUALES   9 ???? TOTAL 80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2" authorId="0" shapeId="0" xr:uid="{00000000-0006-0000-0600-000001000000}">
      <text>
        <r>
          <rPr>
            <b/>
            <sz val="9"/>
            <color indexed="81"/>
            <rFont val="Tahoma"/>
            <charset val="1"/>
          </rPr>
          <t>Erika Mayerly Pedroza Sanchez:</t>
        </r>
        <r>
          <rPr>
            <sz val="9"/>
            <color indexed="81"/>
            <rFont val="Tahoma"/>
            <charset val="1"/>
          </rPr>
          <t xml:space="preserve">
 se ajusta cantidad total</t>
        </r>
      </text>
    </comment>
    <comment ref="I2" authorId="0" shapeId="0" xr:uid="{00000000-0006-0000-0600-000002000000}">
      <text>
        <r>
          <rPr>
            <b/>
            <sz val="9"/>
            <color indexed="81"/>
            <rFont val="Tahoma"/>
            <charset val="1"/>
          </rPr>
          <t>Erika Mayerly Pedroza Sanchez:</t>
        </r>
        <r>
          <rPr>
            <sz val="9"/>
            <color indexed="81"/>
            <rFont val="Tahoma"/>
            <charset val="1"/>
          </rPr>
          <t xml:space="preserve">
DEFINIR SON  8 MENSUALES PARA UN TOTAL DE 105 ???? O 8 EN TOTAL ?????</t>
        </r>
      </text>
    </comment>
    <comment ref="C3" authorId="0" shapeId="0" xr:uid="{00000000-0006-0000-0600-000003000000}">
      <text>
        <r>
          <rPr>
            <b/>
            <sz val="9"/>
            <color indexed="81"/>
            <rFont val="Tahoma"/>
            <charset val="1"/>
          </rPr>
          <t>Erika Mayerly Pedroza Sanchez:</t>
        </r>
        <r>
          <rPr>
            <sz val="9"/>
            <color indexed="81"/>
            <rFont val="Tahoma"/>
            <charset val="1"/>
          </rPr>
          <t xml:space="preserve">
es la misma actividad de las jesfe GR  se ajusta cantidad total</t>
        </r>
      </text>
    </comment>
    <comment ref="C4" authorId="0" shapeId="0" xr:uid="{00000000-0006-0000-0600-000004000000}">
      <text>
        <r>
          <rPr>
            <b/>
            <sz val="9"/>
            <color indexed="81"/>
            <rFont val="Tahoma"/>
            <charset val="1"/>
          </rPr>
          <t>Erika Mayerly Pedroza Sanchez:</t>
        </r>
        <r>
          <rPr>
            <sz val="9"/>
            <color indexed="81"/>
            <rFont val="Tahoma"/>
            <charset val="1"/>
          </rPr>
          <t xml:space="preserve">
es la misma actividad de las jesfe GR se ajusta cantidad total</t>
        </r>
      </text>
    </comment>
    <comment ref="C5" authorId="0" shapeId="0" xr:uid="{00000000-0006-0000-0600-000005000000}">
      <text>
        <r>
          <rPr>
            <b/>
            <sz val="9"/>
            <color indexed="81"/>
            <rFont val="Tahoma"/>
            <charset val="1"/>
          </rPr>
          <t>Erika Mayerly Pedroza Sanchez:</t>
        </r>
        <r>
          <rPr>
            <sz val="9"/>
            <color indexed="81"/>
            <rFont val="Tahoma"/>
            <charset val="1"/>
          </rPr>
          <t xml:space="preserve">
DEFINIR CUANTAS MENSUALES O DURANTE EL CONTRATO?</t>
        </r>
      </text>
    </comment>
    <comment ref="C6" authorId="0" shapeId="0" xr:uid="{00000000-0006-0000-0600-000006000000}">
      <text>
        <r>
          <rPr>
            <b/>
            <sz val="9"/>
            <color indexed="81"/>
            <rFont val="Tahoma"/>
            <charset val="1"/>
          </rPr>
          <t>Erika Mayerly Pedroza Sanchez:</t>
        </r>
        <r>
          <rPr>
            <sz val="9"/>
            <color indexed="81"/>
            <rFont val="Tahoma"/>
            <charset val="1"/>
          </rPr>
          <t xml:space="preserve">
DEFINIR 250 MENSUALES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3" authorId="0" shapeId="0" xr:uid="{00000000-0006-0000-0700-000001000000}">
      <text>
        <r>
          <rPr>
            <b/>
            <sz val="9"/>
            <color indexed="81"/>
            <rFont val="Tahoma"/>
            <charset val="1"/>
          </rPr>
          <t>Erika Mayerly Pedroza Sanchez:</t>
        </r>
        <r>
          <rPr>
            <sz val="9"/>
            <color indexed="81"/>
            <rFont val="Tahoma"/>
            <charset val="1"/>
          </rPr>
          <t xml:space="preserve">
REVISAR NO ES COHERENTE QUE DICE UNA TRIMESTRAL TOTAL 8 VEREDAS???  SERIAN 4 DEFINA SI SON 8 VEREDAS SON 1 MENSUAL NO TRIMESTRAL  CON TOTAL ??
</t>
        </r>
      </text>
    </comment>
    <comment ref="C4" authorId="0" shapeId="0" xr:uid="{00000000-0006-0000-0700-000002000000}">
      <text>
        <r>
          <rPr>
            <b/>
            <sz val="9"/>
            <color indexed="81"/>
            <rFont val="Tahoma"/>
            <charset val="1"/>
          </rPr>
          <t>Erika Mayerly Pedroza Sanchez:</t>
        </r>
        <r>
          <rPr>
            <sz val="9"/>
            <color indexed="81"/>
            <rFont val="Tahoma"/>
            <charset val="1"/>
          </rPr>
          <t xml:space="preserve">
REVISAR NO ES COHERENTE QUE DICE UNA TRIMESTRAL TOTAL 8 VEREDAS???  SERIAN 4 DEFINA SI SON 8 VEREDAS SON 1 MENSUAL NO TRIMESTRAL ??</t>
        </r>
      </text>
    </comment>
    <comment ref="C5" authorId="0" shapeId="0" xr:uid="{00000000-0006-0000-0700-000003000000}">
      <text>
        <r>
          <rPr>
            <b/>
            <sz val="9"/>
            <color indexed="81"/>
            <rFont val="Tahoma"/>
            <charset val="1"/>
          </rPr>
          <t>Erika Mayerly Pedroza Sanchez:</t>
        </r>
        <r>
          <rPr>
            <sz val="9"/>
            <color indexed="81"/>
            <rFont val="Tahoma"/>
            <charset val="1"/>
          </rPr>
          <t xml:space="preserve">
REVISAR NO ES COHERENTE QUE DICE UNA TRIMESTRAL TOTAL 8 VEREDAS???  SERIAN 4 DEFINA SI SON 8 VEREDAS SON 1 MENSUAL NO TRIMESTRAL ??</t>
        </r>
      </text>
    </comment>
    <comment ref="C7" authorId="0" shapeId="0" xr:uid="{00000000-0006-0000-0700-000004000000}">
      <text>
        <r>
          <rPr>
            <b/>
            <sz val="9"/>
            <color indexed="81"/>
            <rFont val="Tahoma"/>
            <charset val="1"/>
          </rPr>
          <t>Erika Mayerly Pedroza Sanchez:</t>
        </r>
        <r>
          <rPr>
            <sz val="9"/>
            <color indexed="81"/>
            <rFont val="Tahoma"/>
            <charset val="1"/>
          </rPr>
          <t xml:space="preserve">
REVISAR DICE 1 MENSUAL TOTAL 275??? CUANTAS VA DEJAR</t>
        </r>
      </text>
    </comment>
    <comment ref="C9" authorId="0" shapeId="0" xr:uid="{00000000-0006-0000-0700-000005000000}">
      <text>
        <r>
          <rPr>
            <b/>
            <sz val="9"/>
            <color indexed="81"/>
            <rFont val="Tahoma"/>
            <charset val="1"/>
          </rPr>
          <t>Erika Mayerly Pedroza Sanchez:</t>
        </r>
        <r>
          <rPr>
            <sz val="9"/>
            <color indexed="81"/>
            <rFont val="Tahoma"/>
            <charset val="1"/>
          </rPr>
          <t xml:space="preserve">
SE AJUSTA A 280 POR CANTIDAD EN MESES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6" authorId="0" shapeId="0" xr:uid="{00000000-0006-0000-0800-000001000000}">
      <text>
        <r>
          <rPr>
            <b/>
            <sz val="9"/>
            <color indexed="81"/>
            <rFont val="Tahoma"/>
            <charset val="1"/>
          </rPr>
          <t>Erika Mayerly Pedroza Sanchez:</t>
        </r>
        <r>
          <rPr>
            <sz val="9"/>
            <color indexed="81"/>
            <rFont val="Tahoma"/>
            <charset val="1"/>
          </rPr>
          <t xml:space="preserve">
REVISAR NO ES COHERENTE QUE DICE UNA TRIMESTRAL TOTAL 8 VEREDAS???  SERIAN 4 DEFINA SI SON 8 VEREDAS SON 1 MENSUAL NO TRIMESTRAL ??</t>
        </r>
      </text>
    </comment>
    <comment ref="C7" authorId="0" shapeId="0" xr:uid="{00000000-0006-0000-0800-000002000000}">
      <text>
        <r>
          <rPr>
            <b/>
            <sz val="9"/>
            <color indexed="81"/>
            <rFont val="Tahoma"/>
            <charset val="1"/>
          </rPr>
          <t>Erika Mayerly Pedroza Sanchez:</t>
        </r>
        <r>
          <rPr>
            <sz val="9"/>
            <color indexed="81"/>
            <rFont val="Tahoma"/>
            <charset val="1"/>
          </rPr>
          <t xml:space="preserve">
REVISAR NO ES COHERENTE QUE DICE UNA TRIMESTRAL TOTAL 8 VEREDAS???  SERIAN 4 DEFINA SI SON 8 VEREDAS SON 1 MENSUAL NO TRIMESTRAL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2" authorId="0" shapeId="0" xr:uid="{00000000-0006-0000-0900-000001000000}">
      <text>
        <r>
          <rPr>
            <b/>
            <sz val="9"/>
            <color indexed="81"/>
            <rFont val="Tahoma"/>
            <charset val="1"/>
          </rPr>
          <t>Erika Mayerly Pedroza Sanchez:</t>
        </r>
        <r>
          <rPr>
            <sz val="9"/>
            <color indexed="81"/>
            <rFont val="Tahoma"/>
            <charset val="1"/>
          </rPr>
          <t xml:space="preserve">
SE DEJA COMO SUGERENCIA UNIFICAR ESTOS PERFILES  DE PROMOTAS CON LAS AUXILIARES NORMALES , Y REVISAR Y AJUSTAR  ACTIVIDADES  YA QUE DEBEN SER ACTIVIDADES DE PROMOCIÓN , PREVENCION Y GETSION DEL RIESGO</t>
        </r>
      </text>
    </comment>
    <comment ref="C4" authorId="0" shapeId="0" xr:uid="{00000000-0006-0000-0900-000002000000}">
      <text>
        <r>
          <rPr>
            <b/>
            <sz val="9"/>
            <color indexed="81"/>
            <rFont val="Tahoma"/>
            <charset val="1"/>
          </rPr>
          <t>Erika Mayerly Pedroza Sanchez:</t>
        </r>
        <r>
          <rPr>
            <sz val="9"/>
            <color indexed="81"/>
            <rFont val="Tahoma"/>
            <charset val="1"/>
          </rPr>
          <t xml:space="preserve">
ACTIVIDADES DE AUXILIAR DE GESTION OJO</t>
        </r>
      </text>
    </comment>
    <comment ref="C5" authorId="0" shapeId="0" xr:uid="{00000000-0006-0000-0900-000003000000}">
      <text>
        <r>
          <rPr>
            <b/>
            <sz val="9"/>
            <color indexed="81"/>
            <rFont val="Tahoma"/>
            <charset val="1"/>
          </rPr>
          <t>Erika Mayerly Pedroza Sanchez:</t>
        </r>
        <r>
          <rPr>
            <sz val="9"/>
            <color indexed="81"/>
            <rFont val="Tahoma"/>
            <charset val="1"/>
          </rPr>
          <t xml:space="preserve">
ACTIVIDADES DE AUXILIAR DE GESTION OJO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1" authorId="0" shapeId="0" xr:uid="{00000000-0006-0000-0A00-000001000000}">
      <text>
        <r>
          <rPr>
            <b/>
            <sz val="9"/>
            <color indexed="81"/>
            <rFont val="Tahoma"/>
            <charset val="1"/>
          </rPr>
          <t>Erika Mayerly Pedroza Sanchez:</t>
        </r>
        <r>
          <rPr>
            <sz val="9"/>
            <color indexed="81"/>
            <rFont val="Tahoma"/>
            <charset val="1"/>
          </rPr>
          <t xml:space="preserve">
REVISAR Y DEFINIR CANTIDAD </t>
        </r>
      </text>
    </comment>
    <comment ref="C2" authorId="0" shapeId="0" xr:uid="{00000000-0006-0000-0A00-000002000000}">
      <text>
        <r>
          <rPr>
            <b/>
            <sz val="9"/>
            <color indexed="81"/>
            <rFont val="Tahoma"/>
            <charset val="1"/>
          </rPr>
          <t>Erika Mayerly Pedroza Sanchez:</t>
        </r>
        <r>
          <rPr>
            <sz val="9"/>
            <color indexed="81"/>
            <rFont val="Tahoma"/>
            <charset val="1"/>
          </rPr>
          <t xml:space="preserve">
REVISAR Y DEFINIR CANTIDAD  YA QUE NO CONCUERDA 5/10</t>
        </r>
      </text>
    </comment>
    <comment ref="C3" authorId="0" shapeId="0" xr:uid="{00000000-0006-0000-0A00-000003000000}">
      <text>
        <r>
          <rPr>
            <b/>
            <sz val="9"/>
            <color indexed="81"/>
            <rFont val="Tahoma"/>
            <charset val="1"/>
          </rPr>
          <t>Erika Mayerly Pedroza Sanchez:</t>
        </r>
        <r>
          <rPr>
            <sz val="9"/>
            <color indexed="81"/>
            <rFont val="Tahoma"/>
            <charset val="1"/>
          </rPr>
          <t xml:space="preserve">
REVISAR Y DEFINIR CANTIDAD  YA QUE NO CONCUERDA 5/10</t>
        </r>
      </text>
    </comment>
    <comment ref="C4" authorId="0" shapeId="0" xr:uid="{00000000-0006-0000-0A00-000004000000}">
      <text>
        <r>
          <rPr>
            <b/>
            <sz val="9"/>
            <color indexed="81"/>
            <rFont val="Tahoma"/>
            <charset val="1"/>
          </rPr>
          <t>Erika Mayerly Pedroza Sanchez:</t>
        </r>
        <r>
          <rPr>
            <sz val="9"/>
            <color indexed="81"/>
            <rFont val="Tahoma"/>
            <charset val="1"/>
          </rPr>
          <t xml:space="preserve">
REVISAR Y DEFINIR CANTIDAD  YA QUE NO CONCUERDA 5/10</t>
        </r>
      </text>
    </comment>
    <comment ref="C5" authorId="0" shapeId="0" xr:uid="{00000000-0006-0000-0A00-000005000000}">
      <text>
        <r>
          <rPr>
            <b/>
            <sz val="9"/>
            <color indexed="81"/>
            <rFont val="Tahoma"/>
            <charset val="1"/>
          </rPr>
          <t>Erika Mayerly Pedroza Sanchez:</t>
        </r>
        <r>
          <rPr>
            <sz val="9"/>
            <color indexed="81"/>
            <rFont val="Tahoma"/>
            <charset val="1"/>
          </rPr>
          <t xml:space="preserve">
REVISAR Y DEFINIR CANTIDAD  YA QUE NO CONCUERDA 5/10</t>
        </r>
      </text>
    </comment>
    <comment ref="C6" authorId="0" shapeId="0" xr:uid="{00000000-0006-0000-0A00-000006000000}">
      <text>
        <r>
          <rPr>
            <b/>
            <sz val="9"/>
            <color indexed="81"/>
            <rFont val="Tahoma"/>
            <charset val="1"/>
          </rPr>
          <t>Erika Mayerly Pedroza Sanchez:</t>
        </r>
        <r>
          <rPr>
            <sz val="9"/>
            <color indexed="81"/>
            <rFont val="Tahoma"/>
            <charset val="1"/>
          </rPr>
          <t xml:space="preserve">
REVISAR Y DEFINIR CANTIDAD  YA QUE NO CONCUERDA 5/10</t>
        </r>
      </text>
    </comment>
    <comment ref="C8" authorId="0" shapeId="0" xr:uid="{00000000-0006-0000-0A00-000007000000}">
      <text>
        <r>
          <rPr>
            <b/>
            <sz val="9"/>
            <color indexed="81"/>
            <rFont val="Tahoma"/>
            <charset val="1"/>
          </rPr>
          <t>Erika Mayerly Pedroza Sanchez:</t>
        </r>
        <r>
          <rPr>
            <sz val="9"/>
            <color indexed="81"/>
            <rFont val="Tahoma"/>
            <charset val="1"/>
          </rPr>
          <t xml:space="preserve">
REVISAR CANTIDAD  100 O 150</t>
        </r>
      </text>
    </comment>
    <comment ref="C10" authorId="0" shapeId="0" xr:uid="{00000000-0006-0000-0A00-000008000000}">
      <text>
        <r>
          <rPr>
            <b/>
            <sz val="9"/>
            <color indexed="81"/>
            <rFont val="Tahoma"/>
            <charset val="1"/>
          </rPr>
          <t>Erika Mayerly Pedroza Sanchez:</t>
        </r>
        <r>
          <rPr>
            <sz val="9"/>
            <color indexed="81"/>
            <rFont val="Tahoma"/>
            <charset val="1"/>
          </rPr>
          <t xml:space="preserve">
DEFINA CANTIDAD TOTAL SI ES DOS POR QUE SUMA 3 TOTAL??</t>
        </r>
      </text>
    </comment>
    <comment ref="C11" authorId="0" shapeId="0" xr:uid="{00000000-0006-0000-0A00-000009000000}">
      <text>
        <r>
          <rPr>
            <b/>
            <sz val="9"/>
            <color indexed="81"/>
            <rFont val="Tahoma"/>
            <charset val="1"/>
          </rPr>
          <t>Erika Mayerly Pedroza Sanchez:</t>
        </r>
        <r>
          <rPr>
            <sz val="9"/>
            <color indexed="81"/>
            <rFont val="Tahoma"/>
            <charset val="1"/>
          </rPr>
          <t xml:space="preserve">
SE SUGIERE DEJAR UNA MENSUAL</t>
        </r>
      </text>
    </comment>
    <comment ref="C13" authorId="0" shapeId="0" xr:uid="{00000000-0006-0000-0A00-00000A000000}">
      <text>
        <r>
          <rPr>
            <b/>
            <sz val="9"/>
            <color indexed="81"/>
            <rFont val="Tahoma"/>
            <charset val="1"/>
          </rPr>
          <t>Erika Mayerly Pedroza Sanchez:</t>
        </r>
        <r>
          <rPr>
            <sz val="9"/>
            <color indexed="81"/>
            <rFont val="Tahoma"/>
            <charset val="1"/>
          </rPr>
          <t xml:space="preserve">
si dice cantidad meses 100 *9 meses serian 900 no 270??</t>
        </r>
      </text>
    </comment>
    <comment ref="C14" authorId="0" shapeId="0" xr:uid="{00000000-0006-0000-0A00-00000B000000}">
      <text>
        <r>
          <rPr>
            <b/>
            <sz val="9"/>
            <color indexed="81"/>
            <rFont val="Tahoma"/>
            <charset val="1"/>
          </rPr>
          <t>Erika Mayerly Pedroza Sanchez:</t>
        </r>
        <r>
          <rPr>
            <sz val="9"/>
            <color indexed="81"/>
            <rFont val="Tahoma"/>
            <charset val="1"/>
          </rPr>
          <t xml:space="preserve">
si dice cantidad meses 5*13  meses serian 40no 13?? Defina cantidaD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8" authorId="0" shapeId="0" xr:uid="{00000000-0006-0000-0B00-000001000000}">
      <text>
        <r>
          <rPr>
            <b/>
            <sz val="9"/>
            <color indexed="81"/>
            <rFont val="Tahoma"/>
            <charset val="1"/>
          </rPr>
          <t>Erika Mayerly Pedroza Sanchez:</t>
        </r>
        <r>
          <rPr>
            <sz val="9"/>
            <color indexed="81"/>
            <rFont val="Tahoma"/>
            <charset val="1"/>
          </rPr>
          <t xml:space="preserve">
SE SUJIERE DEJAR 1 MENSUAL TOTAL 8</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2" authorId="0" shapeId="0" xr:uid="{00000000-0006-0000-0C00-000001000000}">
      <text>
        <r>
          <rPr>
            <b/>
            <sz val="9"/>
            <color indexed="81"/>
            <rFont val="Tahoma"/>
            <charset val="1"/>
          </rPr>
          <t>Erika Mayerly Pedroza Sanchez:</t>
        </r>
        <r>
          <rPr>
            <sz val="9"/>
            <color indexed="81"/>
            <rFont val="Tahoma"/>
            <charset val="1"/>
          </rPr>
          <t xml:space="preserve">
DEFINIR CANTIDAD MENSUAL PARA SACAR TOCA</t>
        </r>
      </text>
    </comment>
    <comment ref="C3" authorId="0" shapeId="0" xr:uid="{00000000-0006-0000-0C00-000002000000}">
      <text>
        <r>
          <rPr>
            <b/>
            <sz val="9"/>
            <color indexed="81"/>
            <rFont val="Tahoma"/>
            <charset val="1"/>
          </rPr>
          <t>Erika Mayerly Pedroza Sanchez:</t>
        </r>
        <r>
          <rPr>
            <sz val="9"/>
            <color indexed="81"/>
            <rFont val="Tahoma"/>
            <charset val="1"/>
          </rPr>
          <t xml:space="preserve">
DEFINIR CANTIDAD MENSUAL PARA SACAR TOCA</t>
        </r>
      </text>
    </comment>
    <comment ref="C5" authorId="0" shapeId="0" xr:uid="{00000000-0006-0000-0C00-000003000000}">
      <text>
        <r>
          <rPr>
            <b/>
            <sz val="9"/>
            <color indexed="81"/>
            <rFont val="Tahoma"/>
            <charset val="1"/>
          </rPr>
          <t>Erika Mayerly Pedroza Sanchez:</t>
        </r>
        <r>
          <rPr>
            <sz val="9"/>
            <color indexed="81"/>
            <rFont val="Tahoma"/>
            <charset val="1"/>
          </rPr>
          <t xml:space="preserve">
350 PERSONAS O ACTIVDADES ' DEFINIR</t>
        </r>
      </text>
    </comment>
    <comment ref="C6" authorId="0" shapeId="0" xr:uid="{00000000-0006-0000-0C00-000004000000}">
      <text>
        <r>
          <rPr>
            <b/>
            <sz val="9"/>
            <color indexed="81"/>
            <rFont val="Tahoma"/>
            <charset val="1"/>
          </rPr>
          <t>Erika Mayerly Pedroza Sanchez:</t>
        </r>
        <r>
          <rPr>
            <sz val="9"/>
            <color indexed="81"/>
            <rFont val="Tahoma"/>
            <charset val="1"/>
          </rPr>
          <t xml:space="preserve">
revisar y ajustar </t>
        </r>
      </text>
    </comment>
    <comment ref="C7" authorId="0" shapeId="0" xr:uid="{00000000-0006-0000-0C00-000005000000}">
      <text>
        <r>
          <rPr>
            <b/>
            <sz val="9"/>
            <color indexed="81"/>
            <rFont val="Tahoma"/>
            <charset val="1"/>
          </rPr>
          <t>Erika Mayerly Pedroza Sanchez:</t>
        </r>
        <r>
          <rPr>
            <sz val="9"/>
            <color indexed="81"/>
            <rFont val="Tahoma"/>
            <charset val="1"/>
          </rPr>
          <t xml:space="preserve">
se suguiere dejar 2</t>
        </r>
      </text>
    </comment>
    <comment ref="C8" authorId="0" shapeId="0" xr:uid="{00000000-0006-0000-0C00-000006000000}">
      <text>
        <r>
          <rPr>
            <b/>
            <sz val="9"/>
            <color indexed="81"/>
            <rFont val="Tahoma"/>
            <charset val="1"/>
          </rPr>
          <t>Erika Mayerly Pedroza Sanchez:</t>
        </r>
        <r>
          <rPr>
            <sz val="9"/>
            <color indexed="81"/>
            <rFont val="Tahoma"/>
            <charset val="1"/>
          </rPr>
          <t xml:space="preserve">
se sugiere dejar mensual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Erika Mayerly Pedroza Sanchez</author>
  </authors>
  <commentList>
    <comment ref="C3" authorId="0" shapeId="0" xr:uid="{00000000-0006-0000-0D00-000001000000}">
      <text>
        <r>
          <rPr>
            <b/>
            <sz val="9"/>
            <color indexed="81"/>
            <rFont val="Tahoma"/>
            <charset val="1"/>
          </rPr>
          <t>Erika Mayerly Pedroza Sanchez:</t>
        </r>
        <r>
          <rPr>
            <sz val="9"/>
            <color indexed="81"/>
            <rFont val="Tahoma"/>
            <charset val="1"/>
          </rPr>
          <t xml:space="preserve">
DICE 80Y EN EL TOTAL 210?? Ademas es una actividad parecida a jee y medico</t>
        </r>
      </text>
    </comment>
  </commentList>
</comments>
</file>

<file path=xl/sharedStrings.xml><?xml version="1.0" encoding="utf-8"?>
<sst xmlns="http://schemas.openxmlformats.org/spreadsheetml/2006/main" count="619" uniqueCount="239">
  <si>
    <t>ITEM</t>
  </si>
  <si>
    <t>ESTRATEGIA</t>
  </si>
  <si>
    <t xml:space="preserve">ACTIVIDAD </t>
  </si>
  <si>
    <t>VALOR UN</t>
  </si>
  <si>
    <t>VALOR TOTAL</t>
  </si>
  <si>
    <t>VALOR</t>
  </si>
  <si>
    <t>CANT ACT  X MESES</t>
  </si>
  <si>
    <t>TOTAL</t>
  </si>
  <si>
    <t>VALOR UN AJUSTADO</t>
  </si>
  <si>
    <t xml:space="preserve">Realizar actividades para educar en el desarrollo de habilidades sociales y emocionales para la promoción de la salud física y mental en el curso de vida  juventud, adultez y vejez en el entorno laboral de los sectores rural y urbano del municipio de Tenjo.  Mínimo 20 personas y 1 hora. </t>
  </si>
  <si>
    <t>Realizar actividades educativas "Orientando con amor y Limites" para desarrollar herramientas de formación en límites, normas, castigos a padres y/o cuidadores en integracion con escuela de padres en educativo de los sectores rural y urbano del municipio de Tenjo.  Mínimo 30 personas y 1 hora por actividad.</t>
  </si>
  <si>
    <t xml:space="preserve">Realizar una jornada de salud en articulación con las diferentes secretarias de la administración municipal , para la comunidad sobre acciones de promoción del respeto por la diversidad, el reconocimiento positivo a personas con orientaciones sexuales diversas (LGBTI), maternidad y paternidad, la anticoncepción y el ejercicio de la sexualidad y acciones de prevención de infecciones de transmisión sexual - VIH y la violencia de género y sexual, mediante el desarrollo de una  "FERIA DE DERECHOS SEXUALES Y DERECHOS REPRODUCTIVOS" .  Mínimo 80 personas y 3 horas. </t>
  </si>
  <si>
    <t xml:space="preserve">Realizar actividad para educar en derechos humanos y promover su pleno ejerció, en el curso de vida de infancia, adolescencia, juventud, adultez y vejez en el entorno  educativo de los sectores rural y urbano del municipio de Tenjo.  Mínimo 25 personas y 1 hora. </t>
  </si>
  <si>
    <t xml:space="preserve">Participar activamente en el "Comité del Buen trato (3)y SPA" (2)  y aportar soporte técnico en las temáticas solicitadas por la referente de gestión del riesgo municipal. </t>
  </si>
  <si>
    <t xml:space="preserve">Generar boletín semanal de productos de canasta familiar de promoción de consumo que garanticen la alimentación saludable en la población tenjana,en trabajo articulado con prensa de la administración municpal y ESE Hospital santa Rosa de Tenjo,  </t>
  </si>
  <si>
    <t>Coordinar las actividades en el marco de  la celebración de la semana saludable en Tenjo,fortaleciendo los estilos de vida saludable  en trabajo articulado con INDERTEN- IPSs municipales- Secretaria de desarrollo educativo y  referente de nutrición y seguridad alimentaria de gestión de la salud pública de la secretaria de protección social en el sector urbano del municipio de Tenjo.</t>
  </si>
  <si>
    <t>Realizar actividades educativas a trabajadores de salones de belleza,  barberias, talleres de mantenimiento de vehiculos,  informales identificados con exposicion a riesgo bilógico y a sustancias cancerígenas</t>
  </si>
  <si>
    <t>Realizar actividades de información frente al proceso de formalización laboral de población trabajadora del municipio no afiliada al SGSSS, incluyendo población vulnerable y/o con enfoque diferencial en articulación con la dirección de aseguramiento del municipio, mediante canalización soportada al área de aseguramiento de la secretaria de protección social.</t>
  </si>
  <si>
    <t>Socializar la estrategia de Entornos Laborales saludables en 2 actividades  en el sector laboral  informal  del municipio de Tenjo, con enfoque de genero Revisión SG-SST, revisión Plan de capacitación y verificación de soportes ( Empresas de manofactura,cultivos informales entre otros).</t>
  </si>
  <si>
    <t>Realizar informe cualicuantitatvo  que permita evidenciar, barreras, efectos facilitadores y problematicas halladas en lo relacionado con Salud Oral en el Territorio - DIAGNOSTICO Y PLAN DE ACCION EN MATERIA DE SALUD ORAL, mediante encuesta de autoria propia que consolide las variables de interés para esta temática.</t>
  </si>
  <si>
    <t xml:space="preserve">ESE HOSPITAL </t>
  </si>
  <si>
    <t>POR PERFIL</t>
  </si>
  <si>
    <t>TOTALES</t>
  </si>
  <si>
    <t xml:space="preserve">PERFIL </t>
  </si>
  <si>
    <t xml:space="preserve">TIEMPO - MES </t>
  </si>
  <si>
    <t xml:space="preserve">TOTAL  POR PERFIL </t>
  </si>
  <si>
    <t>PROMEDIO MENSUAL</t>
  </si>
  <si>
    <t>CANTIDAD</t>
  </si>
  <si>
    <t xml:space="preserve">TOTAL </t>
  </si>
  <si>
    <t>POSIBLE CONTRATISTA</t>
  </si>
  <si>
    <t xml:space="preserve">AUXILIARES DE ENFERMERIA TECNICA </t>
  </si>
  <si>
    <t>HOSPITAL SANTA ROSA DE TENJO</t>
  </si>
  <si>
    <t xml:space="preserve">MEDICO  GENERAL </t>
  </si>
  <si>
    <t xml:space="preserve">PSICOLOGO </t>
  </si>
  <si>
    <t xml:space="preserve">NUTRICIONISTA </t>
  </si>
  <si>
    <t xml:space="preserve">HIGIENISTA </t>
  </si>
  <si>
    <t xml:space="preserve">PROFESIONAL DE SALUD LABORAL </t>
  </si>
  <si>
    <t>TRANSPORTE</t>
  </si>
  <si>
    <t>INDIRECTOS</t>
  </si>
  <si>
    <t>ENFERMERA JEFE PYD</t>
  </si>
  <si>
    <t>ENFERMERA JEFE GR</t>
  </si>
  <si>
    <t>TRABAJO SOCIAL</t>
  </si>
  <si>
    <t>PROFESIONAL</t>
  </si>
  <si>
    <t>COSTOS INDIRECTOS (HOSPITAL) + TRANSPORTE</t>
  </si>
  <si>
    <t xml:space="preserve">Participar de forma activa en las accciones programadas en la Estrategia de Salud complementaria de APS  y/ o actividades propias de la Secretaria de Proteccion Social  Canalizando poblacion de los diferentes cursos de vida a demanda </t>
  </si>
  <si>
    <t>ES TIEMPO DE LA FAMILIA CON SALUD</t>
  </si>
  <si>
    <t>ES TIEMPO DE LA VIDA SALUDABLE</t>
  </si>
  <si>
    <t>ES TIEMPO DE LA SEXUALIDAD SANA</t>
  </si>
  <si>
    <t>ES TIEMPO DE LA VIDA SALUDABLE  - TB Y PAI</t>
  </si>
  <si>
    <t>ES TIEMPO DE LA  SALUD MENTAL</t>
  </si>
  <si>
    <t>ES TIEMPO DE LA  SALUD MENTAL
PSICOLOGO EQUIPO BASICO</t>
  </si>
  <si>
    <t>EN EL TIEMPO DE LA SANA ALIMENTACION</t>
  </si>
  <si>
    <t>ES EL TIEMPO DE LA SALUD ORAL</t>
  </si>
  <si>
    <t xml:space="preserve">ES EL TIEMPO DEL TRABAJO SALUDABLE </t>
  </si>
  <si>
    <t>ES EL TIEMPO DE LA SANA ALIMENTACION</t>
  </si>
  <si>
    <t xml:space="preserve">CDP PIC </t>
  </si>
  <si>
    <t>11311022</t>
  </si>
  <si>
    <t xml:space="preserve">   S.G.P. SALUD - SALUD PUBLICA</t>
  </si>
  <si>
    <t>GI6.19.1905.1905028.2.3.2.02.02.009.189                     11311022</t>
  </si>
  <si>
    <t>META 189</t>
  </si>
  <si>
    <t>Realizar 1 estrategia anual para fortalecer el plan de recuperación nutricional Municipal</t>
  </si>
  <si>
    <t>GI6.19.1905.1905028.2.3.2.02.02.009.189</t>
  </si>
  <si>
    <t>121105</t>
  </si>
  <si>
    <t xml:space="preserve">   V.A. R.P. LIBRE DESTINACION</t>
  </si>
  <si>
    <t>GI6.19.1905.1905019.2.3.2.02.02.009.197                     121105</t>
  </si>
  <si>
    <t>111105</t>
  </si>
  <si>
    <t xml:space="preserve">   R.P. LIBRE DESTINACION</t>
  </si>
  <si>
    <t>GI6.19.1905.1905019.2.3.2.02.02.009.197                     111105</t>
  </si>
  <si>
    <t>META 197</t>
  </si>
  <si>
    <t>Realizar la caracterización y seguimiento anual de 4500 hogares en el marco de la estrategia primaria en salud</t>
  </si>
  <si>
    <t>GI6.19.1905.1905019.2.3.2.02.02.009.197</t>
  </si>
  <si>
    <t>Numero</t>
  </si>
  <si>
    <t>Fuente</t>
  </si>
  <si>
    <t>Rubro</t>
  </si>
  <si>
    <t>observaciones</t>
  </si>
  <si>
    <t>Fecha Comprobante</t>
  </si>
  <si>
    <t>Nit</t>
  </si>
  <si>
    <t>Razon Social</t>
  </si>
  <si>
    <t>Valor Credito</t>
  </si>
  <si>
    <t>Tipo Afectado</t>
  </si>
  <si>
    <t>Comprobante Afectado</t>
  </si>
  <si>
    <t>2024000687</t>
  </si>
  <si>
    <t>GI20226191903202325799000219030451382.3.2.02.02.009</t>
  </si>
  <si>
    <t>CD-CI-ADM-217-2024 CONTRATO INTERADMINISTRATIVO PARA REALIZAR ACCIONES CONTENIDAS EN EL PLAN DE INTERVENCIONES COLECTIVAS EN EL MARCO DEL PLAN DE SALUD TERRITORIAL PARA LA VIGENCIA 2024 CONTENIDAS EN EL PLAN DE ACCION EN SALUD DEL MUNICIPIO DE TENJO</t>
  </si>
  <si>
    <t>27/03/2024</t>
  </si>
  <si>
    <t>EMPRESA SOCIAL DEL ESTADO HOSPITAL SANTA ROSA DE Tenjo</t>
  </si>
  <si>
    <t>CDP Afectado No:</t>
  </si>
  <si>
    <t>GI20226191905202325799000219050191252.3.2.02.02.009</t>
  </si>
  <si>
    <t>GI20226191905202325799000219050211302.3.2.02.02.009</t>
  </si>
  <si>
    <t>GI20226191905202325799000219050221262.3.2.02.02.009</t>
  </si>
  <si>
    <t>GI20226191905202325799000219050251342.3.2.02.02.009</t>
  </si>
  <si>
    <t>GI20226191905202325799000219050281272.3.2.02.02.009</t>
  </si>
  <si>
    <t>GI20226191905202325799000219050311312.3.2.02.02.009</t>
  </si>
  <si>
    <t>GI20226191905202325799000219050311352.3.2.02.02.009</t>
  </si>
  <si>
    <t>GI20226191905202325799000219050311362.3.2.02.02.009</t>
  </si>
  <si>
    <t>SICODIS</t>
  </si>
  <si>
    <r>
      <t xml:space="preserve"> Realizar gestion del riesgo en salud </t>
    </r>
    <r>
      <rPr>
        <sz val="10"/>
        <color rgb="FFFF0000"/>
        <rFont val="Century Gothic"/>
        <family val="2"/>
      </rPr>
      <t xml:space="preserve">(400)  </t>
    </r>
    <r>
      <rPr>
        <sz val="10"/>
        <color theme="1"/>
        <rFont val="Century Gothic"/>
        <family val="2"/>
      </rPr>
      <t xml:space="preserve">como resultado de la caracterizacion de las auxiliares de enfermeria en plataforma survey 123 y  entregar  planes de cuidado a  familias caracterizadas de las visitas realizadas  en el marco de la estrategia APS,   en lo relacionado a PSICOLOGIA, de los sectores rural y urbano priorizados. </t>
    </r>
  </si>
  <si>
    <t>Apoyar en la construcciòn  de la  linea base municipal de poblaciòn diferencial (poblaciòn LGTBIQ+ - poblaciòn migrante y poblaciòn indigena)   El contratista debe realizar la gestión pertinente para conseguir la población. Y hacer entrega de excel de las diferentes poplaciones</t>
  </si>
  <si>
    <t>Realizar  3 reuniones  con lideres comunales que permitan la convocatoria de rev com , en las diferentes veredas municipales.El contratista debe realizar la gestión pertinente para conseguir la población. Presentar 3 actas</t>
  </si>
  <si>
    <t>1 trimestral</t>
  </si>
  <si>
    <t>1 mensual</t>
  </si>
  <si>
    <t xml:space="preserve">Participar activamente en el "Comité del Buen trato" y aportar soporte técnico en las temáticas solicitadas por la regerente de gestión del riesgo municipal. </t>
  </si>
  <si>
    <t>Realizar  actividad educativa en cada uno de los CDI en manejo de emociones, Toma de decisiones, comunicación y el cumplimiento de acuerdos. con comunidad educativa de los sectores rural y urbano del municipio de Tenjo.  Mínimo 25 personas y 1 hora por actividad.</t>
  </si>
  <si>
    <t>Implementar una estrategia trimestral  de educación para promover el  No Consumo de Tabaco, los espacios 100% Libres de Humo y el no consumo de alcohol, en las 3 instituciones educativas publicas y sus sedes llevando a cabo las actividades de la Estrategia Cundinamarca Vive Saludable, promoviendo cultura de auto cuidado. en el curso de vida de  adolescencia, juventud, en el entorno educativo de los sectores rural y urbano del municipio de Tenjo.  Mínimo 20 personas y 1 hora por actividad.</t>
  </si>
  <si>
    <t xml:space="preserve">Realizar  actividades  en detección temprana, señales de alarma, qué hacer y a quién acudir ante el riesgo de violencias en el curso de vida de infancia, adolescencia, en el entorno educativo de los sectores rural y urbano del municipio de Tenjo.  Mínimo 20 personas y 1 hora. </t>
  </si>
  <si>
    <t>a demanda</t>
  </si>
  <si>
    <t xml:space="preserve">Realizar  actividades asociadoas a la estrategia   " LA FELICIDAD Y LA SALUD MENTAL dirigida a comunidad del municipio  para brindarles herramientas para proteger la vida y disminuir el estigma. en todos los cursos  de vida, en el entorno comunitario y hogar de los sectores rural y urbano del municipio de Tenjo. Mínimo 25 personas por cada actividad y 1 hora. </t>
  </si>
  <si>
    <t xml:space="preserve">Realizar actividades ludopedagogicas para promover la resolución de conflictos, así como el establecimiento de acuerdos en el marco de la legalidad, confianza interpersonal y el respeto mutuo en el curso de vida de  adolescencia, juventud, adultez y vejez en el entorno comunitario y laboral de los sectores rural y urbano del municipio de Tenjo.  Mínimo 15 personas y 1 hora. </t>
  </si>
  <si>
    <t xml:space="preserve">Realizar  actividades  para educar en derechos humanos y promover su pleno ejerció, en todos los cursos de vida en el entorno comunitario de los sectores rural y urbano del municipio de Tenjo.  Mínimo 25 personas y 1 hora. </t>
  </si>
  <si>
    <t xml:space="preserve">Realizar actividades  en detección temprana, señales de alarma, qué hacer y a quién acudir ante el riesgo de violencias en el curso de vida de infancia, adolescencia, juventud, adultez y vejez en el entorno comunitario de los sectores rural y urbano del municipio de Tenjo.  Mínimo 20 personas y 1 hora. </t>
  </si>
  <si>
    <t>Realizar actividades  de promocion de la salud a traves de la comunicacion (la importancia de hablar) ,  en temas de salud emocional, en  el marco de la estrategia APS, Canalizando efectivamente a correspondiente EAPB de acuerdo al riesgo identificado.</t>
  </si>
  <si>
    <t xml:space="preserve">Realizar  actividades relacionadas al fortalecimiento psicológico como implementación mensual de estrategia RBC  Rehabilitación Basada en Comunidad y por esa vía, la articulación entre la familia, la comunidad y la institucionalidad Municipal
</t>
  </si>
  <si>
    <t>Participar activamente en jornadas de salud municipales, en veredas priorizadas según el riesgo en salud identificado.</t>
  </si>
  <si>
    <t>Realizar socialización (1 actividad mensual por el equipo) de resultados provenientes de la caracterización de hogares,  con la comunidad en genral y lider comunal; con el fin de garantizar acciones instersectoriales que apoyen el mejoramiento de la calidad de vida de la población tenjana.</t>
  </si>
  <si>
    <t>10 mensuales</t>
  </si>
  <si>
    <t>A demanda</t>
  </si>
  <si>
    <t>AIEPI
Caracterizar en el entorno hogar a través de la ficha de  Atención Integral de Enfermedades  Prevalentes de la Infancia - AIEPI - Comunitario,  al 70% de la población de infancia y primera infancia  existente en el microterrirtorio asignado por el ente territorial (desde el primer día de nacido hasta los 11 años 11 meses y 29 días).</t>
  </si>
  <si>
    <t>Realizar acciones de información y educación comunitarias  como resultado de las  acciones domiciliarias de p y p, en temas enfermedades crónicas, en  el marco de la estrategia APS, según canalizacion y al riesgo identificado en trabajo articulado con referente de gestión del riesgo del PIC.</t>
  </si>
  <si>
    <t>Realizar planes de cuidado a  familias caracterizadas en seguimiento  mediante la aplicación de la ficha familiar establecida en el marco de la estrategia APS,   con el objetivo de promover la adopción de practicas de cuidado para la salud, en el entorno hogar de los sectores rural y urbano priorizados.</t>
  </si>
  <si>
    <t xml:space="preserve">Realizar  actividades de promoción de entornos 100% libres de humo y desestimulo del consumo de productos de tabaco a trabajadores, en  establecimientos comerciales  con el fin de verificar la    Ley 1335 de 2009 "Protección personas no fumadoras y espacios 100% libres de humo"  y el decreto 120 del 2010 Por el cual se adoptan medidas en relación con el consumo de alcohol, la prohibición a menores de edad, consumo responsable de bebidas alcohólicas. 
Elaborar material  de reconocimiento (sticker) aprobado por la Secretaria de Proteccion Social el cual deberá ser distribuido y publicado en un lugar visible de cada establecimiento (material adhesivo) , en entorno laboral de los sectores rural y urbano del municipio de Tenjo.  </t>
  </si>
  <si>
    <t xml:space="preserve">Realizar actividades en centro de cuidado y proteccion del adulto Mayor (Pinares, Atardecer, Canitas, Recreando Vida) y cada uno de los grupos de Centro dia que funcionan en el territorio para promocionar los  Derechos Sexuales y  Reproductivos, prevención de ITS  ,prevención de infecciones respiratorias y tuberculosis en los sectores rural y urbano del municipio de Tenjo.  Mínimo 20 personas y 1 hora de duracion .  </t>
  </si>
  <si>
    <t xml:space="preserve">Realizar  actividades  en articulación con la secretaría de la mujer, en lo referente a  juegos de simulacion, analisis de caso, textos orientadores actividades de integracion ) sobre prevención de la violencia de género y sexuales y autocuidado. en el curso de vida ijuventud, adultez y vejez, en el entorno comunitario , de los sectores rural y urbano del municipio de Tenjo.  Mínimo 30 personas y 1 hora de ejecucion. </t>
  </si>
  <si>
    <t>Realizar 1 actividad en articulación con la secretaria de desarrollo educativo,   abordando  temas de derechos sexuales y reproductivos,prevención de ITS, prevención de Embarazo en adolescentes, métodos de Planificación familiar, en el curso de vida primra infancia,adolescencia y juventud en el entorno educativo.  Mínimo 25 personas y 1 hora de actividad</t>
  </si>
  <si>
    <t>Realizar actividades lúdico pedagógicas  en temas de: Promoción y ejercicio de los DSDR, promoción de los derechos sexuales y reproductivos y equidad de género métodos anticonceptivos, prevención de ITS-VIH/SIDA, IVE, prevención de violencia física y sexual;prevención de infecciones respiratorias, tuberculosis,  dirigido a beneficiarios de los programas sociales de la administración municipal.  (PVCA, madres comunitarias, familias en acción, población migrante e Indigena ). en entorno comunitario,  Mínimo 30 personas y 1 hora.</t>
  </si>
  <si>
    <t xml:space="preserve">Realizar actividades para promover en las empresas, la planificación familiar y los derechos sexuales y reproductivos, prevención de infecciones respiratorias y tuberculosis en  entorno laboral formal e informal y comunitario por  curso de vida, juventud, adultez, vejez. Mínimo 20 personas. </t>
  </si>
  <si>
    <t>1 jornada</t>
  </si>
  <si>
    <t xml:space="preserve">Realizar  acciones de información y educación comunitarias resultado de las  acciones domiciliarias de p y p, en temas de aiepi, y poblaciones vulnerables, en  el marco de la estrategia APS,en  el marco de la estrategia APS, según canalizacion y al riesgo identificado según canalizacion y al riesgo identificado en trabajo articulado con referente de gestión del riesgo del PIC.
</t>
  </si>
  <si>
    <t xml:space="preserve">Realizar capacitaciones al equipo de auxiliares de enfermeria en temáticas tales como ; AIEPI comunitario, manejo de signos y sintomas de riesgo en IRA, EDA, Plan ampliado de inmunización, gestión del riesgo en salud, demanda inducida, demanda efectiva,controles prenatales, curso de preparación para la maternidad y paternidad, Sintomaticos respiratorios y de piel,  violencia intrafamiliar, derechos sexuales y reporductivos,manejo de residuos sólidos y dispocisión de los mismos en el hogar.  </t>
  </si>
  <si>
    <t>Realizar actividades  educativas, por cada junta de accion comunal  sobre la realidad del proceso de gestacion y puerperio ganancia de peso, parto natural y cesarea, depresion post parto, lactancia, sueño en el curso de vida, adolescencia, juventud, adultez, en el entorno comunitario , de los sectores rural y urbano del municipio de Tenjo.  Mínimo 25  personas.</t>
  </si>
  <si>
    <t>1trimestral</t>
  </si>
  <si>
    <t xml:space="preserve">Desarrollar actividades, enfocadas en la promoción sobre la importancia de la vacunación en el entorno comunitario (área urbana y rural) del municipio deTenjo, a través de medios masivos, que movilice a la población susceptible, de acuerdo al esquema nacional.
</t>
  </si>
  <si>
    <t xml:space="preserve">Realizar jornadas de caracterización y captación de la población objeto del PAI, en los centros educativos (públicos y privados) del área rural y urbana del municipio, donde se deberá realizar la programación de vacunación a la población cautiva; esto en articulación con los directivos y docentes de las instituciones, según lineamientos “PLAN DE CHOQUE PROGRAMA AMPLIADO DE INMUNIZACIONES 2024”. </t>
  </si>
  <si>
    <t>4 jornadas</t>
  </si>
  <si>
    <t xml:space="preserve">Realizar capacitaciones  a  actores sociales (madres comunitarias,  COPACO, juntas de acción comunal de chince, la punta, chitasuga,poveda 2, Poveda 1, jacalito mas familias en acción, PVC) en la estrategia AIEPI con énfasis en el componente  Comunitario. Mínimo 15 personas . en el curso de vida  juventud, adultez y vejez en el entorno comunitario de los sectores rural y urbano del municipio de Tenjo.   </t>
  </si>
  <si>
    <t>CANT ACT X TOTAL</t>
  </si>
  <si>
    <t xml:space="preserve">Realizar   jornadas de identificacion en articulacion con el programa de fortalecimiento de la  Salud Mental, para población en riesgo, que involucre la defincion de factores protectores para el cuidado de la salud mental y la prevención de consumo de sustancias psicoactivas desde la estrategia del centro de escucha, en entorno comunitario del área rural y urbana. </t>
  </si>
  <si>
    <t>Elaborar cartografía social de los micro territorios priorizados, realizar recolección de información cualitativa mediante la realización de 10 grupos focales en las mesas de trabajo planeadas para este fin, con enfoque diferencial étnico, sumado a la caracterización de 750 personas por cada una de las veredas priorizadas mediante instrumento de autoria propio (variables epidemiológicas a elección) que proporcione la caracterización social de la población.Entregable: Informe cuali-cuantitativo + mapas de cartografia y de riesgo.</t>
  </si>
  <si>
    <t>Realizar 3 espacios de cocina saludable, en trabajo articulado con lideres comunales y secretaria de desarrollo económico de las diferentes veredas municipales con el fin de aprovechar los alimentos disponibles en casa y que generan una nutrición saludable . Alcance:  personas de todos los cursos de vida ; incluyendo gestantes. Mínimo 15 personas por espacio.</t>
  </si>
  <si>
    <t>1 trimestral total 8 veredas</t>
  </si>
  <si>
    <t>1 mensual total 8 veredas</t>
  </si>
  <si>
    <t xml:space="preserve">Realizar 8 actividades por grupo priorizado ludicopedagógica con población vulnerable (victimas de conflicto armado,  LGTBIQ+, Indigenas, migrantes,)  para   realizar promoción hábitos de higiene bucal, deberes y derechos en salud, en el entorno comunitario,  de los sectores rural y urbano del municipio de Tenjo. Mínimo 15 personas y 1 hora. </t>
  </si>
  <si>
    <t xml:space="preserve">Realizar 8 actividades trimestrales ludicopedagogica en salud oral, promoción de hábitos adecuados de higiene bucal, realizando canalización efectiva a eps soportada por correos electronicos,  a personas con discapacidad y sus cuidadores de la Unidad de Discpacidad zona Urbana del Municipio. Mínimo 20 personas y 1 hora de actividad. </t>
  </si>
  <si>
    <t xml:space="preserve">Realizar 8 actividades de sensibilización sobre factores protectores, promoción de hábitos saludables y  Deberes y Derechos en salud oral  a personas de curso de vida  vejez , en el entorno institucional y comunitario de los sectores rural y urbano del municipio de Tenjo (6 Hogares) Mínimo 15 personas y 1 hora de socializacion. </t>
  </si>
  <si>
    <t>Realizar 8 actividades  ludicopedagógicas  a GESTANTES Y LACTANTES, para promover hábitos higiénicos de salud bucal como rutina de cuidado diario desde el nacimiento y  primera infancia. realizar su respectiva canalización y seguimiento a los servicios de salud.    población : Minimo 15 personas.</t>
  </si>
  <si>
    <t>Realizar 8 actividad ludicopedagógica presenciales  con padres y/o cuidadores de niños de 2 a 5 años de las instituciones de educacion inicialen los diferentes colegios del municipio, en hábitos higiénicos de salud bucal como rutina de cuidado diario desde el nacimiento y la  PRIMERA INFANCIA,  en curso de vida de PRIMERA INFANCIA.  En el entorno comunitario, y educativo, de los sectores rural y urbano del municipio de Tenjo. Mínimo 15 personas y 1 hora.</t>
  </si>
  <si>
    <t xml:space="preserve">Realizar 8 actividades ludicopedagógica presenciales  con padres y/o cuidadores de niños de 6 a 11 años de las instituciones de educacion publica  ( zona rural y urbana), en hábitos higiénicos de salud bucal como rutina de cuidado diario en la  INFANCIA,  en curso de vida de INFANCIA.  En el entorno  educativo, de los sectores rural y urbano del municipio de Tenjo. Mínimo 20 menores y 1 hora. </t>
  </si>
  <si>
    <t>ADICION PARA AUXILIARES</t>
  </si>
  <si>
    <t>RECURSOS DE BALANCE</t>
  </si>
  <si>
    <t>TOTAL -COSTOS ADMINISTRATIVOS Y OPERACIONES</t>
  </si>
  <si>
    <t>PROFESIONALES</t>
  </si>
  <si>
    <t xml:space="preserve">TOTAL ACTIVIDADES  DEL CONTRATO POR 8  MESES X  9 AUXILIARES </t>
  </si>
  <si>
    <t>NUMERO DE ACTIVIDADES POR AUXILIAR MENSUALES</t>
  </si>
  <si>
    <t>NUMERO DE ACTIVIDADES POR AUXILIAR DURANTE EL CONTRATO 8 MESES</t>
  </si>
  <si>
    <t xml:space="preserve">SOPORTE DE ENTREGA </t>
  </si>
  <si>
    <t xml:space="preserve">1.Ficha Familiar Plataforma SURVEY.                                           2. Planes de Cuidado </t>
  </si>
  <si>
    <r>
      <t xml:space="preserve">Realizar </t>
    </r>
    <r>
      <rPr>
        <sz val="10"/>
        <color rgb="FFFF0000"/>
        <rFont val="Century Gothic"/>
        <family val="2"/>
      </rPr>
      <t>mensualmente</t>
    </r>
    <r>
      <rPr>
        <sz val="10"/>
        <color theme="1"/>
        <rFont val="Century Gothic"/>
        <family val="2"/>
      </rPr>
      <t xml:space="preserve">  canalizaciones  (demanda inducida) de la población identificada en riesgo, acorde con su curso de vida a las intervenciones individuales y colectivas de la ruta de mantenimiento y promoción de la salud,  ruta materno perinatal, y las demás rutas establecidas por la secretaria de protecciòn social, según las necesidades del Territorio ( enrutar a:  gestantes a su control prenatal, gestantes para suministro de micronutrientes, gestantes para tamizaje de hepatitis B, sífilis, VIH, mujeres en edad fértil para planificación familiar, adultos para consulta, jóvenes para consulta, personas para control de placa bacteriana y personas para tamizaje de agudeza visual)soporte de la demanda efectiva con pantallazo de la cita.</t>
    </r>
  </si>
  <si>
    <r>
      <t xml:space="preserve">Realizar  </t>
    </r>
    <r>
      <rPr>
        <sz val="10"/>
        <color rgb="FFFF0000"/>
        <rFont val="Century Gothic"/>
        <family val="2"/>
      </rPr>
      <t>mensualmente</t>
    </r>
    <r>
      <rPr>
        <sz val="10"/>
        <color theme="1"/>
        <rFont val="Century Gothic"/>
        <family val="2"/>
      </rPr>
      <t xml:space="preserve"> demanda inducida en población  menor y /o mayor de 15 años  canalizando efectivamente a los servicios de vacunación,  con el biológico de VPH, DTaP acelular, Td, influenza, fiebre amarilla, sarampión, COVID-19 y rubeóla en caso de brotes o casos sospechosos  y/o apoyar en monitoreos rápidos de vacunación.soporte de la demanda efectiva por parte de la ESE hospital santa rosa de Tenjo.</t>
    </r>
  </si>
  <si>
    <r>
      <t xml:space="preserve">Realizar </t>
    </r>
    <r>
      <rPr>
        <sz val="10"/>
        <color rgb="FFFF0000"/>
        <rFont val="Century Gothic"/>
        <family val="2"/>
      </rPr>
      <t xml:space="preserve">mensualmente </t>
    </r>
    <r>
      <rPr>
        <sz val="10"/>
        <color theme="1"/>
        <rFont val="Century Gothic"/>
        <family val="2"/>
      </rPr>
      <t xml:space="preserve"> busqueda activa comunitaria de sintomáticos respiratorios identificados en visitas domiciliarias para promover la adopción de practicas de cuidado para la salud  en el entorno hogar .</t>
    </r>
  </si>
  <si>
    <t>FORMATO BAC</t>
  </si>
  <si>
    <t xml:space="preserve">1. Ficha Familiar Plataforma SURVEY. 2.Formato de canalización , demanda Inducida y seguimiento de la  efectividad (medio físico y magnético).         </t>
  </si>
  <si>
    <r>
      <t xml:space="preserve">Identificar y caracterizar </t>
    </r>
    <r>
      <rPr>
        <sz val="10"/>
        <color rgb="FFFF0000"/>
        <rFont val="Century Gothic"/>
        <family val="2"/>
      </rPr>
      <t>mensualmente</t>
    </r>
    <r>
      <rPr>
        <sz val="10"/>
        <color theme="1"/>
        <rFont val="Century Gothic"/>
        <family val="2"/>
      </rPr>
      <t xml:space="preserve">  a </t>
    </r>
    <r>
      <rPr>
        <sz val="10"/>
        <color rgb="FFFF0000"/>
        <rFont val="Century Gothic"/>
        <family val="2"/>
      </rPr>
      <t xml:space="preserve"> </t>
    </r>
    <r>
      <rPr>
        <sz val="10"/>
        <color theme="1"/>
        <rFont val="Century Gothic"/>
        <family val="2"/>
      </rPr>
      <t>mujeres con riesgos asociados a Cáncer de Mama (Mujeres mayores de 50 años sin toma de Mamografía o menores sintomáticas) mediante la aplicación de ficha por medio de plataforma virtual entregada por Secretaria de Salud, del curso de vida, juventud, adultez y vejez, en el entorno hogar, comunitario,  laboral, de las familias objeto de trabajo  de los sectores priorizados del municipio.</t>
    </r>
  </si>
  <si>
    <r>
      <t xml:space="preserve">Identificar y caracterizar </t>
    </r>
    <r>
      <rPr>
        <sz val="10"/>
        <color rgb="FFFF0000"/>
        <rFont val="Century Gothic"/>
        <family val="2"/>
      </rPr>
      <t>mensualmente</t>
    </r>
    <r>
      <rPr>
        <sz val="10"/>
        <color theme="1"/>
        <rFont val="Century Gothic"/>
        <family val="2"/>
      </rPr>
      <t xml:space="preserve"> a mujeres con riesgos asociados a Cáncer de Cuello Uterino ( Mujeres que nunca se hayan tomado la citología y/o mujeres que lleven mas de un año sin toma), mediante la aplicación de ficha por medio de plataforma virtual entregada por Secretaria de Salud, del curso de vida, adolescencia, juventud, adultez y vejez, en el entorno hogar, comunitario laboral, de las  familias objeto de trabajo de los sectores priorizados del municipio</t>
    </r>
  </si>
  <si>
    <r>
      <t xml:space="preserve">Identificar y caracterizar </t>
    </r>
    <r>
      <rPr>
        <sz val="10"/>
        <color rgb="FFFF0000"/>
        <rFont val="Century Gothic"/>
        <family val="2"/>
      </rPr>
      <t>mensualmente</t>
    </r>
    <r>
      <rPr>
        <sz val="10"/>
        <color theme="1"/>
        <rFont val="Century Gothic"/>
        <family val="2"/>
      </rPr>
      <t xml:space="preserve">  a hombres con riesgos asociados a cáncer de   Próstata ( Hombres mayores de 50  a 75 años de edad). mediante la aplicación de ficha por medio de plataforma virtual entregada por Secretaria de Salud, del curso de vida, adultez y vejez, en el entorno hogar, comunitario,  laboral, con el  objeto de intervencion  de los sectores  priorizados por ell municipio.</t>
    </r>
  </si>
  <si>
    <t>1. Ficha Física  AIEPI y /o Plataforma SURVEY AIEPI-                                                                             2. Base de datos AIEPI                                            3.Formato de canalización y seguimiento a la demanda efectiva físico y magnético</t>
  </si>
  <si>
    <t>1. Ficha Familiar Plataforma SURVEY Gestantes o puerperas , 2. Plan Cuidado /o certificación  de que no hay gestantes /puérperas</t>
  </si>
  <si>
    <r>
      <t xml:space="preserve">Identificar y canalizar </t>
    </r>
    <r>
      <rPr>
        <sz val="10"/>
        <color rgb="FFFF0000"/>
        <rFont val="Century Gothic"/>
        <family val="2"/>
      </rPr>
      <t>mensualmente</t>
    </r>
    <r>
      <rPr>
        <sz val="10"/>
        <color theme="1"/>
        <rFont val="Century Gothic"/>
        <family val="2"/>
      </rPr>
      <t xml:space="preserve">  al área de salud publica y  epidemiólogia municipal mediante el formato de demanda inducida todos los eventos de interés en salud publica de la población caracterizada mediante la aplicación de la ficha familiar establecida en el marco de la estrategia APS por medio de los instrumentos establecidos desde la secretaria de Salud municipal.</t>
    </r>
  </si>
  <si>
    <t xml:space="preserve">2. Formato de canalización  Demanda Inducida   y seguimiento de la  efectividad (medio físico y magnético).   </t>
  </si>
  <si>
    <t>2. Formato de canalización  Demanda Inducida y  seguimiento a la demanda efectiva  (medio físico y magnético)</t>
  </si>
  <si>
    <t>1. Base Excel Ficha Familiar Plataforma SURVEY.                             2. Formato de Demanda Inducida y seguimiento de la  efectividad- (medio físico y magnético)</t>
  </si>
  <si>
    <t xml:space="preserve">1.Ficha Familiar Plataforma SURVEY.                                           2. Formato de canalización  Demanda Inducida y  seguimiento a la demanda (medio físico y magnético)                                                       </t>
  </si>
  <si>
    <t>1.Formato de canalización y seguimiento a la demanda efectiva físico y magnético (medio físico y magnético)</t>
  </si>
  <si>
    <t>1. Informe de actividad
2. Listado de asistencia 
3. Registro fotográfico
4.Recurso Utilizado( Infografía , Volente , video, Folleto )</t>
  </si>
  <si>
    <t xml:space="preserve">1. Informe de actividad
2. Listado de asistencia 
3. Registro fotográfico
4.Recurso Utilizado( Infografía , Volente , video, Folleto )                                         </t>
  </si>
  <si>
    <r>
      <t xml:space="preserve">Participar </t>
    </r>
    <r>
      <rPr>
        <sz val="10"/>
        <color rgb="FFFF0000"/>
        <rFont val="Century Gothic"/>
        <family val="2"/>
      </rPr>
      <t>mensualmente</t>
    </r>
    <r>
      <rPr>
        <sz val="10"/>
        <color theme="1"/>
        <rFont val="Century Gothic"/>
        <family val="2"/>
      </rPr>
      <t xml:space="preserve">  activamente en jornadas de salud municipales, en veredas priorizadas según el riesgo en salud identificado.</t>
    </r>
  </si>
  <si>
    <t xml:space="preserve">1. Informe  IEC
2. Listado de asistencia 
3. Registro fotográfico                                         </t>
  </si>
  <si>
    <t xml:space="preserve">TOTAL ACTIVIDADES  DEL CONTRATO POR 9  MESES X  1 JEFE   </t>
  </si>
  <si>
    <r>
      <t xml:space="preserve">Realizar </t>
    </r>
    <r>
      <rPr>
        <sz val="10"/>
        <color rgb="FFFF0000"/>
        <rFont val="Century Gothic"/>
        <family val="2"/>
      </rPr>
      <t xml:space="preserve"> mensualmente</t>
    </r>
    <r>
      <rPr>
        <sz val="10"/>
        <color theme="1"/>
        <rFont val="Century Gothic"/>
        <family val="2"/>
      </rPr>
      <t xml:space="preserve"> acciones de información y educación y acciones domiciliarias de p y p, en temas de seguridad salud sexual y reproductiva, realizada del proceso de gestacion, parto y puerperio, Sentencia 055 de2022 en  el marco de la estrategia APS, a las familias remitidas por las gesbis, Canalizando efectivamente a correspondiente EAPB de acuerdo al riesgo identificado. </t>
    </r>
  </si>
  <si>
    <t xml:space="preserve">Realizar  actividades ludicas que fomente  hábitos higiénicos  con IEDs rurales y urbanas en el curso de vida de primera infancia, infancia y adolescencia en el entorno educativo de los sectores rural y urbano del municipio de Tenjo. Poblacion a impactar 400 personas  de las instuciones publicas.   </t>
  </si>
  <si>
    <r>
      <t xml:space="preserve">Apoyar </t>
    </r>
    <r>
      <rPr>
        <sz val="10"/>
        <color rgb="FFFF0000"/>
        <rFont val="Century Gothic"/>
        <family val="2"/>
      </rPr>
      <t xml:space="preserve">mensualmente </t>
    </r>
    <r>
      <rPr>
        <sz val="10"/>
        <color theme="1"/>
        <rFont val="Century Gothic"/>
        <family val="2"/>
      </rPr>
      <t xml:space="preserve"> Investigaciones de campo de eventos de salud pública tales como desnutrición, morbilidad materna,</t>
    </r>
  </si>
  <si>
    <t xml:space="preserve">Realizar 4 actividades ludopedagogica por vereda  en temas de: Prevención  de la Infección Respiratoria Aguda- IRA (covid 19) y Enfermedad Diarreica Aguda -EDA- en niños, en el curso de vida  juventud, adolescencia, adultez y vejez en el entorno comunitario y educativo de los sectores rural y urbano del municipio de Tenjo.  Mínimo 20 personas y 1 hora de ejecucion hora. </t>
  </si>
  <si>
    <r>
      <t xml:space="preserve">Realizar </t>
    </r>
    <r>
      <rPr>
        <sz val="10"/>
        <color rgb="FFFF0000"/>
        <rFont val="Century Gothic"/>
        <family val="2"/>
      </rPr>
      <t>mensualment</t>
    </r>
    <r>
      <rPr>
        <sz val="10"/>
        <color theme="1"/>
        <rFont val="Century Gothic"/>
        <family val="2"/>
      </rPr>
      <t>e   acciones de información y educación comunitarias domiciliariaas como resultado de las caracterizaciones del entorno hogar en lo referente a  enfermedades crónicas, en  el marco de la estrategia APS, según canalizacion y al riesgo identificado en trabajo articulado con referente de gestión del riesgo del PIC.</t>
    </r>
  </si>
  <si>
    <t>TOTAL ACTIVIDADES  DEL CONTRATO POR 8  MESES X  1 MEDICO</t>
  </si>
  <si>
    <t>NUMERO DE ACTIVIDADES POR AUXILIAR DURANTE EL CONTRATO 9 MESES</t>
  </si>
  <si>
    <t>Realizar   mensualmente acciones de seguimientos a educación comunitarias resultados de las acciones domiciliarias de pyp en temas de AIEPI, población vulnerable y pacientes con enfermedades crónicas,en  el marco de la estrategia APS, según canalizacion y al riesgo identificado según canalizacion y al riesgo identificado en trabajo articulado con referente de gestión del riesgo del PIC.</t>
  </si>
  <si>
    <t xml:space="preserve">1. Planes de Cuidado
2. Listado de asistencia 
                                     </t>
  </si>
  <si>
    <t>NUMERO DE ACTIVIDADES MENSUALES</t>
  </si>
  <si>
    <t>NUMERO DE ACTIVIDADES  MENSUALES</t>
  </si>
  <si>
    <t>TOTAL ACTIVIDADES  DEL CONTRATO POR 8  MESES X  1 PSICOLOGA</t>
  </si>
  <si>
    <r>
      <t xml:space="preserve">Participar </t>
    </r>
    <r>
      <rPr>
        <sz val="11"/>
        <color rgb="FFFF0000"/>
        <rFont val="Century Gothic"/>
        <family val="2"/>
      </rPr>
      <t xml:space="preserve">Mensualmente </t>
    </r>
    <r>
      <rPr>
        <sz val="11"/>
        <color rgb="FF000000"/>
        <rFont val="Century Gothic"/>
        <family val="2"/>
      </rPr>
      <t xml:space="preserve"> de forma activa en las accciones programadas en la Estrategia de Salud complementaria de APS  y/ o actividades propias de la Secretaria de Proteccion Social  Canalizando poblacion de los diferentes cursos de vida a demanda </t>
    </r>
  </si>
  <si>
    <t xml:space="preserve">1. Informe de actividad
2. Listado de asistencia 
3. Registro fotográfico
4.. Formato de canalización  Demanda Inducida y  seguimiento a la demanda efectiva  (medio físico y magnético)                                         </t>
  </si>
  <si>
    <t xml:space="preserve">1. Informe de actividad
2. Listado de asistencia 
3. Registro fotográfico
4.. Formato de canalización  Demanda Inducida y  seguimiento a la demanda efectiva  (medio físico y magnético)                                              </t>
  </si>
  <si>
    <t xml:space="preserve">1.Formato lineaBase en excel (medio físico y magnético)                                                       </t>
  </si>
  <si>
    <t xml:space="preserve">1. Informe de actividad
2. Listado de asistencia 
3. Registro fotográfico
4.Recurso Utilizado( Infografía , Volente , video, Folleto )                                                   </t>
  </si>
  <si>
    <t xml:space="preserve">1. Informe de actividad o acta 
2. Listado de asistencia 
3. Registro fotográfico
                                                </t>
  </si>
  <si>
    <t xml:space="preserve">1. acta de seguimiento
2. Listado de asistencia 
3. Registro fotográfico
                                                </t>
  </si>
  <si>
    <t xml:space="preserve">Participar  mensualmente de forma activa en las accciones programadas en la Estrategia de Salud complementaria de APS  y/ o actividades propias de la Secretaria de Proteccion Social  Canalizando poblacion de los diferentes cursos de vida a demanda </t>
  </si>
  <si>
    <r>
      <t>Realizar</t>
    </r>
    <r>
      <rPr>
        <sz val="11"/>
        <color rgb="FFFF0000"/>
        <rFont val="Century Gothic"/>
        <family val="2"/>
      </rPr>
      <t>10 a</t>
    </r>
    <r>
      <rPr>
        <sz val="11"/>
        <color theme="1"/>
        <rFont val="Century Gothic"/>
        <family val="2"/>
      </rPr>
      <t>ctividades sobre alimentación saludable, relación de comorbilidades como sobrepeso, obesidad y Enfermedades Crónicas No Trasmisibles. en el curso de vida adultez y vejez en el entorno institucional y comunitario de los sectores rural y urbano del municipio de Tenjo. Mínimo 15 personas y 1 hora.</t>
    </r>
  </si>
  <si>
    <r>
      <t xml:space="preserve">Realizar </t>
    </r>
    <r>
      <rPr>
        <sz val="11"/>
        <color rgb="FFFF0000"/>
        <rFont val="Century Gothic"/>
        <family val="2"/>
      </rPr>
      <t xml:space="preserve">10 </t>
    </r>
    <r>
      <rPr>
        <sz val="11"/>
        <color theme="1"/>
        <rFont val="Century Gothic"/>
        <family val="2"/>
      </rPr>
      <t>actividades lúdico pedagógicas sobre los riesgos para la salud cuando se consumen alimentos con alto contenido de sal/sodio, azúcar, grasas trans, fortaleciendo el conocimiento de factores protectores para la salud, como aumento consumo de frutas y verduras, agua, actividad física. en el curso de vida juventud, infancia, adolescencia, adultez y vejez en el entorno comunitario de los sectores rural y urbano del municipio de Tenjo. Mínimo 15 personas y 1 hora.</t>
    </r>
  </si>
  <si>
    <r>
      <t xml:space="preserve">Realizar </t>
    </r>
    <r>
      <rPr>
        <sz val="11"/>
        <color rgb="FFFF0000"/>
        <rFont val="Century Gothic"/>
        <family val="2"/>
      </rPr>
      <t>10</t>
    </r>
    <r>
      <rPr>
        <sz val="11"/>
        <color theme="1"/>
        <rFont val="Century Gothic"/>
        <family val="2"/>
      </rPr>
      <t xml:space="preserve"> actividades con gestantes y lactantes sobre lactancia materna y alimentación complementaria (enfoque diferencial- etnias). en el entorno comunitario de los sectores rural y urbano del municipio de Tenjo. Mínimo 15 personas y 1 hora.</t>
    </r>
  </si>
  <si>
    <r>
      <t xml:space="preserve">Realizar </t>
    </r>
    <r>
      <rPr>
        <sz val="11"/>
        <color rgb="FFFF0000"/>
        <rFont val="Century Gothic"/>
        <family val="2"/>
      </rPr>
      <t xml:space="preserve">12 </t>
    </r>
    <r>
      <rPr>
        <sz val="11"/>
        <color theme="1"/>
        <rFont val="Century Gothic"/>
        <family val="2"/>
      </rPr>
      <t>actividades de sensibilización en canales masivos (radio, prensa, producto audiovisual y tictocK) relacionando las siguientes tematicas. 1. guías alimentarias basadas en alimentos. GABA Plato saludable de la familia colombiana, 2. guía La Sal en la Alimentación, Guía para el consumo sano de sal, 3. Lineamiento técnico para la promoción de frutas y verduras y su marco normativo 4. Resoluciones 2154 y 3008 sobre grasas trans, dirigidas 10 comerciantes de preparación y consumo de alimentos del Municipio por mes (los establecimientos a visitar son de acuerdo a listado suministrado por la Dirección de Salud Pública- actividad valida por establecimiento comercial visitado).</t>
    </r>
  </si>
  <si>
    <r>
      <t xml:space="preserve">Realizar </t>
    </r>
    <r>
      <rPr>
        <sz val="11"/>
        <color rgb="FFFF0000"/>
        <rFont val="Century Gothic"/>
        <family val="2"/>
      </rPr>
      <t xml:space="preserve">10 </t>
    </r>
    <r>
      <rPr>
        <sz val="11"/>
        <color theme="1"/>
        <rFont val="Century Gothic"/>
        <family val="2"/>
      </rPr>
      <t>actividad lúdico pedagógicas fomentando los hábitos de vida saludable, en temas como: Guías Alimentarias, Lonchera saludables, control de consumo de alimentos industrializados, ricos en sodio y azucares, con el fin de prevenir problemas nutricionales. en el curso de vida primera infancia (escuelas de padres)infancia y adolescencia en IEDs y /o hogares comunitarios municipales . Alcance: 300 personas.</t>
    </r>
  </si>
  <si>
    <t>TOTAL ACTIVIDADES  DEL CONTRATO POR 8  MESES X  1 NUTRICIONISTA</t>
  </si>
  <si>
    <t xml:space="preserve">TOTAL ACTIVIDADES  DEL CONTRATO POR 9 MESES X  2 AUXILIARES </t>
  </si>
  <si>
    <t>Participar  mensualmente activamente  de manera bimestral, la Red Comunitaria de Vigilancia Nutricional. Evidenciando la conformación de  una red comunitaria con los lideres comunales que estén involucrados con población materno infantil y adulto mayor. en el curso de vida juventud, infancia, adolescencia, adultez y vejez en el entorno comunitario e institucional de los sectores rural y urbano del municipio de Tenjo.</t>
  </si>
  <si>
    <t>TOTAL ACTIVIDADES  DEL CONTRATO POR 8  MESES X  1 PROFESIONAL SALUD ORAL</t>
  </si>
  <si>
    <r>
      <t>Realizar</t>
    </r>
    <r>
      <rPr>
        <sz val="11"/>
        <color rgb="FFFF0000"/>
        <rFont val="Century Gothic"/>
        <family val="2"/>
      </rPr>
      <t xml:space="preserve"> 4</t>
    </r>
    <r>
      <rPr>
        <sz val="11"/>
        <color theme="1"/>
        <rFont val="Century Gothic"/>
        <family val="2"/>
      </rPr>
      <t xml:space="preserve"> actividades ludicopedagógica presencial en las cuatro instituciones educativas publicas y privadas  en hábitos higiénicos de salud bucal como rutina de cuidado diario, higiene de aparatología ortodontica,  en curso de vida de adolescencia.  En el entorno comunitario y educativo,  de los sectores rural y urbano del municipio de Tenjo. Mínimo 20 personas y 1 hora. </t>
    </r>
  </si>
  <si>
    <t xml:space="preserve">1. Informe  cualicuantitatvo           2. socialización resultado                      </t>
  </si>
  <si>
    <t>TOTAL ACTIVIDADES  DEL CONTRATO POR 8  MESES X  1 PROFESIONAL SALUD LABORAL</t>
  </si>
  <si>
    <t xml:space="preserve">1. Base de datos Plataforma SURVEY   Laboral 2. Recurso Utilizado( Infografía , Volante , video, Folleto )                                                                                                     </t>
  </si>
  <si>
    <t xml:space="preserve">Participar mensualmente  de forma activa en las accciones programadas en la Estrategia de Salud complementaria de APS  y/ o actividades propias de la Secretaria de Proteccion Social  Canalizando poblacion de los diferentes cursos de vida a demanda </t>
  </si>
  <si>
    <r>
      <t xml:space="preserve">Aplicar </t>
    </r>
    <r>
      <rPr>
        <sz val="10"/>
        <color rgb="FFFF0000"/>
        <rFont val="Century Gothic"/>
        <family val="2"/>
      </rPr>
      <t xml:space="preserve"> mensualmente al 100% de las familias visitadas </t>
    </r>
    <r>
      <rPr>
        <sz val="10"/>
        <color theme="1"/>
        <rFont val="Century Gothic"/>
        <family val="2"/>
      </rPr>
      <t xml:space="preserve"> (personas mayores de 18 años), el Test de FINDRICS y tablas de la OMS, por medio de plataforma virtual  ArcGis Survey 123 ,entregada por Secretaria de Salud, para la identificación del riesgo cardiovascular (Hipertensión y Diabetes) del curso de vida, adolescencia, juventud, adultez y vejez, en el entorno hogar, comunitario, educativo y laboral, de los sectores priorizados del municipio.</t>
    </r>
  </si>
  <si>
    <r>
      <t xml:space="preserve">GESTANTES                                                </t>
    </r>
    <r>
      <rPr>
        <sz val="10"/>
        <color rgb="FFFF0000"/>
        <rFont val="Century Gothic"/>
        <family val="2"/>
      </rPr>
      <t xml:space="preserve">                                                                                          Realizar caracterizaciòn  y seguimiento  de manera mensual   </t>
    </r>
    <r>
      <rPr>
        <sz val="10"/>
        <color theme="1"/>
        <rFont val="Century Gothic"/>
        <family val="2"/>
      </rPr>
      <t>a las mujeres gestantes y puérperas   a través de la plataforma ArcGIS survey 123  diligenciando el Kardex de gestantes y puérperas de acuerdo con la situación encontrada y apoyar la demanda inducida al curso psicoprofilactico. Se recomienda hacer busqueda activa de las gestantes antes de la semana 12.</t>
    </r>
  </si>
  <si>
    <r>
      <t xml:space="preserve"> Realizar </t>
    </r>
    <r>
      <rPr>
        <sz val="10"/>
        <color rgb="FFFF0000"/>
        <rFont val="Century Gothic"/>
        <family val="2"/>
      </rPr>
      <t xml:space="preserve">mensualmente </t>
    </r>
    <r>
      <rPr>
        <sz val="10"/>
        <color theme="1"/>
        <rFont val="Century Gothic"/>
        <family val="2"/>
      </rPr>
      <t xml:space="preserve">gestion del riesgo en salud  como resultado de las  acciones domiciliarias del entorno hogar , en  el marco de la estrategia APS, en lo relacionado a ENFERMERIA Y AIEPI entregar  planes de cuidado a  usuarios priorizados  de las auxiliares de enfermeria  de los sectores rural y urbano </t>
    </r>
  </si>
  <si>
    <t xml:space="preserve"> Realizar gestion del riesgo en salud (280) familias como resultado de la caracterizacion de las auxiliares de enfermeria en plataforma survey 123 y  entregar  planes de cuidado  en el marco de la estrategia APS,   en lo relacionado a PSICOLOGIA, de los sectores rural y urbano priorizados. </t>
  </si>
  <si>
    <r>
      <t xml:space="preserve">Apoyar la busqueda activa comunitaria mediante la identificación de </t>
    </r>
    <r>
      <rPr>
        <sz val="10"/>
        <color rgb="FFFF0000"/>
        <rFont val="Century Gothic"/>
        <family val="2"/>
      </rPr>
      <t>20</t>
    </r>
    <r>
      <rPr>
        <sz val="10"/>
        <color theme="1"/>
        <rFont val="Century Gothic"/>
        <family val="2"/>
      </rPr>
      <t xml:space="preserve"> casos asociados a vigilancia basada en la comunidad (Eventos de interés en salud pública, aseguramiento, saneamiento, personas en condición de discapacidad, tenencia responsable de mascotas, gestantes adolescentes, violencia intrafamiliar, desnutriciòn); consolidado de acta de reporte de vigilancia)</t>
    </r>
  </si>
  <si>
    <r>
      <t xml:space="preserve">Realizar visita de seguimiento de los </t>
    </r>
    <r>
      <rPr>
        <sz val="10"/>
        <color rgb="FFFF0000"/>
        <rFont val="Century Gothic"/>
        <family val="2"/>
      </rPr>
      <t>20</t>
    </r>
    <r>
      <rPr>
        <sz val="10"/>
        <color theme="1"/>
        <rFont val="Century Gothic"/>
        <family val="2"/>
      </rPr>
      <t xml:space="preserve"> casos asociados a vigilancia basada en la comunidad Eventos de interés en salud pública, aseguramiento, saneamiento, personas en condición de discapacidad, tenencia responsable de mascotas, gestantes adolescentes, violencia intrafamiliar, desnutriciòn); consolidado de acta de cierre de vigilancia)</t>
    </r>
  </si>
  <si>
    <t>Realizar 8 actividades lúdico pedagógicas, para promover alimentación saludable, dirigida a polbación victima del conflicto armado, indigenas y migrantes del municipio , incluir población perteneciente a programas sociales. en el curso de vida juventud, infancia, adolescencia, adultez y vejez en el entorno comunitario de los sectores rural y urbano del municipio de Tenjo. Mínimo 15 personas y 1 hora.</t>
  </si>
  <si>
    <r>
      <t>Realizar</t>
    </r>
    <r>
      <rPr>
        <sz val="11"/>
        <color rgb="FFFF0000"/>
        <rFont val="Century Gothic"/>
        <family val="2"/>
      </rPr>
      <t xml:space="preserve"> 272</t>
    </r>
    <r>
      <rPr>
        <sz val="11"/>
        <color theme="1"/>
        <rFont val="Century Gothic"/>
        <family val="2"/>
      </rPr>
      <t xml:space="preserve"> acciones  domiciliarias de p y p, en temas de aiepi,Bajo peso al nacer, crónicos y poblaciones vulnerables, en  el marco de la estrategia APS, según canalizacion y el riesgo identificado por los demás profesionales del PIC, en trabajo articulado con referente de  nutrición y seguridad alimentaria de gestión de la salud pública, de la secretaria de protección social.</t>
    </r>
  </si>
  <si>
    <r>
      <t xml:space="preserve">Realizar </t>
    </r>
    <r>
      <rPr>
        <sz val="11"/>
        <color rgb="FFFF0000"/>
        <rFont val="Century Gothic"/>
        <family val="2"/>
      </rPr>
      <t>16</t>
    </r>
    <r>
      <rPr>
        <sz val="11"/>
        <color theme="1"/>
        <rFont val="Century Gothic"/>
        <family val="2"/>
      </rPr>
      <t xml:space="preserve"> actividades de  capacitación a los beneficiarios de los programas sociales del municipio como el de PAE, de cero a siempre, otros, que favorezcan a poblaciones vulnerables como mujeres cabeza de familia, juventud, adulto mayor, población con discapacidad, en lectura de rotulado nutricional, en la actual norma de rotulado de productos resolución 5109 de 2005 y la resolución 333 de 2011 y en las próximas exigencias de acuerdo a la resolución 810 de 2021. Mínimo 15 personas y 1 hora</t>
    </r>
  </si>
  <si>
    <t xml:space="preserve"> Realizar gestion del riesgo en salud  como resultado de la demanda inducida realizada por las auxiliares de enfermeria del PIC , en  el marco de la estrategia APS, según caracterizacion y al riesgo en seguridad alimentaria y nutricional,  entregar  planes de cuidado a  personas caracterizadas , canalizando efectivamente a su correspondiente EAPB de acuerdo al riesgo identificado. Población: 152</t>
  </si>
  <si>
    <r>
      <t xml:space="preserve">Ejecutar </t>
    </r>
    <r>
      <rPr>
        <sz val="11"/>
        <color rgb="FFFF0000"/>
        <rFont val="Century Gothic"/>
        <family val="2"/>
      </rPr>
      <t xml:space="preserve">16 </t>
    </r>
    <r>
      <rPr>
        <sz val="11"/>
        <color theme="1"/>
        <rFont val="Century Gothic"/>
        <family val="2"/>
      </rPr>
      <t xml:space="preserve">jornadas de salud 1 por vereda (Chitasuga, Estanco, Carrasquilla, La Punta, Jacalito, Chacal, Santa Cruz, Guangata, Martin y Espino, Poveda 1, Poveda 2, Juaica, Chince, Chucua) y Casco Urbano  para promover hábitos y practicas de cuidado bucal, en el curso de vida  juventud, adultez y vejez en el entorno comunitario de los sectores rural y urbano del municipio de Tenjo.  Mínimo 20 personas en cada jornada. </t>
    </r>
  </si>
  <si>
    <r>
      <t xml:space="preserve">Realizar </t>
    </r>
    <r>
      <rPr>
        <sz val="11"/>
        <color rgb="FFFF0000"/>
        <rFont val="Century Gothic"/>
        <family val="2"/>
      </rPr>
      <t>mensualmente caracterización  al 100%</t>
    </r>
    <r>
      <rPr>
        <sz val="11"/>
        <color theme="1"/>
        <rFont val="Century Gothic"/>
        <family val="2"/>
      </rPr>
      <t xml:space="preserve"> de la población trabajadora informal, a traves de plataforma SURVEY123,  de acuerdo a las actividades económicas priorizadas y realizar educación en mitigación de riegos identificados. </t>
    </r>
    <r>
      <rPr>
        <sz val="11"/>
        <color rgb="FFFF0000"/>
        <rFont val="Century Gothic"/>
        <family val="2"/>
      </rPr>
      <t>Minimo 300 personas</t>
    </r>
    <r>
      <rPr>
        <sz val="11"/>
        <color theme="1"/>
        <rFont val="Century Gothic"/>
        <family val="2"/>
      </rPr>
      <t xml:space="preserve"> </t>
    </r>
    <r>
      <rPr>
        <sz val="11"/>
        <color rgb="FFFF0000"/>
        <rFont val="Century Gothic"/>
        <family val="2"/>
      </rPr>
      <t>entodo el contrat</t>
    </r>
    <r>
      <rPr>
        <sz val="11"/>
        <color theme="1"/>
        <rFont val="Century Gothic"/>
        <family val="2"/>
      </rPr>
      <t>o</t>
    </r>
  </si>
  <si>
    <r>
      <t xml:space="preserve"> Realizar </t>
    </r>
    <r>
      <rPr>
        <sz val="11"/>
        <color rgb="FFFF0000"/>
        <rFont val="Century Gothic"/>
        <family val="2"/>
      </rPr>
      <t>2</t>
    </r>
    <r>
      <rPr>
        <sz val="11"/>
        <color theme="1"/>
        <rFont val="Century Gothic"/>
        <family val="2"/>
      </rPr>
      <t xml:space="preserve"> actividad encoordinación intersectorial a través del CIETI, en las acciones de prevención, identificación y erradicación de trabajo infantil, en el marco de la Celebracion del dia de la prevencion de trabajo infantil  </t>
    </r>
  </si>
  <si>
    <t>Realizar planes de cuidado a 144 familias caracterizadas en seguimiento  mediante la aplicación de la ficha familiar establecida en el marco de la estrategia APS,   con el objetivo de promover la adopción de practicas de cuidado para la salud, en el entorno hogar de los sectores rural y urbano priorizados.</t>
  </si>
  <si>
    <r>
      <t xml:space="preserve">Realizar y entregar planes de cuidado a </t>
    </r>
    <r>
      <rPr>
        <sz val="10"/>
        <color rgb="FFFF0000"/>
        <rFont val="Century Gothic"/>
        <family val="2"/>
      </rPr>
      <t xml:space="preserve">360  </t>
    </r>
    <r>
      <rPr>
        <sz val="10"/>
        <color theme="1"/>
        <rFont val="Century Gothic"/>
        <family val="2"/>
      </rPr>
      <t>familias caracterizadas mediante la aplicación de la ficha familiar de acuerdo al riesgo identificado,con el objetivo de promover practicas de cuidado para la salud, en el entorno hogar De acuerdo con  la identificación de riesgos   de salud y sociales a fin de canalizar   los usuarios   a  los servicios de salud, promotoras en salud, a los profesionales de equipos básicos (psicólogo, nutricionista, enfermera, vacunación, etc)  y demás actores de competencia, con el fÍn de garantizar  la atención individual requerida  e impactar positivamente en su estado de salud y calidad de vida.</t>
    </r>
  </si>
  <si>
    <r>
      <t xml:space="preserve">Realizar visitas en el entorno hogar, a través del diligenciamiento completo  de la Ficha familiar en ArcGis Survey 123 que inclúyen caracterización y seguimiento a los  integrantes de la familia de acuerdo con la asignación de la territorialización del  municipio  y la concentración geográfica.
* Casco urbano- centro poblado:  </t>
    </r>
    <r>
      <rPr>
        <sz val="10"/>
        <color rgb="FFFF0000"/>
        <rFont val="Century Gothic"/>
        <family val="2"/>
      </rPr>
      <t xml:space="preserve">40 viisitas caracterización Mensuales y 5 de seguimiento.         </t>
    </r>
    <r>
      <rPr>
        <sz val="10"/>
        <color theme="1"/>
        <rFont val="Century Gothic"/>
        <family val="2"/>
      </rPr>
      <t xml:space="preserve">                                                                                                                                                      </t>
    </r>
  </si>
  <si>
    <t>Realizar mensualmente acciones de información y educación comunitarias resultado de las  acciones domiciliarias de p y p, en temas de AIEPI, y poblaciones vulnerables, en  el marco de la estrategia APS,en  el marco de la estrategia APS, según canalizacion y al riesgo identificado según canalizacion y al riesgo identificado en trabajo articulado con referente de gestión del riesgo del PIC.</t>
  </si>
  <si>
    <t>35 mensual</t>
  </si>
  <si>
    <t>Realizar 8 sesiones educativas  orientadas a la comunidad en el entorno comunitario mediante  identificación de variables de riesgo asociadas a prevenciòn de infecciones respiratorias, enfermedad diarreica aguda,tècnicas adecuadas de recolecciòn de agua , con ánimo de mejorar  las condiciones  de los determinantes de la salud</t>
  </si>
  <si>
    <t>20 casos mensuales/ C/U</t>
  </si>
  <si>
    <t>20 seguimientos mensuales/ C/U</t>
  </si>
  <si>
    <t>2 trimestrales/ C/U</t>
  </si>
  <si>
    <t>9/ C/U</t>
  </si>
  <si>
    <t>1 trimestral/ C/U</t>
  </si>
  <si>
    <t>1 por mes/ C/U</t>
  </si>
  <si>
    <t>PROMOTOR 1 y 2</t>
  </si>
  <si>
    <t>SEGÚN CRONOGRAMA</t>
  </si>
  <si>
    <r>
      <t xml:space="preserve">Educar a </t>
    </r>
    <r>
      <rPr>
        <sz val="11"/>
        <color rgb="FFFF0000"/>
        <rFont val="Century Gothic"/>
        <family val="2"/>
      </rPr>
      <t>350</t>
    </r>
    <r>
      <rPr>
        <sz val="11"/>
        <color theme="1"/>
        <rFont val="Century Gothic"/>
        <family val="2"/>
      </rPr>
      <t xml:space="preserve"> trabajadores informales en el manejo adecuado de plaguicidas,artesanos,trabajadores de transporte público, expendio de alimentos y bebidas,miscelaneas, manejo de riesgos laborales, accidentes y enfermedades laborales en el marco de la prevención en seguridad y salud en el trabajo.</t>
    </r>
  </si>
  <si>
    <r>
      <t xml:space="preserve">Realizar </t>
    </r>
    <r>
      <rPr>
        <sz val="10"/>
        <color rgb="FFFF0000"/>
        <rFont val="Century Gothic"/>
        <family val="2"/>
      </rPr>
      <t>144</t>
    </r>
    <r>
      <rPr>
        <sz val="10"/>
        <color theme="1"/>
        <rFont val="Century Gothic"/>
        <family val="2"/>
      </rPr>
      <t xml:space="preserve"> acciones de información y educación comunitarias resultado de las  acciones domiciliarias de p y p y poblaciones vulnerables, en  el marco de la estrategia APS, según canalizacion y al riesgo identificado  en trabajo articulado con referente de gestión del riesgo del PIC.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</si>
</sst>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164" formatCode="&quot;$&quot;#,##0"/>
    <numFmt numFmtId="165" formatCode="[$$-240A]\ #,##0.00;\-[$$-240A]\ #,##0.00;[$$-240A]\ #,##0.00;@"/>
    <numFmt numFmtId="166" formatCode="_-* #,##0.00_-;\-* #,##0.00_-;_-* &quot;-&quot;_-;_-@_-"/>
    <numFmt numFmtId="167" formatCode="&quot;$&quot;#,##0.00"/>
  </numFmts>
  <fonts count="25" x14ac:knownFonts="1">
    <font>
      <sz val="11"/>
      <color theme="1"/>
      <name val="Calibri"/>
      <family val="2"/>
      <scheme val="minor"/>
    </font>
    <font>
      <b/>
      <sz val="11"/>
      <color theme="1"/>
      <name val="Century Gothic"/>
      <family val="2"/>
    </font>
    <font>
      <sz val="10"/>
      <color theme="1"/>
      <name val="Arial"/>
      <family val="2"/>
    </font>
    <font>
      <sz val="11"/>
      <color theme="1"/>
      <name val="Arial"/>
      <family val="2"/>
    </font>
    <font>
      <b/>
      <sz val="10"/>
      <color theme="1"/>
      <name val="Arial"/>
      <family val="2"/>
    </font>
    <font>
      <b/>
      <sz val="11"/>
      <color theme="1"/>
      <name val="Arial"/>
      <family val="2"/>
    </font>
    <font>
      <sz val="11"/>
      <color theme="1"/>
      <name val="Century Gothic"/>
      <family val="2"/>
    </font>
    <font>
      <sz val="11"/>
      <color theme="1"/>
      <name val="Calibri"/>
      <family val="2"/>
      <scheme val="minor"/>
    </font>
    <font>
      <b/>
      <sz val="11"/>
      <color theme="1"/>
      <name val="Calibri"/>
      <family val="2"/>
      <scheme val="minor"/>
    </font>
    <font>
      <sz val="10"/>
      <color theme="1"/>
      <name val="Calibri"/>
      <family val="2"/>
      <scheme val="minor"/>
    </font>
    <font>
      <b/>
      <sz val="10"/>
      <color theme="1"/>
      <name val="Century Gothic"/>
      <family val="2"/>
    </font>
    <font>
      <sz val="10"/>
      <color theme="1"/>
      <name val="Century Gothic"/>
      <family val="2"/>
    </font>
    <font>
      <u/>
      <sz val="11"/>
      <color theme="10"/>
      <name val="Calibri"/>
      <family val="2"/>
      <scheme val="minor"/>
    </font>
    <font>
      <u/>
      <sz val="11"/>
      <color theme="11"/>
      <name val="Calibri"/>
      <family val="2"/>
      <scheme val="minor"/>
    </font>
    <font>
      <sz val="11"/>
      <color rgb="FF000000"/>
      <name val="Arial"/>
      <family val="2"/>
    </font>
    <font>
      <sz val="11"/>
      <color rgb="FF000000"/>
      <name val="Century Gothic"/>
      <family val="2"/>
    </font>
    <font>
      <sz val="14"/>
      <color theme="1"/>
      <name val="Calibri"/>
      <family val="2"/>
      <scheme val="minor"/>
    </font>
    <font>
      <sz val="10"/>
      <color rgb="FFFF0000"/>
      <name val="Century Gothic"/>
      <family val="2"/>
    </font>
    <font>
      <b/>
      <sz val="10"/>
      <color rgb="FF000000"/>
      <name val="Arial"/>
      <family val="2"/>
    </font>
    <font>
      <b/>
      <sz val="11"/>
      <color rgb="FF000000"/>
      <name val="Arial"/>
      <family val="2"/>
    </font>
    <font>
      <sz val="9"/>
      <color indexed="81"/>
      <name val="Tahoma"/>
      <charset val="1"/>
    </font>
    <font>
      <b/>
      <sz val="9"/>
      <color indexed="81"/>
      <name val="Tahoma"/>
      <charset val="1"/>
    </font>
    <font>
      <b/>
      <sz val="10"/>
      <name val="Arial"/>
      <family val="2"/>
    </font>
    <font>
      <sz val="11"/>
      <name val="Calibri"/>
      <family val="2"/>
    </font>
    <font>
      <sz val="11"/>
      <color rgb="FFFF0000"/>
      <name val="Century Gothic"/>
      <family val="2"/>
    </font>
  </fonts>
  <fills count="24">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FF"/>
        <bgColor rgb="FFFFFFFF"/>
      </patternFill>
    </fill>
    <fill>
      <patternFill patternType="solid">
        <fgColor rgb="FF00B0F0"/>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4.9989318521683403E-2"/>
        <bgColor rgb="FFD9D9D9"/>
      </patternFill>
    </fill>
    <fill>
      <patternFill patternType="solid">
        <fgColor theme="9" tint="0.79998168889431442"/>
        <bgColor indexed="64"/>
      </patternFill>
    </fill>
    <fill>
      <patternFill patternType="solid">
        <fgColor theme="9" tint="0.79998168889431442"/>
        <bgColor rgb="FFFFFFFF"/>
      </patternFill>
    </fill>
    <fill>
      <patternFill patternType="solid">
        <fgColor rgb="FFFFFF00"/>
        <bgColor indexed="64"/>
      </patternFill>
    </fill>
    <fill>
      <patternFill patternType="solid">
        <fgColor theme="5" tint="0.79998168889431442"/>
        <bgColor indexed="64"/>
      </patternFill>
    </fill>
    <fill>
      <patternFill patternType="solid">
        <fgColor theme="0"/>
        <bgColor rgb="FFFFFF00"/>
      </patternFill>
    </fill>
    <fill>
      <patternFill patternType="solid">
        <fgColor rgb="FFF2F2F2"/>
        <bgColor rgb="FFD9D9D9"/>
      </patternFill>
    </fill>
    <fill>
      <patternFill patternType="solid">
        <fgColor rgb="FF00B050"/>
        <bgColor indexed="64"/>
      </patternFill>
    </fill>
    <fill>
      <patternFill patternType="solid">
        <fgColor rgb="FF00B050"/>
        <bgColor rgb="FFD9D9D9"/>
      </patternFill>
    </fill>
    <fill>
      <patternFill patternType="solid">
        <fgColor rgb="FFFFC000"/>
        <bgColor indexed="64"/>
      </patternFill>
    </fill>
    <fill>
      <patternFill patternType="solid">
        <fgColor rgb="FFFFC000"/>
        <bgColor rgb="FFFFFF00"/>
      </patternFill>
    </fill>
    <fill>
      <patternFill patternType="solid">
        <fgColor rgb="FFFF0000"/>
        <bgColor rgb="FFFFFF00"/>
      </patternFill>
    </fill>
    <fill>
      <patternFill patternType="solid">
        <fgColor rgb="FFFF0000"/>
        <bgColor indexed="64"/>
      </patternFill>
    </fill>
    <fill>
      <patternFill patternType="solid">
        <fgColor rgb="FFFF0000"/>
        <bgColor theme="0"/>
      </patternFill>
    </fill>
    <fill>
      <patternFill patternType="solid">
        <fgColor rgb="FFFF0000"/>
        <bgColor rgb="FFD9D9D9"/>
      </patternFill>
    </fill>
    <fill>
      <patternFill patternType="solid">
        <fgColor rgb="FFFFFF00"/>
        <bgColor rgb="FFFFFFFF"/>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s>
  <cellStyleXfs count="501">
    <xf numFmtId="0" fontId="0" fillId="0" borderId="0"/>
    <xf numFmtId="44" fontId="7"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41" fontId="7"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9" fontId="7"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41" fontId="23" fillId="0" borderId="0" applyFon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cellStyleXfs>
  <cellXfs count="104">
    <xf numFmtId="0" fontId="0" fillId="0" borderId="0" xfId="0"/>
    <xf numFmtId="0" fontId="1" fillId="0" borderId="1" xfId="0" applyFont="1" applyBorder="1" applyAlignment="1">
      <alignment horizontal="center" vertical="center" wrapText="1"/>
    </xf>
    <xf numFmtId="164" fontId="3" fillId="3" borderId="1"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0" fillId="0" borderId="0" xfId="0" applyAlignment="1">
      <alignment horizontal="center" vertical="center"/>
    </xf>
    <xf numFmtId="164" fontId="8" fillId="5" borderId="0" xfId="0" applyNumberFormat="1" applyFont="1" applyFill="1" applyAlignment="1">
      <alignment horizontal="center" vertical="center"/>
    </xf>
    <xf numFmtId="0" fontId="0" fillId="7" borderId="0" xfId="0" applyFill="1" applyAlignment="1">
      <alignment horizontal="center" vertical="center"/>
    </xf>
    <xf numFmtId="0" fontId="4" fillId="2" borderId="1" xfId="0" applyFont="1" applyFill="1" applyBorder="1" applyAlignment="1">
      <alignment horizontal="center" vertical="center" wrapText="1"/>
    </xf>
    <xf numFmtId="0" fontId="9" fillId="0" borderId="0" xfId="0" applyFont="1" applyAlignment="1">
      <alignment horizontal="center"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0" fontId="11" fillId="0" borderId="0" xfId="0" applyFont="1" applyAlignment="1">
      <alignment horizontal="center" vertical="center"/>
    </xf>
    <xf numFmtId="0" fontId="10" fillId="2" borderId="1" xfId="0" applyFont="1" applyFill="1" applyBorder="1" applyAlignment="1">
      <alignment horizontal="center" vertical="center" wrapText="1"/>
    </xf>
    <xf numFmtId="164" fontId="11" fillId="3" borderId="1" xfId="0" applyNumberFormat="1" applyFont="1" applyFill="1" applyBorder="1" applyAlignment="1">
      <alignment horizontal="center" vertical="center"/>
    </xf>
    <xf numFmtId="0" fontId="10" fillId="7" borderId="1" xfId="0" applyFont="1" applyFill="1" applyBorder="1" applyAlignment="1">
      <alignment horizontal="center" vertical="center" wrapText="1"/>
    </xf>
    <xf numFmtId="0" fontId="9" fillId="7" borderId="0" xfId="0" applyFont="1" applyFill="1" applyAlignment="1">
      <alignment horizontal="center" vertical="center"/>
    </xf>
    <xf numFmtId="0" fontId="9" fillId="0" borderId="0" xfId="0" applyFont="1"/>
    <xf numFmtId="0" fontId="10" fillId="6" borderId="1" xfId="0" applyFont="1" applyFill="1" applyBorder="1" applyAlignment="1">
      <alignment horizontal="center" vertical="center"/>
    </xf>
    <xf numFmtId="0" fontId="11" fillId="7" borderId="0" xfId="0" applyFont="1" applyFill="1" applyAlignment="1">
      <alignment horizontal="center" vertical="center"/>
    </xf>
    <xf numFmtId="164" fontId="11" fillId="0" borderId="0" xfId="0" applyNumberFormat="1" applyFont="1" applyAlignment="1">
      <alignment horizontal="center" vertical="center"/>
    </xf>
    <xf numFmtId="44" fontId="11" fillId="0" borderId="0" xfId="1" applyFont="1" applyAlignment="1">
      <alignment horizontal="center" vertical="center"/>
    </xf>
    <xf numFmtId="0" fontId="0" fillId="0" borderId="1" xfId="0" applyBorder="1" applyAlignment="1">
      <alignment horizontal="center"/>
    </xf>
    <xf numFmtId="0" fontId="6" fillId="0" borderId="1" xfId="0" applyFont="1" applyBorder="1" applyAlignment="1">
      <alignment horizontal="left" vertical="center" wrapText="1"/>
    </xf>
    <xf numFmtId="3" fontId="6" fillId="0" borderId="1" xfId="0" applyNumberFormat="1" applyFont="1" applyBorder="1" applyAlignment="1">
      <alignment horizontal="center" vertical="center" wrapText="1"/>
    </xf>
    <xf numFmtId="3" fontId="6" fillId="0" borderId="1" xfId="0" applyNumberFormat="1" applyFont="1" applyBorder="1" applyAlignment="1">
      <alignment horizontal="right" vertical="center" wrapText="1"/>
    </xf>
    <xf numFmtId="0" fontId="6" fillId="0" borderId="1" xfId="0" applyFont="1" applyBorder="1" applyAlignment="1">
      <alignment horizontal="left" vertical="center"/>
    </xf>
    <xf numFmtId="3" fontId="1" fillId="0" borderId="1" xfId="0" applyNumberFormat="1" applyFont="1" applyBorder="1" applyAlignment="1">
      <alignment horizontal="center" vertical="center"/>
    </xf>
    <xf numFmtId="0" fontId="4" fillId="8" borderId="1" xfId="0" applyFont="1" applyFill="1" applyBorder="1" applyAlignment="1">
      <alignment horizontal="center" vertical="center"/>
    </xf>
    <xf numFmtId="0" fontId="5" fillId="8" borderId="1" xfId="0" applyFont="1" applyFill="1" applyBorder="1" applyAlignment="1">
      <alignment horizontal="center" vertical="center"/>
    </xf>
    <xf numFmtId="164" fontId="4" fillId="8" borderId="1" xfId="0" applyNumberFormat="1" applyFont="1" applyFill="1" applyBorder="1" applyAlignment="1">
      <alignment horizontal="center" vertical="center"/>
    </xf>
    <xf numFmtId="164" fontId="14" fillId="4" borderId="2" xfId="0" applyNumberFormat="1" applyFont="1" applyFill="1" applyBorder="1" applyAlignment="1">
      <alignment horizontal="center" vertical="center"/>
    </xf>
    <xf numFmtId="164" fontId="14" fillId="4" borderId="1" xfId="0" applyNumberFormat="1" applyFont="1" applyFill="1" applyBorder="1" applyAlignment="1">
      <alignment horizontal="center" vertical="center"/>
    </xf>
    <xf numFmtId="0" fontId="10" fillId="9" borderId="1" xfId="0" applyFont="1" applyFill="1" applyBorder="1" applyAlignment="1">
      <alignment horizontal="center" vertical="center" wrapText="1"/>
    </xf>
    <xf numFmtId="164" fontId="11" fillId="9" borderId="1" xfId="0" applyNumberFormat="1" applyFont="1" applyFill="1" applyBorder="1" applyAlignment="1">
      <alignment horizontal="center" vertical="center"/>
    </xf>
    <xf numFmtId="164" fontId="14" fillId="10" borderId="1" xfId="0" applyNumberFormat="1" applyFont="1" applyFill="1" applyBorder="1" applyAlignment="1">
      <alignment horizontal="center" vertical="center"/>
    </xf>
    <xf numFmtId="164" fontId="14" fillId="10" borderId="2" xfId="0" applyNumberFormat="1" applyFont="1" applyFill="1" applyBorder="1" applyAlignment="1">
      <alignment horizontal="center" vertical="center"/>
    </xf>
    <xf numFmtId="164" fontId="0" fillId="9" borderId="1" xfId="0" applyNumberFormat="1" applyFill="1" applyBorder="1" applyAlignment="1">
      <alignment horizontal="center" vertical="center"/>
    </xf>
    <xf numFmtId="41" fontId="11" fillId="0" borderId="0" xfId="134" applyFont="1" applyAlignment="1">
      <alignment horizontal="center" vertical="center"/>
    </xf>
    <xf numFmtId="0" fontId="16" fillId="12" borderId="4" xfId="0" applyFont="1" applyFill="1" applyBorder="1" applyAlignment="1">
      <alignment vertical="center"/>
    </xf>
    <xf numFmtId="0" fontId="16" fillId="0" borderId="4" xfId="0" applyFont="1" applyBorder="1" applyAlignment="1">
      <alignment vertical="center" wrapText="1"/>
    </xf>
    <xf numFmtId="0" fontId="16" fillId="0" borderId="4" xfId="0" applyFont="1" applyBorder="1" applyAlignment="1">
      <alignment vertical="center"/>
    </xf>
    <xf numFmtId="0" fontId="16" fillId="12" borderId="3" xfId="0" applyFont="1" applyFill="1" applyBorder="1" applyAlignment="1">
      <alignment vertical="center"/>
    </xf>
    <xf numFmtId="4" fontId="16" fillId="0" borderId="4" xfId="0" applyNumberFormat="1" applyFont="1" applyBorder="1" applyAlignment="1">
      <alignment vertical="center"/>
    </xf>
    <xf numFmtId="0" fontId="16" fillId="0" borderId="0" xfId="0" applyFont="1" applyAlignment="1">
      <alignment vertical="center"/>
    </xf>
    <xf numFmtId="4" fontId="16" fillId="11" borderId="0" xfId="0" applyNumberFormat="1" applyFont="1" applyFill="1" applyAlignment="1">
      <alignment vertical="center"/>
    </xf>
    <xf numFmtId="0" fontId="0" fillId="0" borderId="4" xfId="0" applyBorder="1" applyAlignment="1">
      <alignment vertical="center"/>
    </xf>
    <xf numFmtId="165" fontId="0" fillId="0" borderId="4" xfId="0" applyNumberFormat="1" applyBorder="1" applyAlignment="1">
      <alignment vertical="center"/>
    </xf>
    <xf numFmtId="1" fontId="0" fillId="0" borderId="4" xfId="0" applyNumberFormat="1" applyBorder="1" applyAlignment="1">
      <alignment vertical="center"/>
    </xf>
    <xf numFmtId="4" fontId="0" fillId="0" borderId="0" xfId="0" applyNumberFormat="1"/>
    <xf numFmtId="10" fontId="0" fillId="0" borderId="0" xfId="279" applyNumberFormat="1" applyFont="1"/>
    <xf numFmtId="0" fontId="4" fillId="13" borderId="1" xfId="0" applyFont="1" applyFill="1" applyBorder="1" applyAlignment="1">
      <alignment horizontal="center" vertical="center" wrapText="1"/>
    </xf>
    <xf numFmtId="0" fontId="9" fillId="7" borderId="1" xfId="0" applyFont="1" applyFill="1" applyBorder="1" applyAlignment="1">
      <alignment horizontal="center" vertical="center"/>
    </xf>
    <xf numFmtId="0" fontId="2" fillId="7" borderId="1" xfId="0" applyFont="1" applyFill="1" applyBorder="1" applyAlignment="1">
      <alignment horizontal="center" vertical="center"/>
    </xf>
    <xf numFmtId="1" fontId="11" fillId="11" borderId="1" xfId="0" applyNumberFormat="1" applyFont="1" applyFill="1" applyBorder="1" applyAlignment="1">
      <alignment horizontal="center" vertical="center"/>
    </xf>
    <xf numFmtId="0" fontId="11" fillId="7"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8" fillId="14" borderId="1" xfId="0" applyFont="1" applyFill="1" applyBorder="1" applyAlignment="1">
      <alignment horizontal="center" vertical="center"/>
    </xf>
    <xf numFmtId="0" fontId="18" fillId="14" borderId="2" xfId="0" applyFont="1" applyFill="1" applyBorder="1" applyAlignment="1">
      <alignment horizontal="center" vertical="center"/>
    </xf>
    <xf numFmtId="0" fontId="19" fillId="14" borderId="2" xfId="0" applyFont="1" applyFill="1" applyBorder="1" applyAlignment="1">
      <alignment horizontal="center" vertical="center"/>
    </xf>
    <xf numFmtId="164" fontId="18" fillId="14" borderId="2" xfId="0" applyNumberFormat="1" applyFont="1" applyFill="1" applyBorder="1" applyAlignment="1">
      <alignment horizontal="center" vertical="center"/>
    </xf>
    <xf numFmtId="0" fontId="15" fillId="7"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1" fillId="11" borderId="1" xfId="0" applyFont="1" applyFill="1" applyBorder="1" applyAlignment="1">
      <alignment horizontal="center" vertical="center" wrapText="1"/>
    </xf>
    <xf numFmtId="0" fontId="6" fillId="7" borderId="1" xfId="0" applyFont="1" applyFill="1" applyBorder="1" applyAlignment="1">
      <alignment horizontal="left" vertical="center" wrapText="1"/>
    </xf>
    <xf numFmtId="3" fontId="6" fillId="11"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3" fontId="6" fillId="11" borderId="1" xfId="0" applyNumberFormat="1" applyFont="1" applyFill="1" applyBorder="1" applyAlignment="1">
      <alignment horizontal="right" vertical="center" wrapText="1"/>
    </xf>
    <xf numFmtId="0" fontId="1" fillId="0" borderId="1" xfId="0" applyFont="1" applyBorder="1" applyAlignment="1">
      <alignment vertical="center" wrapText="1"/>
    </xf>
    <xf numFmtId="0" fontId="0" fillId="0" borderId="0" xfId="0" applyAlignment="1">
      <alignment vertical="center"/>
    </xf>
    <xf numFmtId="0" fontId="6" fillId="0" borderId="1" xfId="0" applyFont="1" applyBorder="1" applyAlignment="1">
      <alignment vertical="center"/>
    </xf>
    <xf numFmtId="3" fontId="6" fillId="0" borderId="1" xfId="0" applyNumberFormat="1" applyFont="1" applyBorder="1" applyAlignment="1">
      <alignment vertical="center"/>
    </xf>
    <xf numFmtId="3" fontId="1" fillId="0" borderId="1" xfId="0" applyNumberFormat="1" applyFont="1" applyBorder="1" applyAlignment="1">
      <alignment vertical="center"/>
    </xf>
    <xf numFmtId="3" fontId="1" fillId="11" borderId="1" xfId="0" applyNumberFormat="1" applyFont="1" applyFill="1" applyBorder="1" applyAlignment="1">
      <alignment vertical="center"/>
    </xf>
    <xf numFmtId="0" fontId="0" fillId="0" borderId="1" xfId="0" applyBorder="1" applyAlignment="1">
      <alignment vertical="center"/>
    </xf>
    <xf numFmtId="0" fontId="0" fillId="0" borderId="0" xfId="0" applyAlignment="1">
      <alignment vertical="center" wrapText="1"/>
    </xf>
    <xf numFmtId="9" fontId="0" fillId="0" borderId="0" xfId="0" applyNumberFormat="1" applyAlignment="1">
      <alignment vertical="center"/>
    </xf>
    <xf numFmtId="3" fontId="0" fillId="0" borderId="0" xfId="0" applyNumberFormat="1" applyAlignment="1">
      <alignment vertical="center"/>
    </xf>
    <xf numFmtId="41" fontId="0" fillId="0" borderId="0" xfId="134" applyFont="1" applyAlignment="1">
      <alignment vertical="center"/>
    </xf>
    <xf numFmtId="0" fontId="11" fillId="11" borderId="1" xfId="0" applyFont="1" applyFill="1" applyBorder="1" applyAlignment="1">
      <alignment horizontal="left" vertical="center" wrapText="1"/>
    </xf>
    <xf numFmtId="0" fontId="11" fillId="15" borderId="1" xfId="0" applyFont="1" applyFill="1" applyBorder="1" applyAlignment="1">
      <alignment horizontal="center" vertical="center" wrapText="1"/>
    </xf>
    <xf numFmtId="0" fontId="5" fillId="16" borderId="1" xfId="0" applyFont="1" applyFill="1" applyBorder="1" applyAlignment="1">
      <alignment horizontal="center" vertical="center"/>
    </xf>
    <xf numFmtId="0" fontId="22"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10" fillId="18" borderId="1" xfId="0" applyFont="1" applyFill="1" applyBorder="1" applyAlignment="1">
      <alignment horizontal="center" vertical="center" wrapText="1"/>
    </xf>
    <xf numFmtId="0" fontId="10" fillId="19" borderId="1" xfId="0" applyFont="1" applyFill="1" applyBorder="1" applyAlignment="1">
      <alignment horizontal="center" vertical="center" wrapText="1"/>
    </xf>
    <xf numFmtId="0" fontId="11" fillId="20" borderId="1" xfId="0" applyFont="1" applyFill="1" applyBorder="1" applyAlignment="1">
      <alignment horizontal="center" vertical="center"/>
    </xf>
    <xf numFmtId="1" fontId="11" fillId="20" borderId="1" xfId="0" applyNumberFormat="1" applyFont="1" applyFill="1" applyBorder="1" applyAlignment="1">
      <alignment horizontal="center" vertical="center"/>
    </xf>
    <xf numFmtId="0" fontId="11" fillId="21" borderId="1" xfId="0" applyFont="1" applyFill="1" applyBorder="1" applyAlignment="1">
      <alignment horizontal="center" vertical="center"/>
    </xf>
    <xf numFmtId="1" fontId="11" fillId="21" borderId="1" xfId="0" applyNumberFormat="1" applyFont="1" applyFill="1" applyBorder="1" applyAlignment="1">
      <alignment horizontal="center" vertical="center"/>
    </xf>
    <xf numFmtId="0" fontId="4" fillId="22" borderId="1" xfId="0" applyFont="1" applyFill="1" applyBorder="1" applyAlignment="1">
      <alignment horizontal="center" vertical="center"/>
    </xf>
    <xf numFmtId="0" fontId="11" fillId="20" borderId="1" xfId="0" applyFont="1" applyFill="1" applyBorder="1" applyAlignment="1">
      <alignment horizontal="center" vertical="center" wrapText="1"/>
    </xf>
    <xf numFmtId="0" fontId="11" fillId="11" borderId="1" xfId="0" applyFont="1" applyFill="1" applyBorder="1" applyAlignment="1">
      <alignment horizontal="center" vertical="center"/>
    </xf>
    <xf numFmtId="164" fontId="11" fillId="11" borderId="1" xfId="0" applyNumberFormat="1" applyFont="1" applyFill="1" applyBorder="1" applyAlignment="1">
      <alignment horizontal="center" vertical="center"/>
    </xf>
    <xf numFmtId="164" fontId="14" fillId="23" borderId="1" xfId="0" applyNumberFormat="1" applyFont="1" applyFill="1" applyBorder="1" applyAlignment="1">
      <alignment horizontal="center" vertical="center"/>
    </xf>
    <xf numFmtId="164" fontId="14" fillId="23" borderId="2" xfId="0" applyNumberFormat="1" applyFont="1" applyFill="1" applyBorder="1" applyAlignment="1">
      <alignment horizontal="center" vertical="center"/>
    </xf>
    <xf numFmtId="164" fontId="0" fillId="11" borderId="1" xfId="0" applyNumberFormat="1" applyFill="1" applyBorder="1" applyAlignment="1">
      <alignment horizontal="center" vertical="center"/>
    </xf>
    <xf numFmtId="3" fontId="11" fillId="0" borderId="0" xfId="0" applyNumberFormat="1" applyFont="1" applyAlignment="1">
      <alignment horizontal="center" vertical="center"/>
    </xf>
    <xf numFmtId="164" fontId="9" fillId="0" borderId="0" xfId="0" applyNumberFormat="1" applyFont="1" applyAlignment="1">
      <alignment horizontal="center" vertical="center"/>
    </xf>
    <xf numFmtId="166" fontId="9" fillId="0" borderId="0" xfId="134" applyNumberFormat="1" applyFont="1" applyAlignment="1">
      <alignment horizontal="center" vertical="center"/>
    </xf>
    <xf numFmtId="167" fontId="11" fillId="9" borderId="1" xfId="0" applyNumberFormat="1" applyFont="1" applyFill="1" applyBorder="1" applyAlignment="1">
      <alignment horizontal="center" vertical="center"/>
    </xf>
    <xf numFmtId="167" fontId="11" fillId="11" borderId="1" xfId="0" applyNumberFormat="1" applyFont="1" applyFill="1" applyBorder="1" applyAlignment="1">
      <alignment horizontal="center" vertical="center"/>
    </xf>
    <xf numFmtId="164" fontId="0" fillId="0" borderId="0" xfId="0" applyNumberFormat="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wrapText="1"/>
    </xf>
  </cellXfs>
  <cellStyles count="501">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80" builtinId="8" hidden="1"/>
    <cellStyle name="Hipervínculo" xfId="282" builtinId="8" hidden="1"/>
    <cellStyle name="Hipervínculo" xfId="284" builtinId="8" hidden="1"/>
    <cellStyle name="Hipervínculo" xfId="286" builtinId="8" hidden="1"/>
    <cellStyle name="Hipervínculo" xfId="288" builtinId="8" hidden="1"/>
    <cellStyle name="Hipervínculo" xfId="290" builtinId="8" hidden="1"/>
    <cellStyle name="Hipervínculo" xfId="292" builtinId="8" hidden="1"/>
    <cellStyle name="Hipervínculo" xfId="294" builtinId="8" hidden="1"/>
    <cellStyle name="Hipervínculo" xfId="296" builtinId="8" hidden="1"/>
    <cellStyle name="Hipervínculo" xfId="298" builtinId="8" hidden="1"/>
    <cellStyle name="Hipervínculo" xfId="300" builtinId="8" hidden="1"/>
    <cellStyle name="Hipervínculo" xfId="302" builtinId="8" hidden="1"/>
    <cellStyle name="Hipervínculo" xfId="304" builtinId="8" hidden="1"/>
    <cellStyle name="Hipervínculo" xfId="306" builtinId="8" hidden="1"/>
    <cellStyle name="Hipervínculo" xfId="308" builtinId="8" hidden="1"/>
    <cellStyle name="Hipervínculo" xfId="310" builtinId="8" hidden="1"/>
    <cellStyle name="Hipervínculo" xfId="312" builtinId="8" hidden="1"/>
    <cellStyle name="Hipervínculo" xfId="314" builtinId="8" hidden="1"/>
    <cellStyle name="Hipervínculo" xfId="316" builtinId="8" hidden="1"/>
    <cellStyle name="Hipervínculo" xfId="318" builtinId="8" hidden="1"/>
    <cellStyle name="Hipervínculo" xfId="320" builtinId="8" hidden="1"/>
    <cellStyle name="Hipervínculo" xfId="322" builtinId="8" hidden="1"/>
    <cellStyle name="Hipervínculo" xfId="324" builtinId="8" hidden="1"/>
    <cellStyle name="Hipervínculo" xfId="326" builtinId="8" hidden="1"/>
    <cellStyle name="Hipervínculo" xfId="328" builtinId="8" hidden="1"/>
    <cellStyle name="Hipervínculo" xfId="330" builtinId="8" hidden="1"/>
    <cellStyle name="Hipervínculo" xfId="332" builtinId="8" hidden="1"/>
    <cellStyle name="Hipervínculo" xfId="334" builtinId="8" hidden="1"/>
    <cellStyle name="Hipervínculo" xfId="336" builtinId="8" hidden="1"/>
    <cellStyle name="Hipervínculo" xfId="338" builtinId="8" hidden="1"/>
    <cellStyle name="Hipervínculo" xfId="340" builtinId="8" hidden="1"/>
    <cellStyle name="Hipervínculo" xfId="342" builtinId="8" hidden="1"/>
    <cellStyle name="Hipervínculo" xfId="344" builtinId="8" hidden="1"/>
    <cellStyle name="Hipervínculo" xfId="346" builtinId="8" hidden="1"/>
    <cellStyle name="Hipervínculo" xfId="348" builtinId="8" hidden="1"/>
    <cellStyle name="Hipervínculo" xfId="350" builtinId="8" hidden="1"/>
    <cellStyle name="Hipervínculo" xfId="352" builtinId="8" hidden="1"/>
    <cellStyle name="Hipervínculo" xfId="354" builtinId="8" hidden="1"/>
    <cellStyle name="Hipervínculo" xfId="356" builtinId="8" hidden="1"/>
    <cellStyle name="Hipervínculo" xfId="358" builtinId="8" hidden="1"/>
    <cellStyle name="Hipervínculo" xfId="360" builtinId="8" hidden="1"/>
    <cellStyle name="Hipervínculo" xfId="362" builtinId="8" hidden="1"/>
    <cellStyle name="Hipervínculo" xfId="364" builtinId="8" hidden="1"/>
    <cellStyle name="Hipervínculo" xfId="366" builtinId="8" hidden="1"/>
    <cellStyle name="Hipervínculo" xfId="368" builtinId="8" hidden="1"/>
    <cellStyle name="Hipervínculo" xfId="370" builtinId="8" hidden="1"/>
    <cellStyle name="Hipervínculo" xfId="372" builtinId="8" hidden="1"/>
    <cellStyle name="Hipervínculo" xfId="374" builtinId="8" hidden="1"/>
    <cellStyle name="Hipervínculo" xfId="376" builtinId="8" hidden="1"/>
    <cellStyle name="Hipervínculo" xfId="378" builtinId="8" hidden="1"/>
    <cellStyle name="Hipervínculo" xfId="380" builtinId="8" hidden="1"/>
    <cellStyle name="Hipervínculo" xfId="382" builtinId="8" hidden="1"/>
    <cellStyle name="Hipervínculo" xfId="384" builtinId="8" hidden="1"/>
    <cellStyle name="Hipervínculo" xfId="386" builtinId="8" hidden="1"/>
    <cellStyle name="Hipervínculo" xfId="388" builtinId="8" hidden="1"/>
    <cellStyle name="Hipervínculo" xfId="390" builtinId="8" hidden="1"/>
    <cellStyle name="Hipervínculo" xfId="392" builtinId="8" hidden="1"/>
    <cellStyle name="Hipervínculo" xfId="394" builtinId="8" hidden="1"/>
    <cellStyle name="Hipervínculo" xfId="396" builtinId="8" hidden="1"/>
    <cellStyle name="Hipervínculo" xfId="398" builtinId="8" hidden="1"/>
    <cellStyle name="Hipervínculo" xfId="400" builtinId="8" hidden="1"/>
    <cellStyle name="Hipervínculo" xfId="402" builtinId="8" hidden="1"/>
    <cellStyle name="Hipervínculo" xfId="404" builtinId="8" hidden="1"/>
    <cellStyle name="Hipervínculo" xfId="406" builtinId="8" hidden="1"/>
    <cellStyle name="Hipervínculo" xfId="408" builtinId="8" hidden="1"/>
    <cellStyle name="Hipervínculo" xfId="410" builtinId="8" hidden="1"/>
    <cellStyle name="Hipervínculo" xfId="412" builtinId="8" hidden="1"/>
    <cellStyle name="Hipervínculo" xfId="414" builtinId="8" hidden="1"/>
    <cellStyle name="Hipervínculo" xfId="416" builtinId="8" hidden="1"/>
    <cellStyle name="Hipervínculo" xfId="418" builtinId="8" hidden="1"/>
    <cellStyle name="Hipervínculo" xfId="420" builtinId="8" hidden="1"/>
    <cellStyle name="Hipervínculo" xfId="422" builtinId="8" hidden="1"/>
    <cellStyle name="Hipervínculo" xfId="424" builtinId="8" hidden="1"/>
    <cellStyle name="Hipervínculo" xfId="426" builtinId="8" hidden="1"/>
    <cellStyle name="Hipervínculo" xfId="428" builtinId="8" hidden="1"/>
    <cellStyle name="Hipervínculo" xfId="430" builtinId="8" hidden="1"/>
    <cellStyle name="Hipervínculo" xfId="432" builtinId="8" hidden="1"/>
    <cellStyle name="Hipervínculo" xfId="434" builtinId="8" hidden="1"/>
    <cellStyle name="Hipervínculo" xfId="436" builtinId="8" hidden="1"/>
    <cellStyle name="Hipervínculo" xfId="438" builtinId="8" hidden="1"/>
    <cellStyle name="Hipervínculo" xfId="440" builtinId="8" hidden="1"/>
    <cellStyle name="Hipervínculo" xfId="442" builtinId="8" hidden="1"/>
    <cellStyle name="Hipervínculo" xfId="444" builtinId="8" hidden="1"/>
    <cellStyle name="Hipervínculo" xfId="446" builtinId="8" hidden="1"/>
    <cellStyle name="Hipervínculo" xfId="448" builtinId="8" hidden="1"/>
    <cellStyle name="Hipervínculo" xfId="450" builtinId="8" hidden="1"/>
    <cellStyle name="Hipervínculo" xfId="452" builtinId="8" hidden="1"/>
    <cellStyle name="Hipervínculo" xfId="454" builtinId="8" hidden="1"/>
    <cellStyle name="Hipervínculo" xfId="456"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Hipervínculo visitado" xfId="289" builtinId="9" hidden="1"/>
    <cellStyle name="Hipervínculo visitado" xfId="291" builtinId="9" hidden="1"/>
    <cellStyle name="Hipervínculo visitado" xfId="293" builtinId="9" hidden="1"/>
    <cellStyle name="Hipervínculo visitado" xfId="295" builtinId="9" hidden="1"/>
    <cellStyle name="Hipervínculo visitado" xfId="297" builtinId="9" hidden="1"/>
    <cellStyle name="Hipervínculo visitado" xfId="299" builtinId="9" hidden="1"/>
    <cellStyle name="Hipervínculo visitado" xfId="301" builtinId="9" hidden="1"/>
    <cellStyle name="Hipervínculo visitado" xfId="303" builtinId="9" hidden="1"/>
    <cellStyle name="Hipervínculo visitado" xfId="305" builtinId="9" hidden="1"/>
    <cellStyle name="Hipervínculo visitado" xfId="307" builtinId="9" hidden="1"/>
    <cellStyle name="Hipervínculo visitado" xfId="309" builtinId="9" hidden="1"/>
    <cellStyle name="Hipervínculo visitado" xfId="311" builtinId="9" hidden="1"/>
    <cellStyle name="Hipervínculo visitado" xfId="313" builtinId="9" hidden="1"/>
    <cellStyle name="Hipervínculo visitado" xfId="315" builtinId="9" hidden="1"/>
    <cellStyle name="Hipervínculo visitado" xfId="317" builtinId="9" hidden="1"/>
    <cellStyle name="Hipervínculo visitado" xfId="319" builtinId="9" hidden="1"/>
    <cellStyle name="Hipervínculo visitado" xfId="321" builtinId="9" hidden="1"/>
    <cellStyle name="Hipervínculo visitado" xfId="323" builtinId="9" hidden="1"/>
    <cellStyle name="Hipervínculo visitado" xfId="325" builtinId="9" hidden="1"/>
    <cellStyle name="Hipervínculo visitado" xfId="327" builtinId="9" hidden="1"/>
    <cellStyle name="Hipervínculo visitado" xfId="329" builtinId="9" hidden="1"/>
    <cellStyle name="Hipervínculo visitado" xfId="331" builtinId="9" hidden="1"/>
    <cellStyle name="Hipervínculo visitado" xfId="333" builtinId="9" hidden="1"/>
    <cellStyle name="Hipervínculo visitado" xfId="335" builtinId="9" hidden="1"/>
    <cellStyle name="Hipervínculo visitado" xfId="337" builtinId="9" hidden="1"/>
    <cellStyle name="Hipervínculo visitado" xfId="339" builtinId="9" hidden="1"/>
    <cellStyle name="Hipervínculo visitado" xfId="341" builtinId="9" hidden="1"/>
    <cellStyle name="Hipervínculo visitado" xfId="343" builtinId="9" hidden="1"/>
    <cellStyle name="Hipervínculo visitado" xfId="345" builtinId="9" hidden="1"/>
    <cellStyle name="Hipervínculo visitado" xfId="347" builtinId="9" hidden="1"/>
    <cellStyle name="Hipervínculo visitado" xfId="349" builtinId="9" hidden="1"/>
    <cellStyle name="Hipervínculo visitado" xfId="351" builtinId="9" hidden="1"/>
    <cellStyle name="Hipervínculo visitado" xfId="353" builtinId="9" hidden="1"/>
    <cellStyle name="Hipervínculo visitado" xfId="355" builtinId="9" hidden="1"/>
    <cellStyle name="Hipervínculo visitado" xfId="357" builtinId="9" hidden="1"/>
    <cellStyle name="Hipervínculo visitado" xfId="359" builtinId="9" hidden="1"/>
    <cellStyle name="Hipervínculo visitado" xfId="361" builtinId="9" hidden="1"/>
    <cellStyle name="Hipervínculo visitado" xfId="363" builtinId="9" hidden="1"/>
    <cellStyle name="Hipervínculo visitado" xfId="365" builtinId="9" hidden="1"/>
    <cellStyle name="Hipervínculo visitado" xfId="367" builtinId="9" hidden="1"/>
    <cellStyle name="Hipervínculo visitado" xfId="369" builtinId="9" hidden="1"/>
    <cellStyle name="Hipervínculo visitado" xfId="371" builtinId="9" hidden="1"/>
    <cellStyle name="Hipervínculo visitado" xfId="373" builtinId="9" hidden="1"/>
    <cellStyle name="Hipervínculo visitado" xfId="375" builtinId="9" hidden="1"/>
    <cellStyle name="Hipervínculo visitado" xfId="377" builtinId="9" hidden="1"/>
    <cellStyle name="Hipervínculo visitado" xfId="379" builtinId="9" hidden="1"/>
    <cellStyle name="Hipervínculo visitado" xfId="381" builtinId="9" hidden="1"/>
    <cellStyle name="Hipervínculo visitado" xfId="383" builtinId="9" hidden="1"/>
    <cellStyle name="Hipervínculo visitado" xfId="385" builtinId="9" hidden="1"/>
    <cellStyle name="Hipervínculo visitado" xfId="387" builtinId="9" hidden="1"/>
    <cellStyle name="Hipervínculo visitado" xfId="389" builtinId="9" hidden="1"/>
    <cellStyle name="Hipervínculo visitado" xfId="391" builtinId="9" hidden="1"/>
    <cellStyle name="Hipervínculo visitado" xfId="393" builtinId="9" hidden="1"/>
    <cellStyle name="Hipervínculo visitado" xfId="395" builtinId="9" hidden="1"/>
    <cellStyle name="Hipervínculo visitado" xfId="397" builtinId="9" hidden="1"/>
    <cellStyle name="Hipervínculo visitado" xfId="399" builtinId="9" hidden="1"/>
    <cellStyle name="Hipervínculo visitado" xfId="401" builtinId="9" hidden="1"/>
    <cellStyle name="Hipervínculo visitado" xfId="403" builtinId="9" hidden="1"/>
    <cellStyle name="Hipervínculo visitado" xfId="405" builtinId="9" hidden="1"/>
    <cellStyle name="Hipervínculo visitado" xfId="407" builtinId="9" hidden="1"/>
    <cellStyle name="Hipervínculo visitado" xfId="409" builtinId="9" hidden="1"/>
    <cellStyle name="Hipervínculo visitado" xfId="411" builtinId="9" hidden="1"/>
    <cellStyle name="Hipervínculo visitado" xfId="413" builtinId="9" hidden="1"/>
    <cellStyle name="Hipervínculo visitado" xfId="415" builtinId="9" hidden="1"/>
    <cellStyle name="Hipervínculo visitado" xfId="417" builtinId="9" hidden="1"/>
    <cellStyle name="Hipervínculo visitado" xfId="419" builtinId="9" hidden="1"/>
    <cellStyle name="Hipervínculo visitado" xfId="421" builtinId="9" hidden="1"/>
    <cellStyle name="Hipervínculo visitado" xfId="423" builtinId="9" hidden="1"/>
    <cellStyle name="Hipervínculo visitado" xfId="425" builtinId="9" hidden="1"/>
    <cellStyle name="Hipervínculo visitado" xfId="427" builtinId="9" hidden="1"/>
    <cellStyle name="Hipervínculo visitado" xfId="429" builtinId="9" hidden="1"/>
    <cellStyle name="Hipervínculo visitado" xfId="431" builtinId="9" hidden="1"/>
    <cellStyle name="Hipervínculo visitado" xfId="433" builtinId="9" hidden="1"/>
    <cellStyle name="Hipervínculo visitado" xfId="435" builtinId="9" hidden="1"/>
    <cellStyle name="Hipervínculo visitado" xfId="437" builtinId="9" hidden="1"/>
    <cellStyle name="Hipervínculo visitado" xfId="439" builtinId="9" hidden="1"/>
    <cellStyle name="Hipervínculo visitado" xfId="441" builtinId="9" hidden="1"/>
    <cellStyle name="Hipervínculo visitado" xfId="443" builtinId="9" hidden="1"/>
    <cellStyle name="Hipervínculo visitado" xfId="445" builtinId="9" hidden="1"/>
    <cellStyle name="Hipervínculo visitado" xfId="447" builtinId="9" hidden="1"/>
    <cellStyle name="Hipervínculo visitado" xfId="449" builtinId="9" hidden="1"/>
    <cellStyle name="Hipervínculo visitado" xfId="451" builtinId="9" hidden="1"/>
    <cellStyle name="Hipervínculo visitado" xfId="453" builtinId="9" hidden="1"/>
    <cellStyle name="Hipervínculo visitado" xfId="455" builtinId="9" hidden="1"/>
    <cellStyle name="Hipervínculo visitado" xfId="457"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Millares [0]" xfId="134" builtinId="6"/>
    <cellStyle name="Millares [0] 2" xfId="458" xr:uid="{00000000-0005-0000-0000-0000F1010000}"/>
    <cellStyle name="Moneda" xfId="1" builtinId="4"/>
    <cellStyle name="Normal" xfId="0" builtinId="0"/>
    <cellStyle name="Porcentaje" xfId="27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7"/>
  <sheetViews>
    <sheetView workbookViewId="0">
      <selection activeCell="B2" sqref="B2"/>
    </sheetView>
  </sheetViews>
  <sheetFormatPr baseColWidth="10" defaultColWidth="10.85546875" defaultRowHeight="18.75" x14ac:dyDescent="0.25"/>
  <cols>
    <col min="1" max="1" width="62.28515625" style="43" customWidth="1"/>
    <col min="2" max="2" width="32" style="43" customWidth="1"/>
    <col min="3" max="3" width="27" style="43" customWidth="1"/>
    <col min="4" max="4" width="28.42578125" style="43" customWidth="1"/>
    <col min="5" max="16384" width="10.85546875" style="43"/>
  </cols>
  <sheetData>
    <row r="2" spans="1:4" ht="93.75" x14ac:dyDescent="0.25">
      <c r="A2" s="38" t="s">
        <v>70</v>
      </c>
      <c r="B2" s="39" t="s">
        <v>69</v>
      </c>
      <c r="C2" s="43" t="s">
        <v>68</v>
      </c>
    </row>
    <row r="3" spans="1:4" x14ac:dyDescent="0.25">
      <c r="A3" s="38" t="s">
        <v>67</v>
      </c>
      <c r="B3" s="39" t="s">
        <v>66</v>
      </c>
      <c r="C3" s="40" t="s">
        <v>65</v>
      </c>
      <c r="D3" s="42">
        <v>147243233</v>
      </c>
    </row>
    <row r="4" spans="1:4" ht="37.5" x14ac:dyDescent="0.25">
      <c r="A4" s="38" t="s">
        <v>64</v>
      </c>
      <c r="B4" s="39" t="s">
        <v>63</v>
      </c>
      <c r="C4" s="40" t="s">
        <v>62</v>
      </c>
      <c r="D4" s="42">
        <v>50000000</v>
      </c>
    </row>
    <row r="5" spans="1:4" ht="75" x14ac:dyDescent="0.25">
      <c r="A5" s="38" t="s">
        <v>61</v>
      </c>
      <c r="B5" s="39" t="s">
        <v>60</v>
      </c>
      <c r="C5" s="43" t="s">
        <v>59</v>
      </c>
    </row>
    <row r="6" spans="1:4" ht="37.5" x14ac:dyDescent="0.25">
      <c r="A6" s="38" t="s">
        <v>58</v>
      </c>
      <c r="B6" s="39" t="s">
        <v>57</v>
      </c>
      <c r="C6" s="40">
        <v>11311022</v>
      </c>
      <c r="D6" s="42">
        <v>15201767</v>
      </c>
    </row>
    <row r="7" spans="1:4" x14ac:dyDescent="0.25">
      <c r="A7" s="41" t="s">
        <v>55</v>
      </c>
      <c r="D7" s="44">
        <f>+D6+D4+D3</f>
        <v>212445000</v>
      </c>
    </row>
  </sheetData>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7"/>
  <sheetViews>
    <sheetView workbookViewId="0">
      <selection activeCell="D15" sqref="D15"/>
    </sheetView>
  </sheetViews>
  <sheetFormatPr baseColWidth="10" defaultRowHeight="15" x14ac:dyDescent="0.25"/>
  <cols>
    <col min="2" max="2" width="8.7109375" bestFit="1" customWidth="1"/>
    <col min="3" max="3" width="46.140625" bestFit="1" customWidth="1"/>
    <col min="4" max="4" width="33.140625" customWidth="1"/>
    <col min="7" max="7" width="48.85546875" bestFit="1" customWidth="1"/>
    <col min="8" max="8" width="23.140625" customWidth="1"/>
  </cols>
  <sheetData>
    <row r="1" spans="1:10" x14ac:dyDescent="0.25">
      <c r="A1" s="45" t="s">
        <v>71</v>
      </c>
      <c r="B1" s="45" t="s">
        <v>72</v>
      </c>
      <c r="C1" s="45" t="s">
        <v>73</v>
      </c>
      <c r="D1" s="45" t="s">
        <v>74</v>
      </c>
      <c r="E1" s="45" t="s">
        <v>75</v>
      </c>
      <c r="F1" s="45" t="s">
        <v>76</v>
      </c>
      <c r="G1" s="45" t="s">
        <v>77</v>
      </c>
      <c r="H1" s="45" t="s">
        <v>78</v>
      </c>
      <c r="I1" s="45" t="s">
        <v>79</v>
      </c>
      <c r="J1" s="45" t="s">
        <v>80</v>
      </c>
    </row>
    <row r="2" spans="1:10" x14ac:dyDescent="0.25">
      <c r="A2" s="45" t="s">
        <v>81</v>
      </c>
      <c r="B2" s="45" t="s">
        <v>65</v>
      </c>
      <c r="C2" s="45" t="s">
        <v>82</v>
      </c>
      <c r="D2" s="45" t="s">
        <v>83</v>
      </c>
      <c r="E2" s="45" t="s">
        <v>84</v>
      </c>
      <c r="F2" s="45">
        <v>860037592</v>
      </c>
      <c r="G2" s="45" t="s">
        <v>85</v>
      </c>
      <c r="H2" s="46">
        <v>62593067</v>
      </c>
      <c r="I2" s="45" t="s">
        <v>86</v>
      </c>
      <c r="J2" s="47">
        <v>2024000435</v>
      </c>
    </row>
    <row r="3" spans="1:10" x14ac:dyDescent="0.25">
      <c r="A3" s="45" t="s">
        <v>81</v>
      </c>
      <c r="B3" s="45" t="s">
        <v>56</v>
      </c>
      <c r="C3" s="45" t="s">
        <v>87</v>
      </c>
      <c r="D3" s="45" t="s">
        <v>83</v>
      </c>
      <c r="E3" s="45" t="s">
        <v>84</v>
      </c>
      <c r="F3" s="45">
        <v>860037592</v>
      </c>
      <c r="G3" s="45" t="s">
        <v>85</v>
      </c>
      <c r="H3" s="46">
        <v>96000000</v>
      </c>
      <c r="I3" s="45" t="s">
        <v>86</v>
      </c>
      <c r="J3" s="47">
        <v>2024000435</v>
      </c>
    </row>
    <row r="4" spans="1:10" x14ac:dyDescent="0.25">
      <c r="A4" s="45" t="s">
        <v>81</v>
      </c>
      <c r="B4" s="45" t="s">
        <v>56</v>
      </c>
      <c r="C4" s="45" t="s">
        <v>88</v>
      </c>
      <c r="D4" s="45" t="s">
        <v>83</v>
      </c>
      <c r="E4" s="45" t="s">
        <v>84</v>
      </c>
      <c r="F4" s="45">
        <v>860037592</v>
      </c>
      <c r="G4" s="45" t="s">
        <v>85</v>
      </c>
      <c r="H4" s="46">
        <v>21000000</v>
      </c>
      <c r="I4" s="45" t="s">
        <v>86</v>
      </c>
      <c r="J4" s="47">
        <v>2024000435</v>
      </c>
    </row>
    <row r="5" spans="1:10" x14ac:dyDescent="0.25">
      <c r="A5" s="45" t="s">
        <v>81</v>
      </c>
      <c r="B5" s="45" t="s">
        <v>56</v>
      </c>
      <c r="C5" s="45" t="s">
        <v>89</v>
      </c>
      <c r="D5" s="45" t="s">
        <v>83</v>
      </c>
      <c r="E5" s="45" t="s">
        <v>84</v>
      </c>
      <c r="F5" s="45">
        <v>860037592</v>
      </c>
      <c r="G5" s="45" t="s">
        <v>85</v>
      </c>
      <c r="H5" s="46">
        <v>14000000</v>
      </c>
      <c r="I5" s="45" t="s">
        <v>86</v>
      </c>
      <c r="J5" s="47">
        <v>2024000435</v>
      </c>
    </row>
    <row r="6" spans="1:10" x14ac:dyDescent="0.25">
      <c r="A6" s="45" t="s">
        <v>81</v>
      </c>
      <c r="B6" s="45" t="s">
        <v>56</v>
      </c>
      <c r="C6" s="45" t="s">
        <v>90</v>
      </c>
      <c r="D6" s="45" t="s">
        <v>83</v>
      </c>
      <c r="E6" s="45" t="s">
        <v>84</v>
      </c>
      <c r="F6" s="45">
        <v>860037592</v>
      </c>
      <c r="G6" s="45" t="s">
        <v>85</v>
      </c>
      <c r="H6" s="46">
        <v>12000000</v>
      </c>
      <c r="I6" s="45" t="s">
        <v>86</v>
      </c>
      <c r="J6" s="47">
        <v>2024000435</v>
      </c>
    </row>
    <row r="7" spans="1:10" x14ac:dyDescent="0.25">
      <c r="A7" s="45" t="s">
        <v>81</v>
      </c>
      <c r="B7" s="45" t="s">
        <v>56</v>
      </c>
      <c r="C7" s="45" t="s">
        <v>91</v>
      </c>
      <c r="D7" s="45" t="s">
        <v>83</v>
      </c>
      <c r="E7" s="45" t="s">
        <v>84</v>
      </c>
      <c r="F7" s="45">
        <v>860037592</v>
      </c>
      <c r="G7" s="45" t="s">
        <v>85</v>
      </c>
      <c r="H7" s="46">
        <v>16456505</v>
      </c>
      <c r="I7" s="45" t="s">
        <v>86</v>
      </c>
      <c r="J7" s="47">
        <v>2024000435</v>
      </c>
    </row>
    <row r="8" spans="1:10" x14ac:dyDescent="0.25">
      <c r="A8" s="45" t="s">
        <v>81</v>
      </c>
      <c r="B8" s="45" t="s">
        <v>56</v>
      </c>
      <c r="C8" s="45" t="s">
        <v>92</v>
      </c>
      <c r="D8" s="45" t="s">
        <v>83</v>
      </c>
      <c r="E8" s="45" t="s">
        <v>84</v>
      </c>
      <c r="F8" s="45">
        <v>860037592</v>
      </c>
      <c r="G8" s="45" t="s">
        <v>85</v>
      </c>
      <c r="H8" s="46">
        <v>15000000</v>
      </c>
      <c r="I8" s="45" t="s">
        <v>86</v>
      </c>
      <c r="J8" s="47">
        <v>2024000435</v>
      </c>
    </row>
    <row r="9" spans="1:10" x14ac:dyDescent="0.25">
      <c r="A9" s="45" t="s">
        <v>81</v>
      </c>
      <c r="B9" s="45" t="s">
        <v>56</v>
      </c>
      <c r="C9" s="45" t="s">
        <v>93</v>
      </c>
      <c r="D9" s="45" t="s">
        <v>83</v>
      </c>
      <c r="E9" s="45" t="s">
        <v>84</v>
      </c>
      <c r="F9" s="45">
        <v>860037592</v>
      </c>
      <c r="G9" s="45" t="s">
        <v>85</v>
      </c>
      <c r="H9" s="46">
        <v>37000000</v>
      </c>
      <c r="I9" s="45" t="s">
        <v>86</v>
      </c>
      <c r="J9" s="47">
        <v>2024000435</v>
      </c>
    </row>
    <row r="10" spans="1:10" x14ac:dyDescent="0.25">
      <c r="A10" s="45" t="s">
        <v>81</v>
      </c>
      <c r="B10" s="45" t="s">
        <v>56</v>
      </c>
      <c r="C10" s="45" t="s">
        <v>94</v>
      </c>
      <c r="D10" s="45" t="s">
        <v>83</v>
      </c>
      <c r="E10" s="45" t="s">
        <v>84</v>
      </c>
      <c r="F10" s="45">
        <v>860037592</v>
      </c>
      <c r="G10" s="45" t="s">
        <v>85</v>
      </c>
      <c r="H10" s="46">
        <v>5000000</v>
      </c>
      <c r="I10" s="45" t="s">
        <v>86</v>
      </c>
      <c r="J10" s="47">
        <v>2024000435</v>
      </c>
    </row>
    <row r="13" spans="1:10" x14ac:dyDescent="0.25">
      <c r="B13" t="str">
        <f>+B3</f>
        <v>11311022</v>
      </c>
      <c r="C13" s="48">
        <f>+H3+H4+H5+H6+H7+H8+H9+H10</f>
        <v>216456505</v>
      </c>
      <c r="D13" s="49">
        <f>+C13/C17</f>
        <v>0.59911136505374862</v>
      </c>
    </row>
    <row r="14" spans="1:10" x14ac:dyDescent="0.25">
      <c r="B14" t="str">
        <f>+B4</f>
        <v>11311022</v>
      </c>
      <c r="C14" s="48">
        <f>+CDP!D6</f>
        <v>15201767</v>
      </c>
    </row>
    <row r="15" spans="1:10" x14ac:dyDescent="0.25">
      <c r="C15" s="48">
        <f>+C14+C13</f>
        <v>231658272</v>
      </c>
      <c r="D15" s="49">
        <f>+C15/C17</f>
        <v>0.64118702999437505</v>
      </c>
    </row>
    <row r="17" spans="2:3" x14ac:dyDescent="0.25">
      <c r="B17" t="s">
        <v>95</v>
      </c>
      <c r="C17" s="48">
        <v>361295942</v>
      </c>
    </row>
  </sheetData>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FFCC"/>
  </sheetPr>
  <dimension ref="A1:L21"/>
  <sheetViews>
    <sheetView workbookViewId="0"/>
  </sheetViews>
  <sheetFormatPr baseColWidth="10" defaultColWidth="10.85546875" defaultRowHeight="15" x14ac:dyDescent="0.25"/>
  <cols>
    <col min="1" max="1" width="35.42578125" style="68" bestFit="1" customWidth="1"/>
    <col min="2" max="2" width="10.85546875" style="68"/>
    <col min="3" max="3" width="16.42578125" style="68" customWidth="1"/>
    <col min="4" max="5" width="16" style="68" hidden="1" customWidth="1"/>
    <col min="6" max="11" width="16" style="68" customWidth="1"/>
    <col min="12" max="12" width="24.140625" style="68" customWidth="1"/>
    <col min="13" max="16384" width="10.85546875" style="68"/>
  </cols>
  <sheetData>
    <row r="1" spans="1:12" x14ac:dyDescent="0.25">
      <c r="A1" s="67" t="s">
        <v>20</v>
      </c>
      <c r="B1" s="67"/>
      <c r="C1" s="102" t="s">
        <v>21</v>
      </c>
      <c r="D1" s="102"/>
      <c r="E1" s="102"/>
      <c r="F1" s="102"/>
      <c r="G1" s="102"/>
      <c r="H1" s="67"/>
      <c r="I1" s="102" t="s">
        <v>22</v>
      </c>
      <c r="J1" s="102"/>
      <c r="K1" s="102"/>
      <c r="L1" s="67"/>
    </row>
    <row r="2" spans="1:12" ht="33" customHeight="1" x14ac:dyDescent="0.25">
      <c r="A2" s="102" t="s">
        <v>23</v>
      </c>
      <c r="B2" s="102" t="s">
        <v>24</v>
      </c>
      <c r="C2" s="102" t="s">
        <v>25</v>
      </c>
      <c r="D2" s="102" t="s">
        <v>42</v>
      </c>
      <c r="E2" s="1"/>
      <c r="F2" s="102" t="s">
        <v>26</v>
      </c>
      <c r="G2" s="102" t="s">
        <v>43</v>
      </c>
      <c r="H2" s="102" t="s">
        <v>27</v>
      </c>
      <c r="I2" s="102" t="s">
        <v>28</v>
      </c>
      <c r="J2" s="102" t="s">
        <v>42</v>
      </c>
      <c r="K2" s="102" t="s">
        <v>43</v>
      </c>
      <c r="L2" s="102" t="s">
        <v>29</v>
      </c>
    </row>
    <row r="3" spans="1:12" ht="33" customHeight="1" x14ac:dyDescent="0.25">
      <c r="A3" s="102"/>
      <c r="B3" s="102"/>
      <c r="C3" s="102"/>
      <c r="D3" s="102"/>
      <c r="E3" s="1"/>
      <c r="F3" s="102"/>
      <c r="G3" s="102"/>
      <c r="H3" s="102"/>
      <c r="I3" s="102"/>
      <c r="J3" s="102"/>
      <c r="K3" s="102"/>
      <c r="L3" s="102"/>
    </row>
    <row r="4" spans="1:12" ht="33" x14ac:dyDescent="0.25">
      <c r="A4" s="22" t="s">
        <v>30</v>
      </c>
      <c r="B4" s="64">
        <v>8</v>
      </c>
      <c r="C4" s="24">
        <f>+AUXILIARES!L2</f>
        <v>186462000</v>
      </c>
      <c r="D4" s="24">
        <f>+C4*0.85</f>
        <v>158492700</v>
      </c>
      <c r="E4" s="24">
        <f>+C4*0.15</f>
        <v>27969300</v>
      </c>
      <c r="F4" s="66">
        <f>+D4/H4/B4</f>
        <v>2201287.5</v>
      </c>
      <c r="G4" s="24">
        <f>+E4/B4/H4</f>
        <v>388462.5</v>
      </c>
      <c r="H4" s="23">
        <v>9</v>
      </c>
      <c r="I4" s="23">
        <f>+(F4+G4)*B4*H4</f>
        <v>186462000</v>
      </c>
      <c r="J4" s="23">
        <f>+I4*0.85</f>
        <v>158492700</v>
      </c>
      <c r="K4" s="23">
        <f>+I4*0.15</f>
        <v>27969300</v>
      </c>
      <c r="L4" s="103" t="s">
        <v>31</v>
      </c>
    </row>
    <row r="5" spans="1:12" ht="16.5" x14ac:dyDescent="0.25">
      <c r="A5" s="22" t="s">
        <v>39</v>
      </c>
      <c r="B5" s="23">
        <v>9</v>
      </c>
      <c r="C5" s="24">
        <f>+'JEFE PYD'!M14</f>
        <v>33465900</v>
      </c>
      <c r="D5" s="24">
        <f t="shared" ref="D5:D14" si="0">+C5*0.85</f>
        <v>28446015</v>
      </c>
      <c r="E5" s="24">
        <f t="shared" ref="E5:E14" si="1">+C5*0.15</f>
        <v>5019885</v>
      </c>
      <c r="F5" s="24">
        <f t="shared" ref="F5:F14" si="2">+D5/H5/B5</f>
        <v>3160668.3333333335</v>
      </c>
      <c r="G5" s="24">
        <f t="shared" ref="G5:G14" si="3">+E5/B5/H5</f>
        <v>557765</v>
      </c>
      <c r="H5" s="23">
        <v>1</v>
      </c>
      <c r="I5" s="23">
        <f t="shared" ref="I5:I14" si="4">+(F5+G5)*B5*H5</f>
        <v>33465900</v>
      </c>
      <c r="J5" s="23">
        <f t="shared" ref="J5:J14" si="5">+I5*0.85</f>
        <v>28446015</v>
      </c>
      <c r="K5" s="23">
        <f t="shared" ref="K5:K14" si="6">+I5*0.15</f>
        <v>5019885</v>
      </c>
      <c r="L5" s="103"/>
    </row>
    <row r="6" spans="1:12" ht="16.5" x14ac:dyDescent="0.25">
      <c r="A6" s="22" t="s">
        <v>40</v>
      </c>
      <c r="B6" s="23">
        <v>9</v>
      </c>
      <c r="C6" s="24">
        <f>+'JEFE GR'!M10</f>
        <v>33466000</v>
      </c>
      <c r="D6" s="24">
        <f t="shared" si="0"/>
        <v>28446100</v>
      </c>
      <c r="E6" s="24">
        <f t="shared" si="1"/>
        <v>5019900</v>
      </c>
      <c r="F6" s="24">
        <f t="shared" si="2"/>
        <v>3160677.777777778</v>
      </c>
      <c r="G6" s="24">
        <f t="shared" si="3"/>
        <v>557766.66666666663</v>
      </c>
      <c r="H6" s="23">
        <v>1</v>
      </c>
      <c r="I6" s="23">
        <f t="shared" si="4"/>
        <v>33466000</v>
      </c>
      <c r="J6" s="23">
        <f t="shared" si="5"/>
        <v>28446100</v>
      </c>
      <c r="K6" s="23">
        <f t="shared" si="6"/>
        <v>5019900</v>
      </c>
      <c r="L6" s="103"/>
    </row>
    <row r="7" spans="1:12" ht="16.5" x14ac:dyDescent="0.25">
      <c r="A7" s="22" t="s">
        <v>32</v>
      </c>
      <c r="B7" s="23">
        <v>8</v>
      </c>
      <c r="C7" s="24">
        <f>+MÉDICO!M7</f>
        <v>39294600</v>
      </c>
      <c r="D7" s="24">
        <f t="shared" si="0"/>
        <v>33400410</v>
      </c>
      <c r="E7" s="24">
        <f t="shared" si="1"/>
        <v>5894190</v>
      </c>
      <c r="F7" s="24">
        <f t="shared" si="2"/>
        <v>4175051.25</v>
      </c>
      <c r="G7" s="24">
        <f t="shared" si="3"/>
        <v>736773.75</v>
      </c>
      <c r="H7" s="23">
        <v>1</v>
      </c>
      <c r="I7" s="23">
        <f t="shared" si="4"/>
        <v>39294600</v>
      </c>
      <c r="J7" s="23">
        <f t="shared" si="5"/>
        <v>33400410</v>
      </c>
      <c r="K7" s="23">
        <f t="shared" si="6"/>
        <v>5894190</v>
      </c>
      <c r="L7" s="103"/>
    </row>
    <row r="8" spans="1:12" ht="16.5" x14ac:dyDescent="0.25">
      <c r="A8" s="22" t="s">
        <v>33</v>
      </c>
      <c r="B8" s="23">
        <v>8</v>
      </c>
      <c r="C8" s="24">
        <f>+'PSICOLOGA N.1'!M11</f>
        <v>34281800</v>
      </c>
      <c r="D8" s="24">
        <f t="shared" si="0"/>
        <v>29139530</v>
      </c>
      <c r="E8" s="24">
        <f t="shared" si="1"/>
        <v>5142270</v>
      </c>
      <c r="F8" s="24">
        <f t="shared" si="2"/>
        <v>3642441.25</v>
      </c>
      <c r="G8" s="24">
        <f t="shared" si="3"/>
        <v>642783.75</v>
      </c>
      <c r="H8" s="23">
        <v>1</v>
      </c>
      <c r="I8" s="23">
        <f t="shared" si="4"/>
        <v>34281800</v>
      </c>
      <c r="J8" s="23">
        <f t="shared" si="5"/>
        <v>29139530</v>
      </c>
      <c r="K8" s="23">
        <f t="shared" si="6"/>
        <v>5142270</v>
      </c>
      <c r="L8" s="103"/>
    </row>
    <row r="9" spans="1:12" ht="16.5" x14ac:dyDescent="0.25">
      <c r="A9" s="22" t="s">
        <v>33</v>
      </c>
      <c r="B9" s="23">
        <v>8</v>
      </c>
      <c r="C9" s="24">
        <f>+'PSICOLOGA N.2'!M11</f>
        <v>29621200</v>
      </c>
      <c r="D9" s="24">
        <f t="shared" si="0"/>
        <v>25178020</v>
      </c>
      <c r="E9" s="24">
        <f t="shared" si="1"/>
        <v>4443180</v>
      </c>
      <c r="F9" s="24">
        <f t="shared" si="2"/>
        <v>3147252.5</v>
      </c>
      <c r="G9" s="24">
        <f t="shared" si="3"/>
        <v>555397.5</v>
      </c>
      <c r="H9" s="23">
        <v>1</v>
      </c>
      <c r="I9" s="23">
        <f t="shared" si="4"/>
        <v>29621200</v>
      </c>
      <c r="J9" s="23">
        <f t="shared" si="5"/>
        <v>25178020</v>
      </c>
      <c r="K9" s="23">
        <f t="shared" si="6"/>
        <v>4443180</v>
      </c>
      <c r="L9" s="103"/>
    </row>
    <row r="10" spans="1:12" ht="16.5" x14ac:dyDescent="0.25">
      <c r="A10" s="22" t="s">
        <v>235</v>
      </c>
      <c r="B10" s="23">
        <v>9</v>
      </c>
      <c r="C10" s="24">
        <f>+'PROMOTORA 1-2-BLANCA y otra'!L8</f>
        <v>41940000</v>
      </c>
      <c r="D10" s="24">
        <f t="shared" si="0"/>
        <v>35649000</v>
      </c>
      <c r="E10" s="24">
        <f t="shared" si="1"/>
        <v>6291000</v>
      </c>
      <c r="F10" s="24">
        <f t="shared" si="2"/>
        <v>3961000</v>
      </c>
      <c r="G10" s="24">
        <f t="shared" si="3"/>
        <v>699000</v>
      </c>
      <c r="H10" s="23">
        <v>1</v>
      </c>
      <c r="I10" s="64">
        <f t="shared" si="4"/>
        <v>41940000</v>
      </c>
      <c r="J10" s="23">
        <f t="shared" si="5"/>
        <v>35649000</v>
      </c>
      <c r="K10" s="23">
        <f t="shared" si="6"/>
        <v>6291000</v>
      </c>
      <c r="L10" s="103"/>
    </row>
    <row r="11" spans="1:12" ht="16.5" x14ac:dyDescent="0.25">
      <c r="A11" s="22" t="s">
        <v>34</v>
      </c>
      <c r="B11" s="23">
        <v>8</v>
      </c>
      <c r="C11" s="24">
        <f>+NUTRICIÓN!M16</f>
        <v>30577700</v>
      </c>
      <c r="D11" s="24">
        <f t="shared" si="0"/>
        <v>25991045</v>
      </c>
      <c r="E11" s="24">
        <f t="shared" si="1"/>
        <v>4586655</v>
      </c>
      <c r="F11" s="24">
        <f t="shared" si="2"/>
        <v>3248880.625</v>
      </c>
      <c r="G11" s="24">
        <f t="shared" si="3"/>
        <v>573331.875</v>
      </c>
      <c r="H11" s="23">
        <v>1</v>
      </c>
      <c r="I11" s="23">
        <f t="shared" si="4"/>
        <v>30577700</v>
      </c>
      <c r="J11" s="23">
        <f t="shared" si="5"/>
        <v>25991045</v>
      </c>
      <c r="K11" s="23">
        <f t="shared" si="6"/>
        <v>4586655</v>
      </c>
      <c r="L11" s="103"/>
    </row>
    <row r="12" spans="1:12" ht="16.5" x14ac:dyDescent="0.25">
      <c r="A12" s="22" t="s">
        <v>35</v>
      </c>
      <c r="B12" s="23">
        <v>8</v>
      </c>
      <c r="C12" s="24">
        <f>+'SALUD ORAL'!M12</f>
        <v>15203400</v>
      </c>
      <c r="D12" s="24">
        <f t="shared" si="0"/>
        <v>12922890</v>
      </c>
      <c r="E12" s="24">
        <f t="shared" si="1"/>
        <v>2280510</v>
      </c>
      <c r="F12" s="24">
        <f t="shared" si="2"/>
        <v>1615361.25</v>
      </c>
      <c r="G12" s="24">
        <f t="shared" si="3"/>
        <v>285063.75</v>
      </c>
      <c r="H12" s="23">
        <v>1</v>
      </c>
      <c r="I12" s="23">
        <f t="shared" si="4"/>
        <v>15203400</v>
      </c>
      <c r="J12" s="23">
        <f t="shared" si="5"/>
        <v>12922890</v>
      </c>
      <c r="K12" s="23">
        <f t="shared" si="6"/>
        <v>2280510</v>
      </c>
      <c r="L12" s="103"/>
    </row>
    <row r="13" spans="1:12" ht="16.5" x14ac:dyDescent="0.25">
      <c r="A13" s="25" t="s">
        <v>36</v>
      </c>
      <c r="B13" s="23">
        <v>8</v>
      </c>
      <c r="C13" s="24">
        <f>+'SALUD LABORAL'!M9</f>
        <v>17712500</v>
      </c>
      <c r="D13" s="24">
        <f t="shared" si="0"/>
        <v>15055625</v>
      </c>
      <c r="E13" s="24">
        <f t="shared" si="1"/>
        <v>2656875</v>
      </c>
      <c r="F13" s="24">
        <f t="shared" si="2"/>
        <v>1881953.125</v>
      </c>
      <c r="G13" s="24">
        <f t="shared" si="3"/>
        <v>332109.375</v>
      </c>
      <c r="H13" s="23">
        <v>1</v>
      </c>
      <c r="I13" s="23">
        <f t="shared" si="4"/>
        <v>17712500</v>
      </c>
      <c r="J13" s="23">
        <f t="shared" si="5"/>
        <v>15055625</v>
      </c>
      <c r="K13" s="23">
        <f t="shared" si="6"/>
        <v>2656875</v>
      </c>
      <c r="L13" s="103"/>
    </row>
    <row r="14" spans="1:12" ht="16.5" x14ac:dyDescent="0.25">
      <c r="A14" s="25" t="s">
        <v>41</v>
      </c>
      <c r="B14" s="23">
        <v>8</v>
      </c>
      <c r="C14" s="24">
        <f>+'TRABAJADORA SOCIAL'!M7</f>
        <v>24467000</v>
      </c>
      <c r="D14" s="24">
        <f t="shared" si="0"/>
        <v>20796950</v>
      </c>
      <c r="E14" s="24">
        <f t="shared" si="1"/>
        <v>3670050</v>
      </c>
      <c r="F14" s="24">
        <f t="shared" si="2"/>
        <v>2599618.75</v>
      </c>
      <c r="G14" s="24">
        <f t="shared" si="3"/>
        <v>458756.25</v>
      </c>
      <c r="H14" s="23">
        <v>1</v>
      </c>
      <c r="I14" s="23">
        <f t="shared" si="4"/>
        <v>24467000</v>
      </c>
      <c r="J14" s="23">
        <f t="shared" si="5"/>
        <v>20796950</v>
      </c>
      <c r="K14" s="23">
        <f t="shared" si="6"/>
        <v>3670050</v>
      </c>
      <c r="L14" s="65"/>
    </row>
    <row r="15" spans="1:12" ht="16.5" x14ac:dyDescent="0.25">
      <c r="A15" s="69"/>
      <c r="B15" s="69"/>
      <c r="C15" s="70"/>
      <c r="D15" s="71"/>
      <c r="E15" s="71"/>
      <c r="F15" s="71"/>
      <c r="G15" s="71"/>
      <c r="H15" s="26">
        <f>SUM(H4:H14)</f>
        <v>19</v>
      </c>
      <c r="I15" s="72">
        <f>SUM(I4:I14)</f>
        <v>486492100</v>
      </c>
      <c r="J15" s="71">
        <f t="shared" ref="J15:K15" si="7">SUM(J4:J14)</f>
        <v>413518285</v>
      </c>
      <c r="K15" s="71">
        <f t="shared" si="7"/>
        <v>72973815</v>
      </c>
      <c r="L15" s="73"/>
    </row>
    <row r="17" spans="1:11" ht="30" x14ac:dyDescent="0.25">
      <c r="A17" s="74" t="s">
        <v>148</v>
      </c>
      <c r="B17" s="75">
        <v>0.15</v>
      </c>
    </row>
    <row r="18" spans="1:11" x14ac:dyDescent="0.25">
      <c r="A18" s="68" t="s">
        <v>37</v>
      </c>
      <c r="B18" s="75">
        <v>0.05</v>
      </c>
    </row>
    <row r="19" spans="1:11" x14ac:dyDescent="0.25">
      <c r="A19" s="68" t="s">
        <v>38</v>
      </c>
      <c r="B19" s="75">
        <f>+B17-B18</f>
        <v>9.9999999999999992E-2</v>
      </c>
    </row>
    <row r="20" spans="1:11" x14ac:dyDescent="0.25">
      <c r="K20" s="76"/>
    </row>
    <row r="21" spans="1:11" x14ac:dyDescent="0.25">
      <c r="B21" s="68" t="s">
        <v>146</v>
      </c>
      <c r="C21" s="77">
        <f>+(F4+G4)*H4</f>
        <v>23307750</v>
      </c>
      <c r="F21" s="68" t="s">
        <v>147</v>
      </c>
      <c r="J21" s="76"/>
    </row>
  </sheetData>
  <mergeCells count="14">
    <mergeCell ref="A2:A3"/>
    <mergeCell ref="B2:B3"/>
    <mergeCell ref="C2:C3"/>
    <mergeCell ref="D2:D3"/>
    <mergeCell ref="F2:F3"/>
    <mergeCell ref="J2:J3"/>
    <mergeCell ref="K2:K3"/>
    <mergeCell ref="L2:L3"/>
    <mergeCell ref="L4:L13"/>
    <mergeCell ref="C1:G1"/>
    <mergeCell ref="I1:K1"/>
    <mergeCell ref="G2:G3"/>
    <mergeCell ref="H2:H3"/>
    <mergeCell ref="I2:I3"/>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AH19"/>
  <sheetViews>
    <sheetView workbookViewId="0"/>
  </sheetViews>
  <sheetFormatPr baseColWidth="10" defaultColWidth="10.85546875" defaultRowHeight="13.5" x14ac:dyDescent="0.25"/>
  <cols>
    <col min="1" max="1" width="7.85546875" style="11" customWidth="1"/>
    <col min="2" max="2" width="22.140625" style="11" customWidth="1"/>
    <col min="3" max="3" width="62.42578125" style="11" customWidth="1"/>
    <col min="4" max="6" width="15.42578125" style="11" customWidth="1"/>
    <col min="7" max="7" width="17.42578125" style="11" customWidth="1"/>
    <col min="8" max="8" width="29.140625" style="11" customWidth="1"/>
    <col min="9" max="9" width="18.42578125" style="11" customWidth="1"/>
    <col min="10" max="10" width="13.85546875" style="11" customWidth="1"/>
    <col min="11" max="11" width="10.85546875" style="11" customWidth="1"/>
    <col min="12" max="13" width="17.140625" style="11" customWidth="1"/>
    <col min="14" max="14" width="16.42578125" style="11" customWidth="1"/>
    <col min="15" max="15" width="15.7109375" style="11" hidden="1" customWidth="1"/>
    <col min="16" max="24" width="10.85546875" style="11" hidden="1" customWidth="1"/>
    <col min="25" max="25" width="14.85546875" style="11" customWidth="1"/>
    <col min="26" max="42" width="10.85546875" style="11" customWidth="1"/>
    <col min="43" max="16384" width="10.85546875" style="11"/>
  </cols>
  <sheetData>
    <row r="1" spans="1:34" ht="76.5" x14ac:dyDescent="0.25">
      <c r="A1" s="12" t="s">
        <v>0</v>
      </c>
      <c r="B1" s="12" t="s">
        <v>1</v>
      </c>
      <c r="C1" s="12" t="s">
        <v>2</v>
      </c>
      <c r="D1" s="83" t="s">
        <v>149</v>
      </c>
      <c r="E1" s="81" t="s">
        <v>151</v>
      </c>
      <c r="F1" s="81" t="s">
        <v>152</v>
      </c>
      <c r="G1" s="82" t="s">
        <v>150</v>
      </c>
      <c r="H1" s="82" t="s">
        <v>153</v>
      </c>
      <c r="I1" s="84" t="s">
        <v>134</v>
      </c>
      <c r="J1" s="84" t="s">
        <v>6</v>
      </c>
      <c r="K1" s="12" t="s">
        <v>3</v>
      </c>
      <c r="L1" s="12" t="s">
        <v>4</v>
      </c>
      <c r="M1" s="12" t="s">
        <v>8</v>
      </c>
      <c r="N1" s="17" t="s">
        <v>7</v>
      </c>
    </row>
    <row r="2" spans="1:34" ht="101.1" customHeight="1" x14ac:dyDescent="0.25">
      <c r="A2" s="32">
        <v>1</v>
      </c>
      <c r="B2" s="32" t="s">
        <v>45</v>
      </c>
      <c r="C2" s="78" t="s">
        <v>225</v>
      </c>
      <c r="D2" s="79">
        <v>9</v>
      </c>
      <c r="E2" s="62">
        <v>45</v>
      </c>
      <c r="F2" s="79">
        <f>+E2*8</f>
        <v>360</v>
      </c>
      <c r="G2" s="79">
        <f>+F2*D2</f>
        <v>3240</v>
      </c>
      <c r="H2" s="79" t="s">
        <v>169</v>
      </c>
      <c r="I2" s="85">
        <f>360*9</f>
        <v>3240</v>
      </c>
      <c r="J2" s="86">
        <v>45</v>
      </c>
      <c r="K2" s="33">
        <v>57550</v>
      </c>
      <c r="L2" s="34">
        <f>+K2*I2</f>
        <v>186462000</v>
      </c>
      <c r="M2" s="35">
        <f>+ROUND(L2/100,0)*100</f>
        <v>186462000</v>
      </c>
      <c r="N2" s="36">
        <f>+M2</f>
        <v>186462000</v>
      </c>
      <c r="Y2" s="36">
        <v>186462000</v>
      </c>
      <c r="Z2" s="11">
        <f>+L2/9/8</f>
        <v>2589750</v>
      </c>
      <c r="AA2" s="11">
        <f>+Z2*0.85</f>
        <v>2201287.5</v>
      </c>
      <c r="AB2" s="11">
        <f>+AA2*0.15</f>
        <v>330193.125</v>
      </c>
    </row>
    <row r="3" spans="1:34" ht="135" customHeight="1" x14ac:dyDescent="0.25">
      <c r="A3" s="9">
        <v>2</v>
      </c>
      <c r="B3" s="9" t="s">
        <v>45</v>
      </c>
      <c r="C3" s="54" t="s">
        <v>224</v>
      </c>
      <c r="D3" s="79">
        <v>9</v>
      </c>
      <c r="E3" s="62">
        <v>45</v>
      </c>
      <c r="F3" s="79">
        <f t="shared" ref="F3:F14" si="0">+E3*8</f>
        <v>360</v>
      </c>
      <c r="G3" s="79">
        <f t="shared" ref="G3:G13" si="1">+F3*D3</f>
        <v>3240</v>
      </c>
      <c r="H3" s="79" t="s">
        <v>154</v>
      </c>
      <c r="I3" s="85">
        <v>3240</v>
      </c>
      <c r="J3" s="86">
        <f>+I3/9/8</f>
        <v>45</v>
      </c>
      <c r="K3" s="13">
        <f>26500*1.1</f>
        <v>29150.000000000004</v>
      </c>
      <c r="L3" s="31">
        <f t="shared" ref="L3:L14" si="2">+K3*I3</f>
        <v>94446000.000000015</v>
      </c>
      <c r="M3" s="30">
        <f t="shared" ref="M3:M15" si="3">+ROUND(L3/100,0)*100</f>
        <v>94446000</v>
      </c>
      <c r="N3" s="36">
        <f t="shared" ref="N3:N15" si="4">+M3</f>
        <v>94446000</v>
      </c>
      <c r="V3" s="11">
        <v>3240</v>
      </c>
      <c r="W3" s="11">
        <v>40</v>
      </c>
      <c r="X3" s="11">
        <v>29150.000000000004</v>
      </c>
      <c r="Z3" s="96">
        <f>+L2/360/8</f>
        <v>64743.75</v>
      </c>
      <c r="AA3" s="19">
        <f>+Z3/K2</f>
        <v>1.125</v>
      </c>
      <c r="AB3" s="11">
        <f>+AA3/8</f>
        <v>0.140625</v>
      </c>
      <c r="AH3" s="11">
        <f>+AG3*9*8</f>
        <v>0</v>
      </c>
    </row>
    <row r="4" spans="1:34" s="18" customFormat="1" ht="108" x14ac:dyDescent="0.25">
      <c r="A4" s="14">
        <v>3</v>
      </c>
      <c r="B4" s="14" t="s">
        <v>45</v>
      </c>
      <c r="C4" s="54" t="s">
        <v>210</v>
      </c>
      <c r="D4" s="79">
        <v>9</v>
      </c>
      <c r="E4" s="79">
        <v>1</v>
      </c>
      <c r="F4" s="79">
        <f>+E4*8</f>
        <v>8</v>
      </c>
      <c r="G4" s="79">
        <f>+F4*D4</f>
        <v>72</v>
      </c>
      <c r="H4" s="79" t="s">
        <v>168</v>
      </c>
      <c r="I4" s="87">
        <v>3240</v>
      </c>
      <c r="J4" s="86">
        <f>+I4/9</f>
        <v>360</v>
      </c>
      <c r="K4" s="13">
        <f>11200*1.05</f>
        <v>11760</v>
      </c>
      <c r="L4" s="31">
        <f t="shared" si="2"/>
        <v>38102400</v>
      </c>
      <c r="M4" s="30">
        <f t="shared" si="3"/>
        <v>38102400</v>
      </c>
      <c r="N4" s="36">
        <f t="shared" si="4"/>
        <v>38102400</v>
      </c>
      <c r="V4" s="18">
        <v>3240</v>
      </c>
      <c r="W4" s="18">
        <v>1080</v>
      </c>
      <c r="X4" s="18">
        <v>11760</v>
      </c>
      <c r="AB4" s="18">
        <f>+AB3/9</f>
        <v>1.5625E-2</v>
      </c>
    </row>
    <row r="5" spans="1:34" ht="175.5" x14ac:dyDescent="0.25">
      <c r="A5" s="9">
        <v>4</v>
      </c>
      <c r="B5" s="9" t="s">
        <v>45</v>
      </c>
      <c r="C5" s="54" t="s">
        <v>155</v>
      </c>
      <c r="D5" s="79">
        <v>9</v>
      </c>
      <c r="E5" s="79">
        <v>1</v>
      </c>
      <c r="F5" s="79">
        <f>+E5*8</f>
        <v>8</v>
      </c>
      <c r="G5" s="79">
        <f t="shared" si="1"/>
        <v>72</v>
      </c>
      <c r="H5" s="79" t="s">
        <v>167</v>
      </c>
      <c r="I5" s="87">
        <v>9</v>
      </c>
      <c r="J5" s="86">
        <v>50</v>
      </c>
      <c r="K5" s="13">
        <f t="shared" ref="K5:K14" si="5">+ROUND(R5,0)</f>
        <v>73333</v>
      </c>
      <c r="L5" s="31">
        <f t="shared" si="2"/>
        <v>659997</v>
      </c>
      <c r="M5" s="30">
        <f t="shared" si="3"/>
        <v>660000</v>
      </c>
      <c r="N5" s="36">
        <f t="shared" si="4"/>
        <v>660000</v>
      </c>
      <c r="O5" s="11">
        <v>600000</v>
      </c>
      <c r="P5" s="37">
        <v>66666.666666666672</v>
      </c>
      <c r="Q5" s="11">
        <v>660000</v>
      </c>
      <c r="R5" s="11">
        <v>73333.333333333328</v>
      </c>
      <c r="V5" s="11">
        <v>9</v>
      </c>
      <c r="W5" s="11">
        <v>50</v>
      </c>
      <c r="X5" s="11">
        <v>73333</v>
      </c>
    </row>
    <row r="6" spans="1:34" ht="94.5" x14ac:dyDescent="0.25">
      <c r="A6" s="9">
        <v>5</v>
      </c>
      <c r="B6" s="9" t="s">
        <v>45</v>
      </c>
      <c r="C6" s="54" t="s">
        <v>156</v>
      </c>
      <c r="D6" s="79">
        <v>9</v>
      </c>
      <c r="E6" s="79">
        <v>1</v>
      </c>
      <c r="F6" s="79">
        <f>+E6*8</f>
        <v>8</v>
      </c>
      <c r="G6" s="79">
        <f>+F6*D6</f>
        <v>72</v>
      </c>
      <c r="H6" s="79" t="s">
        <v>166</v>
      </c>
      <c r="I6" s="86">
        <v>9</v>
      </c>
      <c r="J6" s="86">
        <v>250</v>
      </c>
      <c r="K6" s="13">
        <f t="shared" si="5"/>
        <v>518692</v>
      </c>
      <c r="L6" s="31">
        <f t="shared" si="2"/>
        <v>4668228</v>
      </c>
      <c r="M6" s="30">
        <f t="shared" si="3"/>
        <v>4668200</v>
      </c>
      <c r="N6" s="36">
        <f t="shared" si="4"/>
        <v>4668200</v>
      </c>
      <c r="O6" s="11">
        <v>3200000</v>
      </c>
      <c r="P6" s="37">
        <v>355555.55555555556</v>
      </c>
      <c r="Q6" s="11">
        <v>3520000.0000000005</v>
      </c>
      <c r="R6" s="11">
        <f>391111+127581</f>
        <v>518692</v>
      </c>
      <c r="V6" s="11">
        <v>9</v>
      </c>
      <c r="W6" s="11">
        <v>250</v>
      </c>
      <c r="X6" s="11">
        <v>391111</v>
      </c>
    </row>
    <row r="7" spans="1:34" s="18" customFormat="1" ht="73.5" customHeight="1" x14ac:dyDescent="0.25">
      <c r="A7" s="14">
        <v>6</v>
      </c>
      <c r="B7" s="14" t="s">
        <v>45</v>
      </c>
      <c r="C7" s="54" t="s">
        <v>157</v>
      </c>
      <c r="D7" s="79">
        <v>9</v>
      </c>
      <c r="E7" s="79">
        <v>1</v>
      </c>
      <c r="F7" s="79">
        <f t="shared" si="0"/>
        <v>8</v>
      </c>
      <c r="G7" s="79">
        <f t="shared" si="1"/>
        <v>72</v>
      </c>
      <c r="H7" s="79" t="s">
        <v>158</v>
      </c>
      <c r="I7" s="87">
        <v>90</v>
      </c>
      <c r="J7" s="86">
        <v>563</v>
      </c>
      <c r="K7" s="13">
        <f t="shared" si="5"/>
        <v>82622</v>
      </c>
      <c r="L7" s="31">
        <f t="shared" si="2"/>
        <v>7435980</v>
      </c>
      <c r="M7" s="30">
        <f t="shared" si="3"/>
        <v>7436000</v>
      </c>
      <c r="N7" s="36">
        <f t="shared" si="4"/>
        <v>7436000</v>
      </c>
      <c r="O7" s="18">
        <v>6760000</v>
      </c>
      <c r="P7" s="37">
        <v>75111.111111111109</v>
      </c>
      <c r="Q7" s="11">
        <v>7436000.0000000009</v>
      </c>
      <c r="R7" s="11">
        <v>82622.222222222234</v>
      </c>
      <c r="V7" s="18">
        <v>90</v>
      </c>
      <c r="W7" s="18">
        <v>563</v>
      </c>
      <c r="X7" s="18">
        <v>82622</v>
      </c>
    </row>
    <row r="8" spans="1:34" ht="110.25" customHeight="1" x14ac:dyDescent="0.25">
      <c r="A8" s="9">
        <v>7</v>
      </c>
      <c r="B8" s="9" t="s">
        <v>45</v>
      </c>
      <c r="C8" s="54" t="s">
        <v>160</v>
      </c>
      <c r="D8" s="79">
        <v>9</v>
      </c>
      <c r="E8" s="79">
        <v>5</v>
      </c>
      <c r="F8" s="79">
        <f>+E8*8</f>
        <v>40</v>
      </c>
      <c r="G8" s="79">
        <f t="shared" si="1"/>
        <v>360</v>
      </c>
      <c r="H8" s="79" t="s">
        <v>159</v>
      </c>
      <c r="I8" s="87">
        <f>13*9</f>
        <v>117</v>
      </c>
      <c r="J8" s="86">
        <v>563</v>
      </c>
      <c r="K8" s="13">
        <f>+ROUND(R8,0)</f>
        <v>63556</v>
      </c>
      <c r="L8" s="31">
        <f t="shared" si="2"/>
        <v>7436052</v>
      </c>
      <c r="M8" s="30">
        <f t="shared" si="3"/>
        <v>7436100</v>
      </c>
      <c r="N8" s="36">
        <f t="shared" si="4"/>
        <v>7436100</v>
      </c>
      <c r="O8" s="11">
        <v>6760000</v>
      </c>
      <c r="P8" s="37">
        <v>57777.777777777781</v>
      </c>
      <c r="Q8" s="11">
        <v>7436000.0000000009</v>
      </c>
      <c r="R8" s="11">
        <v>63555.555555555562</v>
      </c>
      <c r="V8" s="11">
        <v>117</v>
      </c>
      <c r="W8" s="11">
        <v>563</v>
      </c>
      <c r="X8" s="11">
        <v>63556</v>
      </c>
    </row>
    <row r="9" spans="1:34" ht="108" x14ac:dyDescent="0.25">
      <c r="A9" s="9">
        <v>8</v>
      </c>
      <c r="B9" s="9" t="s">
        <v>45</v>
      </c>
      <c r="C9" s="54" t="s">
        <v>161</v>
      </c>
      <c r="D9" s="79">
        <v>9</v>
      </c>
      <c r="E9" s="79">
        <v>5</v>
      </c>
      <c r="F9" s="79">
        <f t="shared" si="0"/>
        <v>40</v>
      </c>
      <c r="G9" s="79">
        <f t="shared" si="1"/>
        <v>360</v>
      </c>
      <c r="H9" s="79" t="s">
        <v>159</v>
      </c>
      <c r="I9" s="87">
        <f>20*9</f>
        <v>180</v>
      </c>
      <c r="J9" s="86">
        <v>250</v>
      </c>
      <c r="K9" s="13">
        <f t="shared" si="5"/>
        <v>12222</v>
      </c>
      <c r="L9" s="31">
        <f t="shared" si="2"/>
        <v>2199960</v>
      </c>
      <c r="M9" s="30">
        <f t="shared" si="3"/>
        <v>2200000</v>
      </c>
      <c r="N9" s="36">
        <f t="shared" si="4"/>
        <v>2200000</v>
      </c>
      <c r="O9" s="11">
        <v>2000000</v>
      </c>
      <c r="P9" s="37">
        <v>11111.111111111111</v>
      </c>
      <c r="Q9" s="11">
        <v>2200000</v>
      </c>
      <c r="R9" s="11">
        <v>12222.222222222223</v>
      </c>
      <c r="V9" s="11">
        <v>180</v>
      </c>
      <c r="W9" s="11">
        <v>250</v>
      </c>
      <c r="X9" s="11">
        <v>12222</v>
      </c>
    </row>
    <row r="10" spans="1:34" ht="94.5" x14ac:dyDescent="0.25">
      <c r="A10" s="9">
        <v>9</v>
      </c>
      <c r="B10" s="9" t="s">
        <v>45</v>
      </c>
      <c r="C10" s="54" t="s">
        <v>162</v>
      </c>
      <c r="D10" s="79">
        <v>9</v>
      </c>
      <c r="E10" s="79">
        <v>10</v>
      </c>
      <c r="F10" s="79">
        <f t="shared" si="0"/>
        <v>80</v>
      </c>
      <c r="G10" s="79">
        <f t="shared" si="1"/>
        <v>720</v>
      </c>
      <c r="H10" s="79" t="s">
        <v>159</v>
      </c>
      <c r="I10" s="87">
        <f>12*9</f>
        <v>108</v>
      </c>
      <c r="J10" s="86">
        <v>600</v>
      </c>
      <c r="K10" s="13">
        <f>+ROUND(R10,0)</f>
        <v>73333</v>
      </c>
      <c r="L10" s="31">
        <f t="shared" si="2"/>
        <v>7919964</v>
      </c>
      <c r="M10" s="30">
        <f t="shared" si="3"/>
        <v>7920000</v>
      </c>
      <c r="N10" s="36">
        <f t="shared" si="4"/>
        <v>7920000</v>
      </c>
      <c r="O10" s="11">
        <v>7200000</v>
      </c>
      <c r="P10" s="37">
        <v>66666.666666666672</v>
      </c>
      <c r="Q10" s="11">
        <v>7920000.0000000009</v>
      </c>
      <c r="R10" s="11">
        <v>73333.333333333343</v>
      </c>
      <c r="V10" s="11">
        <v>108</v>
      </c>
      <c r="W10" s="11">
        <v>600</v>
      </c>
      <c r="X10" s="11">
        <v>73333</v>
      </c>
    </row>
    <row r="11" spans="1:34" ht="94.5" x14ac:dyDescent="0.25">
      <c r="A11" s="9">
        <v>10</v>
      </c>
      <c r="B11" s="9" t="s">
        <v>45</v>
      </c>
      <c r="C11" s="54" t="s">
        <v>116</v>
      </c>
      <c r="D11" s="79">
        <v>9</v>
      </c>
      <c r="E11" s="79">
        <v>5</v>
      </c>
      <c r="F11" s="79">
        <f>+E11*8</f>
        <v>40</v>
      </c>
      <c r="G11" s="79">
        <f>+F11*D11</f>
        <v>360</v>
      </c>
      <c r="H11" s="79" t="s">
        <v>163</v>
      </c>
      <c r="I11" s="86">
        <f>20*9</f>
        <v>180</v>
      </c>
      <c r="J11" s="86">
        <v>300</v>
      </c>
      <c r="K11" s="13">
        <f t="shared" si="5"/>
        <v>22000</v>
      </c>
      <c r="L11" s="31">
        <f>+K11*I11</f>
        <v>3960000</v>
      </c>
      <c r="M11" s="30">
        <f t="shared" si="3"/>
        <v>3960000</v>
      </c>
      <c r="N11" s="36">
        <f t="shared" si="4"/>
        <v>3960000</v>
      </c>
      <c r="O11" s="11">
        <v>3600000</v>
      </c>
      <c r="P11" s="37">
        <v>20000</v>
      </c>
      <c r="Q11" s="11">
        <v>3960000.0000000005</v>
      </c>
      <c r="R11" s="11">
        <v>22000.000000000004</v>
      </c>
      <c r="V11" s="11">
        <v>180</v>
      </c>
      <c r="W11" s="11">
        <v>300</v>
      </c>
      <c r="X11" s="11">
        <v>22000</v>
      </c>
    </row>
    <row r="12" spans="1:34" ht="94.5" x14ac:dyDescent="0.25">
      <c r="A12" s="9">
        <v>11</v>
      </c>
      <c r="B12" s="9" t="s">
        <v>45</v>
      </c>
      <c r="C12" s="54" t="s">
        <v>211</v>
      </c>
      <c r="D12" s="79">
        <v>9</v>
      </c>
      <c r="E12" s="79">
        <v>1</v>
      </c>
      <c r="F12" s="79">
        <f t="shared" si="0"/>
        <v>8</v>
      </c>
      <c r="G12" s="79">
        <f t="shared" si="1"/>
        <v>72</v>
      </c>
      <c r="H12" s="79" t="s">
        <v>164</v>
      </c>
      <c r="I12" s="86">
        <f>2*9</f>
        <v>18</v>
      </c>
      <c r="J12" s="86">
        <v>300</v>
      </c>
      <c r="K12" s="13">
        <f t="shared" si="5"/>
        <v>605000</v>
      </c>
      <c r="L12" s="31">
        <f t="shared" si="2"/>
        <v>10890000</v>
      </c>
      <c r="M12" s="30">
        <f t="shared" si="3"/>
        <v>10890000</v>
      </c>
      <c r="N12" s="36">
        <f t="shared" si="4"/>
        <v>10890000</v>
      </c>
      <c r="O12" s="11">
        <v>9900000</v>
      </c>
      <c r="P12" s="37">
        <v>550000</v>
      </c>
      <c r="Q12" s="11">
        <v>10890000</v>
      </c>
      <c r="R12" s="11">
        <v>605000</v>
      </c>
      <c r="V12" s="11">
        <v>18</v>
      </c>
      <c r="W12" s="11">
        <v>300</v>
      </c>
      <c r="X12" s="11">
        <v>605000</v>
      </c>
    </row>
    <row r="13" spans="1:34" ht="108" customHeight="1" x14ac:dyDescent="0.25">
      <c r="A13" s="9">
        <v>12</v>
      </c>
      <c r="B13" s="9" t="s">
        <v>45</v>
      </c>
      <c r="C13" s="54" t="s">
        <v>165</v>
      </c>
      <c r="D13" s="79">
        <v>9</v>
      </c>
      <c r="E13" s="79">
        <v>1</v>
      </c>
      <c r="F13" s="79">
        <f t="shared" si="0"/>
        <v>8</v>
      </c>
      <c r="G13" s="79">
        <f t="shared" si="1"/>
        <v>72</v>
      </c>
      <c r="H13" s="79" t="s">
        <v>170</v>
      </c>
      <c r="I13" s="86">
        <f>5*9</f>
        <v>45</v>
      </c>
      <c r="J13" s="86">
        <v>75</v>
      </c>
      <c r="K13" s="13">
        <f t="shared" si="5"/>
        <v>90750</v>
      </c>
      <c r="L13" s="31">
        <f t="shared" si="2"/>
        <v>4083750</v>
      </c>
      <c r="M13" s="30">
        <f t="shared" si="3"/>
        <v>4083800</v>
      </c>
      <c r="N13" s="36">
        <f t="shared" si="4"/>
        <v>4083800</v>
      </c>
      <c r="O13" s="11">
        <v>3712500</v>
      </c>
      <c r="P13" s="37">
        <v>82500</v>
      </c>
      <c r="Q13" s="11">
        <v>4083750.0000000005</v>
      </c>
      <c r="R13" s="11">
        <v>90750.000000000015</v>
      </c>
      <c r="V13" s="11">
        <v>45</v>
      </c>
      <c r="W13" s="11">
        <v>75</v>
      </c>
      <c r="X13" s="11">
        <v>90750</v>
      </c>
    </row>
    <row r="14" spans="1:34" ht="104.1" customHeight="1" x14ac:dyDescent="0.25">
      <c r="A14" s="9">
        <v>13</v>
      </c>
      <c r="B14" s="9" t="s">
        <v>45</v>
      </c>
      <c r="C14" s="54" t="s">
        <v>113</v>
      </c>
      <c r="D14" s="79">
        <v>9</v>
      </c>
      <c r="E14" s="79">
        <v>1</v>
      </c>
      <c r="F14" s="79">
        <f t="shared" si="0"/>
        <v>8</v>
      </c>
      <c r="G14" s="79">
        <f>+F14*D14</f>
        <v>72</v>
      </c>
      <c r="H14" s="79" t="s">
        <v>171</v>
      </c>
      <c r="I14" s="86">
        <f>1*90</f>
        <v>90</v>
      </c>
      <c r="J14" s="86">
        <v>44</v>
      </c>
      <c r="K14" s="13">
        <f t="shared" si="5"/>
        <v>9680</v>
      </c>
      <c r="L14" s="31">
        <f t="shared" si="2"/>
        <v>871200</v>
      </c>
      <c r="M14" s="30">
        <f t="shared" si="3"/>
        <v>871200</v>
      </c>
      <c r="N14" s="36">
        <f t="shared" si="4"/>
        <v>871200</v>
      </c>
      <c r="O14" s="11">
        <v>792000</v>
      </c>
      <c r="P14" s="37">
        <v>8800</v>
      </c>
      <c r="Q14" s="11">
        <v>871200.00000000012</v>
      </c>
      <c r="R14" s="11">
        <v>9680.0000000000018</v>
      </c>
      <c r="S14" s="11">
        <v>20590444.444444444</v>
      </c>
      <c r="V14" s="11">
        <v>90</v>
      </c>
      <c r="W14" s="11">
        <v>44</v>
      </c>
      <c r="X14" s="11">
        <v>9680</v>
      </c>
    </row>
    <row r="15" spans="1:34" ht="80.25" customHeight="1" x14ac:dyDescent="0.25">
      <c r="A15" s="9">
        <v>14</v>
      </c>
      <c r="B15" s="9" t="s">
        <v>45</v>
      </c>
      <c r="C15" s="54" t="s">
        <v>112</v>
      </c>
      <c r="D15" s="79">
        <v>9</v>
      </c>
      <c r="E15" s="79">
        <v>1</v>
      </c>
      <c r="F15" s="79">
        <v>1</v>
      </c>
      <c r="G15" s="79">
        <f>+F15*D15</f>
        <v>9</v>
      </c>
      <c r="H15" s="79" t="s">
        <v>171</v>
      </c>
      <c r="I15" s="88">
        <v>9</v>
      </c>
      <c r="J15" s="87">
        <v>1</v>
      </c>
      <c r="K15" s="13">
        <v>420941</v>
      </c>
      <c r="L15" s="2">
        <f>+K15*I15</f>
        <v>3788469</v>
      </c>
      <c r="M15" s="2">
        <f t="shared" si="3"/>
        <v>3788500</v>
      </c>
      <c r="N15" s="36">
        <f t="shared" si="4"/>
        <v>3788500</v>
      </c>
      <c r="O15" s="21">
        <v>2500000</v>
      </c>
      <c r="P15" s="37">
        <v>277777.77777777775</v>
      </c>
      <c r="Q15" s="11">
        <v>2750000</v>
      </c>
      <c r="R15" s="11">
        <v>305555.55555555556</v>
      </c>
      <c r="V15" s="11">
        <v>9</v>
      </c>
      <c r="W15" s="11">
        <v>1</v>
      </c>
      <c r="X15" s="11">
        <v>420941</v>
      </c>
    </row>
    <row r="16" spans="1:34" ht="30.75" customHeight="1" x14ac:dyDescent="0.25">
      <c r="A16" s="27"/>
      <c r="B16" s="27"/>
      <c r="C16" s="28" t="s">
        <v>5</v>
      </c>
      <c r="D16" s="80"/>
      <c r="E16" s="80"/>
      <c r="F16" s="80"/>
      <c r="G16" s="80"/>
      <c r="H16" s="80"/>
      <c r="I16" s="89"/>
      <c r="J16" s="89"/>
      <c r="K16" s="29"/>
      <c r="L16" s="29">
        <f>SUM(L3:L15)</f>
        <v>186462000</v>
      </c>
      <c r="M16" s="29">
        <f t="shared" ref="M16:N16" si="6">SUM(M3:M15)</f>
        <v>186462200</v>
      </c>
      <c r="N16" s="29">
        <f t="shared" si="6"/>
        <v>186462200</v>
      </c>
      <c r="O16" s="5">
        <v>185314000</v>
      </c>
      <c r="P16" s="20"/>
      <c r="S16" s="11" t="e">
        <v>#REF!</v>
      </c>
    </row>
    <row r="17" spans="12:12" x14ac:dyDescent="0.25">
      <c r="L17" s="19">
        <f>+L16-L2</f>
        <v>0</v>
      </c>
    </row>
    <row r="18" spans="12:12" x14ac:dyDescent="0.25">
      <c r="L18" s="11">
        <f>+L17/9</f>
        <v>0</v>
      </c>
    </row>
    <row r="19" spans="12:12" x14ac:dyDescent="0.25">
      <c r="L19" s="19"/>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M14"/>
  <sheetViews>
    <sheetView workbookViewId="0"/>
  </sheetViews>
  <sheetFormatPr baseColWidth="10" defaultColWidth="10.85546875" defaultRowHeight="12.75" x14ac:dyDescent="0.25"/>
  <cols>
    <col min="1" max="1" width="10.85546875" style="51"/>
    <col min="2" max="2" width="19.85546875" style="51" customWidth="1"/>
    <col min="3" max="3" width="63" style="51" customWidth="1"/>
    <col min="4" max="6" width="24.140625" style="51" customWidth="1"/>
    <col min="7" max="7" width="25.140625" style="51" customWidth="1"/>
    <col min="8" max="8" width="13.28515625" style="51" customWidth="1"/>
    <col min="9" max="9" width="19.85546875" style="51" customWidth="1"/>
    <col min="10" max="10" width="10.85546875" style="51"/>
    <col min="11" max="11" width="17.42578125" style="51" customWidth="1"/>
    <col min="12" max="12" width="14.7109375" style="51" customWidth="1"/>
    <col min="13" max="16384" width="10.85546875" style="51"/>
  </cols>
  <sheetData>
    <row r="1" spans="1:13" ht="38.25" x14ac:dyDescent="0.25">
      <c r="A1" s="50" t="s">
        <v>0</v>
      </c>
      <c r="B1" s="50" t="s">
        <v>1</v>
      </c>
      <c r="C1" s="50" t="s">
        <v>2</v>
      </c>
      <c r="D1" s="83" t="s">
        <v>149</v>
      </c>
      <c r="E1" s="81" t="s">
        <v>186</v>
      </c>
      <c r="F1" s="82" t="s">
        <v>175</v>
      </c>
      <c r="G1" s="82" t="s">
        <v>153</v>
      </c>
      <c r="H1" s="84" t="s">
        <v>134</v>
      </c>
      <c r="I1" s="84" t="s">
        <v>6</v>
      </c>
      <c r="J1" s="12" t="s">
        <v>3</v>
      </c>
      <c r="K1" s="12" t="s">
        <v>4</v>
      </c>
      <c r="L1" s="12" t="s">
        <v>8</v>
      </c>
      <c r="M1" s="17" t="s">
        <v>7</v>
      </c>
    </row>
    <row r="2" spans="1:13" ht="175.5" x14ac:dyDescent="0.25">
      <c r="A2" s="14">
        <v>1</v>
      </c>
      <c r="B2" s="14" t="s">
        <v>46</v>
      </c>
      <c r="C2" s="54" t="s">
        <v>119</v>
      </c>
      <c r="D2" s="79">
        <v>1</v>
      </c>
      <c r="E2" s="79">
        <v>10</v>
      </c>
      <c r="F2" s="79">
        <f>+E2*9</f>
        <v>90</v>
      </c>
      <c r="G2" s="79" t="s">
        <v>172</v>
      </c>
      <c r="H2" s="86">
        <v>90</v>
      </c>
      <c r="I2" s="85" t="s">
        <v>114</v>
      </c>
      <c r="J2" s="33">
        <f>176000*1.052</f>
        <v>185152</v>
      </c>
      <c r="K2" s="34">
        <f>+J2*H2</f>
        <v>16663680</v>
      </c>
      <c r="L2" s="35">
        <f>+ROUND(K2/100,0)*100</f>
        <v>16663700</v>
      </c>
      <c r="M2" s="36">
        <f>+L2</f>
        <v>16663700</v>
      </c>
    </row>
    <row r="3" spans="1:13" ht="94.5" x14ac:dyDescent="0.25">
      <c r="A3" s="14">
        <v>2</v>
      </c>
      <c r="B3" s="14" t="s">
        <v>46</v>
      </c>
      <c r="C3" s="54" t="s">
        <v>120</v>
      </c>
      <c r="D3" s="79">
        <v>1</v>
      </c>
      <c r="E3" s="79">
        <v>1</v>
      </c>
      <c r="F3" s="79">
        <v>4</v>
      </c>
      <c r="G3" s="79" t="s">
        <v>172</v>
      </c>
      <c r="H3" s="86">
        <v>4</v>
      </c>
      <c r="I3" s="85" t="s">
        <v>99</v>
      </c>
      <c r="J3" s="33">
        <f t="shared" ref="J3:J8" si="0">176000*1.052</f>
        <v>185152</v>
      </c>
      <c r="K3" s="34">
        <f>+J3*H3</f>
        <v>740608</v>
      </c>
      <c r="L3" s="35">
        <f t="shared" ref="L3:L13" si="1">+ROUND(K3/100,0)*100</f>
        <v>740600</v>
      </c>
      <c r="M3" s="36">
        <f t="shared" ref="M3" si="2">+L3</f>
        <v>740600</v>
      </c>
    </row>
    <row r="4" spans="1:13" ht="94.5" x14ac:dyDescent="0.25">
      <c r="A4" s="14">
        <v>3</v>
      </c>
      <c r="B4" s="14" t="s">
        <v>47</v>
      </c>
      <c r="C4" s="54" t="s">
        <v>121</v>
      </c>
      <c r="D4" s="79">
        <v>1</v>
      </c>
      <c r="E4" s="79">
        <v>1</v>
      </c>
      <c r="F4" s="79">
        <v>4</v>
      </c>
      <c r="G4" s="79" t="s">
        <v>172</v>
      </c>
      <c r="H4" s="86">
        <v>4</v>
      </c>
      <c r="I4" s="85" t="s">
        <v>99</v>
      </c>
      <c r="J4" s="33">
        <f t="shared" si="0"/>
        <v>185152</v>
      </c>
      <c r="K4" s="34">
        <f t="shared" ref="K4:K13" si="3">+J4*H4</f>
        <v>740608</v>
      </c>
      <c r="L4" s="35">
        <f t="shared" si="1"/>
        <v>740600</v>
      </c>
      <c r="M4" s="36">
        <f t="shared" ref="M4" si="4">+L4</f>
        <v>740600</v>
      </c>
    </row>
    <row r="5" spans="1:13" ht="81" x14ac:dyDescent="0.25">
      <c r="A5" s="14">
        <v>4</v>
      </c>
      <c r="B5" s="14" t="s">
        <v>47</v>
      </c>
      <c r="C5" s="54" t="s">
        <v>122</v>
      </c>
      <c r="D5" s="79">
        <v>1</v>
      </c>
      <c r="E5" s="79">
        <v>1</v>
      </c>
      <c r="F5" s="79">
        <v>4</v>
      </c>
      <c r="G5" s="79" t="s">
        <v>172</v>
      </c>
      <c r="H5" s="86">
        <v>4</v>
      </c>
      <c r="I5" s="85" t="s">
        <v>99</v>
      </c>
      <c r="J5" s="33">
        <f t="shared" si="0"/>
        <v>185152</v>
      </c>
      <c r="K5" s="34">
        <f t="shared" si="3"/>
        <v>740608</v>
      </c>
      <c r="L5" s="35">
        <f t="shared" si="1"/>
        <v>740600</v>
      </c>
      <c r="M5" s="36">
        <f t="shared" ref="M5" si="5">+L5</f>
        <v>740600</v>
      </c>
    </row>
    <row r="6" spans="1:13" ht="121.5" x14ac:dyDescent="0.25">
      <c r="A6" s="14">
        <v>5</v>
      </c>
      <c r="B6" s="14" t="s">
        <v>47</v>
      </c>
      <c r="C6" s="54" t="s">
        <v>123</v>
      </c>
      <c r="D6" s="79">
        <v>1</v>
      </c>
      <c r="E6" s="79">
        <v>1</v>
      </c>
      <c r="F6" s="79">
        <f>+E6*9</f>
        <v>9</v>
      </c>
      <c r="G6" s="79" t="s">
        <v>172</v>
      </c>
      <c r="H6" s="86">
        <v>9</v>
      </c>
      <c r="I6" s="85" t="s">
        <v>100</v>
      </c>
      <c r="J6" s="33">
        <f t="shared" si="0"/>
        <v>185152</v>
      </c>
      <c r="K6" s="34">
        <f t="shared" si="3"/>
        <v>1666368</v>
      </c>
      <c r="L6" s="35">
        <f t="shared" si="1"/>
        <v>1666400</v>
      </c>
      <c r="M6" s="36">
        <f t="shared" ref="M6" si="6">+L6</f>
        <v>1666400</v>
      </c>
    </row>
    <row r="7" spans="1:13" ht="81" x14ac:dyDescent="0.25">
      <c r="A7" s="14">
        <v>6</v>
      </c>
      <c r="B7" s="14" t="s">
        <v>47</v>
      </c>
      <c r="C7" s="54" t="s">
        <v>124</v>
      </c>
      <c r="D7" s="79">
        <v>1</v>
      </c>
      <c r="E7" s="79">
        <v>1</v>
      </c>
      <c r="F7" s="79">
        <f>+E7*9</f>
        <v>9</v>
      </c>
      <c r="G7" s="79" t="s">
        <v>172</v>
      </c>
      <c r="H7" s="86">
        <v>9</v>
      </c>
      <c r="I7" s="85" t="s">
        <v>100</v>
      </c>
      <c r="J7" s="33">
        <f t="shared" si="0"/>
        <v>185152</v>
      </c>
      <c r="K7" s="34">
        <f t="shared" si="3"/>
        <v>1666368</v>
      </c>
      <c r="L7" s="35">
        <f t="shared" si="1"/>
        <v>1666400</v>
      </c>
      <c r="M7" s="36">
        <f t="shared" ref="M7" si="7">+L7</f>
        <v>1666400</v>
      </c>
    </row>
    <row r="8" spans="1:13" ht="81" x14ac:dyDescent="0.25">
      <c r="A8" s="14">
        <v>7</v>
      </c>
      <c r="B8" s="14" t="s">
        <v>47</v>
      </c>
      <c r="C8" s="54" t="s">
        <v>177</v>
      </c>
      <c r="D8" s="79">
        <v>1</v>
      </c>
      <c r="E8" s="79">
        <v>1</v>
      </c>
      <c r="F8" s="79">
        <v>4</v>
      </c>
      <c r="G8" s="79" t="s">
        <v>172</v>
      </c>
      <c r="H8" s="86">
        <v>4</v>
      </c>
      <c r="I8" s="85" t="s">
        <v>99</v>
      </c>
      <c r="J8" s="33">
        <f t="shared" si="0"/>
        <v>185152</v>
      </c>
      <c r="K8" s="34">
        <f t="shared" si="3"/>
        <v>740608</v>
      </c>
      <c r="L8" s="35">
        <f t="shared" si="1"/>
        <v>740600</v>
      </c>
      <c r="M8" s="36">
        <f t="shared" ref="M8" si="8">+L8</f>
        <v>740600</v>
      </c>
    </row>
    <row r="9" spans="1:13" ht="40.5" x14ac:dyDescent="0.25">
      <c r="A9" s="14">
        <v>8</v>
      </c>
      <c r="B9" s="14" t="s">
        <v>46</v>
      </c>
      <c r="C9" s="54" t="s">
        <v>178</v>
      </c>
      <c r="D9" s="79">
        <v>1</v>
      </c>
      <c r="E9" s="79">
        <v>1</v>
      </c>
      <c r="F9" s="79">
        <f>+E9*9</f>
        <v>9</v>
      </c>
      <c r="G9" s="79" t="s">
        <v>174</v>
      </c>
      <c r="H9" s="86">
        <v>9</v>
      </c>
      <c r="I9" s="85" t="s">
        <v>115</v>
      </c>
      <c r="J9" s="33">
        <v>250000</v>
      </c>
      <c r="K9" s="34">
        <f t="shared" si="3"/>
        <v>2250000</v>
      </c>
      <c r="L9" s="35">
        <f t="shared" si="1"/>
        <v>2250000</v>
      </c>
      <c r="M9" s="36">
        <f t="shared" ref="M9" si="9">+L9</f>
        <v>2250000</v>
      </c>
    </row>
    <row r="10" spans="1:13" ht="51" customHeight="1" x14ac:dyDescent="0.25">
      <c r="A10" s="14">
        <v>9</v>
      </c>
      <c r="B10" s="14" t="s">
        <v>46</v>
      </c>
      <c r="C10" s="54" t="s">
        <v>173</v>
      </c>
      <c r="D10" s="79">
        <v>1</v>
      </c>
      <c r="E10" s="79">
        <v>1</v>
      </c>
      <c r="F10" s="79">
        <f>+E10*9</f>
        <v>9</v>
      </c>
      <c r="G10" s="79" t="s">
        <v>172</v>
      </c>
      <c r="H10" s="86">
        <v>9</v>
      </c>
      <c r="I10" s="85" t="s">
        <v>105</v>
      </c>
      <c r="J10" s="33">
        <v>250000</v>
      </c>
      <c r="K10" s="34">
        <f t="shared" si="3"/>
        <v>2250000</v>
      </c>
      <c r="L10" s="35">
        <f t="shared" si="1"/>
        <v>2250000</v>
      </c>
      <c r="M10" s="36">
        <f t="shared" ref="M10" si="10">+L10</f>
        <v>2250000</v>
      </c>
    </row>
    <row r="11" spans="1:13" s="52" customFormat="1" ht="120" customHeight="1" x14ac:dyDescent="0.25">
      <c r="A11" s="14">
        <v>10</v>
      </c>
      <c r="B11" s="14" t="s">
        <v>45</v>
      </c>
      <c r="C11" s="54" t="s">
        <v>11</v>
      </c>
      <c r="D11" s="79">
        <v>1</v>
      </c>
      <c r="E11" s="79">
        <v>1</v>
      </c>
      <c r="F11" s="79">
        <v>1</v>
      </c>
      <c r="G11" s="79" t="s">
        <v>172</v>
      </c>
      <c r="H11" s="86">
        <v>1</v>
      </c>
      <c r="I11" s="85" t="s">
        <v>125</v>
      </c>
      <c r="J11" s="33">
        <f>45000*80</f>
        <v>3600000</v>
      </c>
      <c r="K11" s="34">
        <f t="shared" si="3"/>
        <v>3600000</v>
      </c>
      <c r="L11" s="35">
        <f t="shared" si="1"/>
        <v>3600000</v>
      </c>
      <c r="M11" s="36">
        <f t="shared" ref="M11" si="11">+L11</f>
        <v>3600000</v>
      </c>
    </row>
    <row r="12" spans="1:13" ht="94.5" x14ac:dyDescent="0.25">
      <c r="A12" s="14">
        <v>11</v>
      </c>
      <c r="B12" s="14" t="s">
        <v>45</v>
      </c>
      <c r="C12" s="54" t="s">
        <v>179</v>
      </c>
      <c r="D12" s="79">
        <v>1</v>
      </c>
      <c r="E12" s="79">
        <v>1</v>
      </c>
      <c r="F12" s="79">
        <v>4</v>
      </c>
      <c r="G12" s="79" t="s">
        <v>172</v>
      </c>
      <c r="H12" s="86">
        <v>4</v>
      </c>
      <c r="I12" s="85" t="s">
        <v>99</v>
      </c>
      <c r="J12" s="33">
        <f t="shared" ref="J12:J13" si="12">176000*1.052</f>
        <v>185152</v>
      </c>
      <c r="K12" s="34">
        <f t="shared" si="3"/>
        <v>740608</v>
      </c>
      <c r="L12" s="35">
        <f t="shared" si="1"/>
        <v>740600</v>
      </c>
      <c r="M12" s="36">
        <f t="shared" ref="M12" si="13">+L12</f>
        <v>740600</v>
      </c>
    </row>
    <row r="13" spans="1:13" ht="119.25" customHeight="1" x14ac:dyDescent="0.25">
      <c r="A13" s="14">
        <v>12</v>
      </c>
      <c r="B13" s="14" t="s">
        <v>45</v>
      </c>
      <c r="C13" s="54" t="s">
        <v>176</v>
      </c>
      <c r="D13" s="79">
        <v>1</v>
      </c>
      <c r="E13" s="79">
        <v>1</v>
      </c>
      <c r="F13" s="79">
        <v>9</v>
      </c>
      <c r="G13" s="79" t="s">
        <v>172</v>
      </c>
      <c r="H13" s="86">
        <v>9</v>
      </c>
      <c r="I13" s="85" t="s">
        <v>100</v>
      </c>
      <c r="J13" s="33">
        <f t="shared" si="12"/>
        <v>185152</v>
      </c>
      <c r="K13" s="34">
        <f t="shared" si="3"/>
        <v>1666368</v>
      </c>
      <c r="L13" s="35">
        <f t="shared" si="1"/>
        <v>1666400</v>
      </c>
      <c r="M13" s="36">
        <f t="shared" ref="M13" si="14">+L13</f>
        <v>1666400</v>
      </c>
    </row>
    <row r="14" spans="1:13" s="11" customFormat="1" ht="15" x14ac:dyDescent="0.25">
      <c r="A14" s="56"/>
      <c r="B14" s="57"/>
      <c r="C14" s="58" t="s">
        <v>5</v>
      </c>
      <c r="D14" s="58"/>
      <c r="E14" s="58"/>
      <c r="F14" s="58"/>
      <c r="G14" s="58"/>
      <c r="H14" s="57"/>
      <c r="I14" s="57"/>
      <c r="J14" s="59"/>
      <c r="K14" s="59">
        <f>SUM(K2:K13)</f>
        <v>33465824</v>
      </c>
      <c r="L14" s="59">
        <f t="shared" ref="L14:M14" si="15">SUM(L2:L13)</f>
        <v>33465900</v>
      </c>
      <c r="M14" s="59">
        <f t="shared" si="15"/>
        <v>33465900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M10"/>
  <sheetViews>
    <sheetView zoomScale="85" zoomScaleNormal="213" zoomScalePageLayoutView="213" workbookViewId="0"/>
  </sheetViews>
  <sheetFormatPr baseColWidth="10" defaultColWidth="10.85546875" defaultRowHeight="12.75" x14ac:dyDescent="0.2"/>
  <cols>
    <col min="1" max="1" width="14.42578125" style="16" customWidth="1"/>
    <col min="2" max="2" width="19.28515625" style="16" customWidth="1"/>
    <col min="3" max="3" width="59.42578125" style="16" customWidth="1"/>
    <col min="4" max="5" width="26" style="16" customWidth="1"/>
    <col min="6" max="6" width="28.28515625" style="16" customWidth="1"/>
    <col min="7" max="7" width="25.42578125" style="16" customWidth="1"/>
    <col min="8" max="8" width="16.85546875" style="16" customWidth="1"/>
    <col min="9" max="9" width="18.28515625" style="16" customWidth="1"/>
    <col min="10" max="10" width="10.85546875" style="16"/>
    <col min="11" max="12" width="16.42578125" style="16" customWidth="1"/>
    <col min="13" max="13" width="12.7109375" style="16" customWidth="1"/>
    <col min="14" max="16384" width="10.85546875" style="16"/>
  </cols>
  <sheetData>
    <row r="1" spans="1:13" ht="38.25" x14ac:dyDescent="0.2">
      <c r="A1" s="7" t="s">
        <v>0</v>
      </c>
      <c r="B1" s="7" t="s">
        <v>1</v>
      </c>
      <c r="C1" s="7" t="s">
        <v>2</v>
      </c>
      <c r="D1" s="83" t="s">
        <v>149</v>
      </c>
      <c r="E1" s="81" t="s">
        <v>186</v>
      </c>
      <c r="F1" s="82" t="s">
        <v>175</v>
      </c>
      <c r="G1" s="82" t="s">
        <v>153</v>
      </c>
      <c r="H1" s="84" t="s">
        <v>134</v>
      </c>
      <c r="I1" s="84" t="s">
        <v>6</v>
      </c>
      <c r="J1" s="12" t="s">
        <v>3</v>
      </c>
      <c r="K1" s="12" t="s">
        <v>4</v>
      </c>
      <c r="L1" s="12" t="s">
        <v>8</v>
      </c>
      <c r="M1" s="17" t="s">
        <v>7</v>
      </c>
    </row>
    <row r="2" spans="1:13" s="8" customFormat="1" ht="81" x14ac:dyDescent="0.25">
      <c r="A2" s="9">
        <v>1</v>
      </c>
      <c r="B2" s="14" t="s">
        <v>47</v>
      </c>
      <c r="C2" s="55" t="s">
        <v>212</v>
      </c>
      <c r="D2" s="79">
        <v>1</v>
      </c>
      <c r="E2" s="79">
        <v>1</v>
      </c>
      <c r="F2" s="79">
        <f>+E2*9</f>
        <v>9</v>
      </c>
      <c r="G2" s="79" t="s">
        <v>172</v>
      </c>
      <c r="H2" s="86">
        <f>56*9</f>
        <v>504</v>
      </c>
      <c r="I2" s="85">
        <v>56</v>
      </c>
      <c r="J2" s="33">
        <v>30170</v>
      </c>
      <c r="K2" s="34">
        <f>+J2*H2</f>
        <v>15205680</v>
      </c>
      <c r="L2" s="35">
        <f>+ROUND(K2/100,0)*100</f>
        <v>15205700</v>
      </c>
      <c r="M2" s="36">
        <f>+L2</f>
        <v>15205700</v>
      </c>
    </row>
    <row r="3" spans="1:13" s="8" customFormat="1" ht="101.25" customHeight="1" x14ac:dyDescent="0.25">
      <c r="A3" s="9">
        <v>2</v>
      </c>
      <c r="B3" s="14" t="s">
        <v>47</v>
      </c>
      <c r="C3" s="55" t="s">
        <v>180</v>
      </c>
      <c r="D3" s="79">
        <v>1</v>
      </c>
      <c r="E3" s="79">
        <v>9</v>
      </c>
      <c r="F3" s="79">
        <f>+E3*9</f>
        <v>81</v>
      </c>
      <c r="G3" s="79" t="s">
        <v>172</v>
      </c>
      <c r="H3" s="86">
        <v>81</v>
      </c>
      <c r="I3" s="85">
        <v>9</v>
      </c>
      <c r="J3" s="33">
        <f>176000*1.052*0.25</f>
        <v>46288</v>
      </c>
      <c r="K3" s="34">
        <f t="shared" ref="K3:K9" si="0">+J3*H3</f>
        <v>3749328</v>
      </c>
      <c r="L3" s="35">
        <f t="shared" ref="L3:L9" si="1">+ROUND(K3/100,0)*100</f>
        <v>3749300</v>
      </c>
      <c r="M3" s="36">
        <f t="shared" ref="M3:M9" si="2">+L3</f>
        <v>3749300</v>
      </c>
    </row>
    <row r="4" spans="1:13" s="8" customFormat="1" ht="107.25" customHeight="1" x14ac:dyDescent="0.25">
      <c r="A4" s="9">
        <v>3</v>
      </c>
      <c r="B4" s="14" t="s">
        <v>47</v>
      </c>
      <c r="C4" s="55" t="s">
        <v>126</v>
      </c>
      <c r="D4" s="79">
        <v>1</v>
      </c>
      <c r="E4" s="79">
        <v>18</v>
      </c>
      <c r="F4" s="79">
        <f t="shared" ref="F4:F5" si="3">+E4*9</f>
        <v>162</v>
      </c>
      <c r="G4" s="79" t="s">
        <v>172</v>
      </c>
      <c r="H4" s="86">
        <v>162</v>
      </c>
      <c r="I4" s="85">
        <v>9</v>
      </c>
      <c r="J4" s="33">
        <f t="shared" ref="J4" si="4">176000*1.052*0.25</f>
        <v>46288</v>
      </c>
      <c r="K4" s="34">
        <f t="shared" si="0"/>
        <v>7498656</v>
      </c>
      <c r="L4" s="35">
        <f t="shared" si="1"/>
        <v>7498700</v>
      </c>
      <c r="M4" s="36">
        <f t="shared" si="2"/>
        <v>7498700</v>
      </c>
    </row>
    <row r="5" spans="1:13" s="8" customFormat="1" ht="121.5" x14ac:dyDescent="0.25">
      <c r="A5" s="9">
        <v>5</v>
      </c>
      <c r="B5" s="9" t="s">
        <v>48</v>
      </c>
      <c r="C5" s="55" t="s">
        <v>127</v>
      </c>
      <c r="D5" s="79">
        <v>1</v>
      </c>
      <c r="E5" s="79">
        <v>1</v>
      </c>
      <c r="F5" s="79">
        <f t="shared" si="3"/>
        <v>9</v>
      </c>
      <c r="G5" s="79" t="s">
        <v>172</v>
      </c>
      <c r="H5" s="86">
        <v>9</v>
      </c>
      <c r="I5" s="85" t="s">
        <v>100</v>
      </c>
      <c r="J5" s="33">
        <f>176000*1.052</f>
        <v>185152</v>
      </c>
      <c r="K5" s="34">
        <f t="shared" si="0"/>
        <v>1666368</v>
      </c>
      <c r="L5" s="35">
        <f t="shared" si="1"/>
        <v>1666400</v>
      </c>
      <c r="M5" s="36">
        <f t="shared" si="2"/>
        <v>1666400</v>
      </c>
    </row>
    <row r="6" spans="1:13" s="8" customFormat="1" ht="94.5" x14ac:dyDescent="0.25">
      <c r="A6" s="9">
        <v>6</v>
      </c>
      <c r="B6" s="9" t="s">
        <v>48</v>
      </c>
      <c r="C6" s="55" t="s">
        <v>128</v>
      </c>
      <c r="D6" s="79">
        <v>1</v>
      </c>
      <c r="E6" s="79">
        <v>1</v>
      </c>
      <c r="F6" s="79">
        <v>4</v>
      </c>
      <c r="G6" s="79" t="s">
        <v>172</v>
      </c>
      <c r="H6" s="86">
        <v>4</v>
      </c>
      <c r="I6" s="85" t="s">
        <v>99</v>
      </c>
      <c r="J6" s="33">
        <f>176000*1.052</f>
        <v>185152</v>
      </c>
      <c r="K6" s="34">
        <f t="shared" si="0"/>
        <v>740608</v>
      </c>
      <c r="L6" s="35">
        <f t="shared" si="1"/>
        <v>740600</v>
      </c>
      <c r="M6" s="36">
        <f t="shared" si="2"/>
        <v>740600</v>
      </c>
    </row>
    <row r="7" spans="1:13" s="8" customFormat="1" ht="81" x14ac:dyDescent="0.25">
      <c r="A7" s="9">
        <v>7</v>
      </c>
      <c r="B7" s="9" t="s">
        <v>48</v>
      </c>
      <c r="C7" s="55" t="s">
        <v>130</v>
      </c>
      <c r="D7" s="79">
        <v>1</v>
      </c>
      <c r="E7" s="79">
        <v>1</v>
      </c>
      <c r="F7" s="79">
        <v>4</v>
      </c>
      <c r="G7" s="79" t="s">
        <v>172</v>
      </c>
      <c r="H7" s="86">
        <v>4</v>
      </c>
      <c r="I7" s="85" t="s">
        <v>129</v>
      </c>
      <c r="J7" s="33">
        <f>500000-33837</f>
        <v>466163</v>
      </c>
      <c r="K7" s="34">
        <f t="shared" si="0"/>
        <v>1864652</v>
      </c>
      <c r="L7" s="35">
        <f t="shared" si="1"/>
        <v>1864700</v>
      </c>
      <c r="M7" s="36">
        <f t="shared" si="2"/>
        <v>1864700</v>
      </c>
    </row>
    <row r="8" spans="1:13" s="8" customFormat="1" ht="94.5" x14ac:dyDescent="0.25">
      <c r="A8" s="9">
        <v>9</v>
      </c>
      <c r="B8" s="9" t="s">
        <v>46</v>
      </c>
      <c r="C8" s="55" t="s">
        <v>131</v>
      </c>
      <c r="D8" s="79">
        <v>1</v>
      </c>
      <c r="E8" s="79">
        <v>1</v>
      </c>
      <c r="F8" s="79">
        <v>4</v>
      </c>
      <c r="G8" s="79" t="s">
        <v>172</v>
      </c>
      <c r="H8" s="86">
        <v>4</v>
      </c>
      <c r="I8" s="85" t="s">
        <v>132</v>
      </c>
      <c r="J8" s="33">
        <v>500000</v>
      </c>
      <c r="K8" s="34">
        <f t="shared" si="0"/>
        <v>2000000</v>
      </c>
      <c r="L8" s="35">
        <f t="shared" si="1"/>
        <v>2000000</v>
      </c>
      <c r="M8" s="36">
        <f t="shared" si="2"/>
        <v>2000000</v>
      </c>
    </row>
    <row r="9" spans="1:13" s="8" customFormat="1" ht="108" x14ac:dyDescent="0.25">
      <c r="A9" s="9">
        <v>10</v>
      </c>
      <c r="B9" s="9" t="s">
        <v>45</v>
      </c>
      <c r="C9" s="55" t="s">
        <v>133</v>
      </c>
      <c r="D9" s="79">
        <v>1</v>
      </c>
      <c r="E9" s="79">
        <v>1</v>
      </c>
      <c r="F9" s="79">
        <v>4</v>
      </c>
      <c r="G9" s="79" t="s">
        <v>172</v>
      </c>
      <c r="H9" s="86">
        <v>4</v>
      </c>
      <c r="I9" s="85" t="s">
        <v>99</v>
      </c>
      <c r="J9" s="33">
        <f>176000*1.052</f>
        <v>185152</v>
      </c>
      <c r="K9" s="34">
        <f t="shared" si="0"/>
        <v>740608</v>
      </c>
      <c r="L9" s="35">
        <f t="shared" si="1"/>
        <v>740600</v>
      </c>
      <c r="M9" s="36">
        <f t="shared" si="2"/>
        <v>740600</v>
      </c>
    </row>
    <row r="10" spans="1:13" ht="15" x14ac:dyDescent="0.2">
      <c r="A10" s="56"/>
      <c r="B10" s="57"/>
      <c r="C10" s="58" t="s">
        <v>5</v>
      </c>
      <c r="D10" s="58"/>
      <c r="E10" s="58"/>
      <c r="F10" s="58"/>
      <c r="G10" s="58"/>
      <c r="H10" s="57"/>
      <c r="I10" s="57"/>
      <c r="J10" s="59"/>
      <c r="K10" s="59">
        <f>SUM(K2:K9)</f>
        <v>33465900</v>
      </c>
      <c r="L10" s="59">
        <f t="shared" ref="L10:M10" si="5">SUM(L2:L9)</f>
        <v>33466000</v>
      </c>
      <c r="M10" s="59">
        <f t="shared" si="5"/>
        <v>33466000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O10"/>
  <sheetViews>
    <sheetView workbookViewId="0"/>
  </sheetViews>
  <sheetFormatPr baseColWidth="10" defaultColWidth="10.85546875" defaultRowHeight="12.75" x14ac:dyDescent="0.25"/>
  <cols>
    <col min="1" max="1" width="11" style="8" bestFit="1" customWidth="1"/>
    <col min="2" max="2" width="16.42578125" style="8" customWidth="1"/>
    <col min="3" max="3" width="53.28515625" style="8" customWidth="1"/>
    <col min="4" max="4" width="20.140625" style="8" customWidth="1"/>
    <col min="5" max="5" width="21.28515625" style="8" customWidth="1"/>
    <col min="6" max="6" width="23.42578125" style="8" customWidth="1"/>
    <col min="7" max="7" width="19.28515625" style="8" customWidth="1"/>
    <col min="8" max="8" width="15.42578125" style="8" customWidth="1"/>
    <col min="9" max="9" width="20.42578125" style="8" customWidth="1"/>
    <col min="10" max="10" width="11" style="8" bestFit="1" customWidth="1"/>
    <col min="11" max="12" width="11.28515625" style="8" bestFit="1" customWidth="1"/>
    <col min="13" max="13" width="11.140625" style="8" bestFit="1" customWidth="1"/>
    <col min="14" max="16384" width="10.85546875" style="8"/>
  </cols>
  <sheetData>
    <row r="1" spans="1:15" ht="55.5" customHeight="1" x14ac:dyDescent="0.25">
      <c r="A1" s="7" t="s">
        <v>0</v>
      </c>
      <c r="B1" s="7" t="s">
        <v>1</v>
      </c>
      <c r="C1" s="7" t="s">
        <v>2</v>
      </c>
      <c r="D1" s="83" t="s">
        <v>149</v>
      </c>
      <c r="E1" s="81" t="s">
        <v>185</v>
      </c>
      <c r="F1" s="82" t="s">
        <v>181</v>
      </c>
      <c r="G1" s="82" t="s">
        <v>153</v>
      </c>
      <c r="H1" s="84" t="s">
        <v>134</v>
      </c>
      <c r="I1" s="84" t="s">
        <v>6</v>
      </c>
      <c r="J1" s="12" t="s">
        <v>3</v>
      </c>
      <c r="K1" s="12" t="s">
        <v>4</v>
      </c>
      <c r="L1" s="12" t="s">
        <v>8</v>
      </c>
      <c r="M1" s="17" t="s">
        <v>7</v>
      </c>
    </row>
    <row r="2" spans="1:15" ht="121.5" x14ac:dyDescent="0.25">
      <c r="A2" s="9">
        <v>1</v>
      </c>
      <c r="B2" s="9" t="s">
        <v>46</v>
      </c>
      <c r="C2" s="55" t="s">
        <v>117</v>
      </c>
      <c r="D2" s="79">
        <v>1</v>
      </c>
      <c r="E2" s="79">
        <v>8</v>
      </c>
      <c r="F2" s="79">
        <f>+E2*8</f>
        <v>64</v>
      </c>
      <c r="G2" s="79" t="s">
        <v>172</v>
      </c>
      <c r="H2" s="85">
        <v>64</v>
      </c>
      <c r="I2" s="86">
        <v>8</v>
      </c>
      <c r="J2" s="33">
        <f>18000*1.052</f>
        <v>18936</v>
      </c>
      <c r="K2" s="34">
        <f>+J2*H2</f>
        <v>1211904</v>
      </c>
      <c r="L2" s="35">
        <f>+ROUND(K2/100,0)*100</f>
        <v>1211900</v>
      </c>
      <c r="M2" s="36">
        <f>+L2</f>
        <v>1211900</v>
      </c>
      <c r="O2" s="8">
        <f>+K2/F2</f>
        <v>18936</v>
      </c>
    </row>
    <row r="3" spans="1:15" ht="121.5" x14ac:dyDescent="0.25">
      <c r="A3" s="9">
        <v>2</v>
      </c>
      <c r="B3" s="9" t="s">
        <v>46</v>
      </c>
      <c r="C3" s="55" t="s">
        <v>226</v>
      </c>
      <c r="D3" s="79">
        <v>1</v>
      </c>
      <c r="E3" s="79">
        <v>40</v>
      </c>
      <c r="F3" s="79">
        <f>+E3*8</f>
        <v>320</v>
      </c>
      <c r="G3" s="79" t="s">
        <v>172</v>
      </c>
      <c r="H3" s="85">
        <v>320</v>
      </c>
      <c r="I3" s="86">
        <f>+H3/8</f>
        <v>40</v>
      </c>
      <c r="J3" s="33">
        <f t="shared" ref="J3" si="0">18000*1.052</f>
        <v>18936</v>
      </c>
      <c r="K3" s="34">
        <f t="shared" ref="K3:K6" si="1">+J3*H3</f>
        <v>6059520</v>
      </c>
      <c r="L3" s="35">
        <f t="shared" ref="L3:L6" si="2">+ROUND(K3/100,0)*100</f>
        <v>6059500</v>
      </c>
      <c r="M3" s="36">
        <f t="shared" ref="M3:M6" si="3">+L3</f>
        <v>6059500</v>
      </c>
      <c r="O3" s="8">
        <f t="shared" ref="O3:O4" si="4">+K3/F3</f>
        <v>18936</v>
      </c>
    </row>
    <row r="4" spans="1:15" ht="108" x14ac:dyDescent="0.25">
      <c r="A4" s="9">
        <v>4</v>
      </c>
      <c r="B4" s="9" t="s">
        <v>46</v>
      </c>
      <c r="C4" s="55" t="s">
        <v>183</v>
      </c>
      <c r="D4" s="62"/>
      <c r="E4" s="62"/>
      <c r="F4" s="62"/>
      <c r="G4" s="62"/>
      <c r="H4" s="91"/>
      <c r="I4" s="53"/>
      <c r="J4" s="92"/>
      <c r="K4" s="93"/>
      <c r="L4" s="94"/>
      <c r="M4" s="95"/>
      <c r="O4" s="8" t="e">
        <f t="shared" si="4"/>
        <v>#DIV/0!</v>
      </c>
    </row>
    <row r="5" spans="1:15" ht="121.5" x14ac:dyDescent="0.25">
      <c r="A5" s="9">
        <v>5</v>
      </c>
      <c r="B5" s="9" t="s">
        <v>45</v>
      </c>
      <c r="C5" s="55" t="s">
        <v>112</v>
      </c>
      <c r="D5" s="79">
        <v>1</v>
      </c>
      <c r="E5" s="79">
        <v>1</v>
      </c>
      <c r="F5" s="79">
        <f>+E5*8</f>
        <v>8</v>
      </c>
      <c r="G5" s="79" t="s">
        <v>172</v>
      </c>
      <c r="H5" s="85">
        <v>8</v>
      </c>
      <c r="I5" s="86">
        <f t="shared" ref="I5" si="5">+H5/9</f>
        <v>0.88888888888888884</v>
      </c>
      <c r="J5" s="92">
        <v>715397</v>
      </c>
      <c r="K5" s="34">
        <f t="shared" si="1"/>
        <v>5723176</v>
      </c>
      <c r="L5" s="35">
        <f t="shared" si="2"/>
        <v>5723200</v>
      </c>
      <c r="M5" s="36">
        <f t="shared" si="3"/>
        <v>5723200</v>
      </c>
    </row>
    <row r="6" spans="1:15" ht="81" x14ac:dyDescent="0.25">
      <c r="A6" s="9">
        <v>6</v>
      </c>
      <c r="B6" s="9" t="s">
        <v>45</v>
      </c>
      <c r="C6" s="55" t="s">
        <v>118</v>
      </c>
      <c r="D6" s="79">
        <v>1</v>
      </c>
      <c r="E6" s="79">
        <v>250</v>
      </c>
      <c r="F6" s="79">
        <f>+E6*8</f>
        <v>2000</v>
      </c>
      <c r="G6" s="79" t="s">
        <v>184</v>
      </c>
      <c r="H6" s="85">
        <v>2000</v>
      </c>
      <c r="I6" s="86">
        <f>+H6/8</f>
        <v>250</v>
      </c>
      <c r="J6" s="33">
        <f>12500*1.052</f>
        <v>13150</v>
      </c>
      <c r="K6" s="34">
        <f t="shared" si="1"/>
        <v>26300000</v>
      </c>
      <c r="L6" s="35">
        <f t="shared" si="2"/>
        <v>26300000</v>
      </c>
      <c r="M6" s="36">
        <f t="shared" si="3"/>
        <v>26300000</v>
      </c>
    </row>
    <row r="7" spans="1:15" s="11" customFormat="1" ht="15" x14ac:dyDescent="0.25">
      <c r="A7" s="27"/>
      <c r="B7" s="27"/>
      <c r="C7" s="28" t="s">
        <v>5</v>
      </c>
      <c r="D7" s="28"/>
      <c r="E7" s="28"/>
      <c r="F7" s="28"/>
      <c r="G7" s="28"/>
      <c r="H7" s="27"/>
      <c r="I7" s="27"/>
      <c r="J7" s="29"/>
      <c r="K7" s="29">
        <f>SUM(K2:K6)</f>
        <v>39294600</v>
      </c>
      <c r="L7" s="29">
        <f t="shared" ref="L7:M7" si="6">SUM(L2:L6)</f>
        <v>39294600</v>
      </c>
      <c r="M7" s="29">
        <f t="shared" si="6"/>
        <v>39294600</v>
      </c>
    </row>
    <row r="8" spans="1:15" x14ac:dyDescent="0.25">
      <c r="K8" s="97">
        <f>+K10-K7</f>
        <v>0</v>
      </c>
    </row>
    <row r="9" spans="1:15" x14ac:dyDescent="0.25">
      <c r="K9" s="98">
        <f>+K8/8</f>
        <v>0</v>
      </c>
    </row>
    <row r="10" spans="1:15" x14ac:dyDescent="0.25">
      <c r="K10" s="29">
        <v>39294600</v>
      </c>
      <c r="L10" s="29">
        <v>39294700</v>
      </c>
      <c r="M10" s="29">
        <v>39294700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O11"/>
  <sheetViews>
    <sheetView workbookViewId="0"/>
  </sheetViews>
  <sheetFormatPr baseColWidth="10" defaultColWidth="10.85546875" defaultRowHeight="12.75" x14ac:dyDescent="0.25"/>
  <cols>
    <col min="1" max="1" width="10.85546875" style="8"/>
    <col min="2" max="2" width="18.42578125" style="8" customWidth="1"/>
    <col min="3" max="3" width="59.85546875" style="8" customWidth="1"/>
    <col min="4" max="4" width="29.140625" style="8" customWidth="1"/>
    <col min="5" max="5" width="26.85546875" style="8" customWidth="1"/>
    <col min="6" max="6" width="33.42578125" style="8" customWidth="1"/>
    <col min="7" max="7" width="24.28515625" style="8" customWidth="1"/>
    <col min="8" max="10" width="10.85546875" style="8"/>
    <col min="11" max="12" width="12.7109375" style="8" customWidth="1"/>
    <col min="13" max="16384" width="10.85546875" style="8"/>
  </cols>
  <sheetData>
    <row r="1" spans="1:15" ht="38.25" x14ac:dyDescent="0.25">
      <c r="A1" s="7" t="s">
        <v>0</v>
      </c>
      <c r="B1" s="7" t="s">
        <v>1</v>
      </c>
      <c r="C1" s="7" t="s">
        <v>2</v>
      </c>
      <c r="D1" s="83" t="s">
        <v>149</v>
      </c>
      <c r="E1" s="81" t="s">
        <v>185</v>
      </c>
      <c r="F1" s="82" t="s">
        <v>187</v>
      </c>
      <c r="G1" s="82" t="s">
        <v>153</v>
      </c>
      <c r="H1" s="84" t="s">
        <v>134</v>
      </c>
      <c r="I1" s="84" t="s">
        <v>6</v>
      </c>
      <c r="J1" s="12" t="s">
        <v>3</v>
      </c>
      <c r="K1" s="12" t="s">
        <v>4</v>
      </c>
      <c r="L1" s="12" t="s">
        <v>8</v>
      </c>
      <c r="M1" s="17" t="s">
        <v>7</v>
      </c>
    </row>
    <row r="2" spans="1:15" ht="104.25" customHeight="1" x14ac:dyDescent="0.25">
      <c r="A2" s="9">
        <v>1</v>
      </c>
      <c r="B2" s="9" t="s">
        <v>49</v>
      </c>
      <c r="C2" s="54" t="s">
        <v>106</v>
      </c>
      <c r="D2" s="79">
        <v>1</v>
      </c>
      <c r="E2" s="79">
        <v>1</v>
      </c>
      <c r="F2" s="79">
        <v>8</v>
      </c>
      <c r="G2" s="79" t="s">
        <v>172</v>
      </c>
      <c r="H2" s="86">
        <v>8</v>
      </c>
      <c r="I2" s="85" t="s">
        <v>100</v>
      </c>
      <c r="J2" s="99">
        <f>176000*1.052</f>
        <v>185152</v>
      </c>
      <c r="K2" s="34">
        <f>+J2*H2</f>
        <v>1481216</v>
      </c>
      <c r="L2" s="35">
        <f t="shared" ref="L2:L10" si="0">+ROUND(K2/100,0)*100</f>
        <v>1481200</v>
      </c>
      <c r="M2" s="36">
        <f t="shared" ref="M2:M10" si="1">+L2</f>
        <v>1481200</v>
      </c>
    </row>
    <row r="3" spans="1:15" ht="93" customHeight="1" x14ac:dyDescent="0.25">
      <c r="A3" s="9">
        <v>2</v>
      </c>
      <c r="B3" s="9" t="s">
        <v>49</v>
      </c>
      <c r="C3" s="54" t="s">
        <v>107</v>
      </c>
      <c r="D3" s="79">
        <v>1</v>
      </c>
      <c r="E3" s="79">
        <v>1</v>
      </c>
      <c r="F3" s="79">
        <v>8</v>
      </c>
      <c r="G3" s="79" t="s">
        <v>172</v>
      </c>
      <c r="H3" s="86">
        <v>8</v>
      </c>
      <c r="I3" s="90" t="s">
        <v>138</v>
      </c>
      <c r="J3" s="99">
        <f>176000*1.052</f>
        <v>185152</v>
      </c>
      <c r="K3" s="34">
        <f t="shared" ref="K3:K10" si="2">+J3*H3</f>
        <v>1481216</v>
      </c>
      <c r="L3" s="35">
        <f t="shared" si="0"/>
        <v>1481200</v>
      </c>
      <c r="M3" s="36">
        <f t="shared" si="1"/>
        <v>1481200</v>
      </c>
    </row>
    <row r="4" spans="1:15" ht="81.95" customHeight="1" x14ac:dyDescent="0.25">
      <c r="A4" s="9">
        <v>3</v>
      </c>
      <c r="B4" s="9" t="s">
        <v>49</v>
      </c>
      <c r="C4" s="54" t="s">
        <v>108</v>
      </c>
      <c r="D4" s="79">
        <v>1</v>
      </c>
      <c r="E4" s="79">
        <v>1</v>
      </c>
      <c r="F4" s="79">
        <v>8</v>
      </c>
      <c r="G4" s="79" t="s">
        <v>172</v>
      </c>
      <c r="H4" s="86">
        <v>8</v>
      </c>
      <c r="I4" s="90" t="s">
        <v>138</v>
      </c>
      <c r="J4" s="99">
        <f>176000*1.052</f>
        <v>185152</v>
      </c>
      <c r="K4" s="34">
        <f t="shared" si="2"/>
        <v>1481216</v>
      </c>
      <c r="L4" s="35">
        <f t="shared" si="0"/>
        <v>1481200</v>
      </c>
      <c r="M4" s="36">
        <f t="shared" si="1"/>
        <v>1481200</v>
      </c>
    </row>
    <row r="5" spans="1:15" ht="81.95" customHeight="1" x14ac:dyDescent="0.25">
      <c r="A5" s="9">
        <v>4</v>
      </c>
      <c r="B5" s="9" t="s">
        <v>49</v>
      </c>
      <c r="C5" s="54" t="s">
        <v>109</v>
      </c>
      <c r="D5" s="79">
        <v>1</v>
      </c>
      <c r="E5" s="79">
        <v>1</v>
      </c>
      <c r="F5" s="79">
        <v>8</v>
      </c>
      <c r="G5" s="79" t="s">
        <v>172</v>
      </c>
      <c r="H5" s="86">
        <v>8</v>
      </c>
      <c r="I5" s="90" t="s">
        <v>138</v>
      </c>
      <c r="J5" s="100">
        <f>176000*1.052+101.25</f>
        <v>185253.25</v>
      </c>
      <c r="K5" s="34">
        <f t="shared" si="2"/>
        <v>1482026</v>
      </c>
      <c r="L5" s="35">
        <f t="shared" si="0"/>
        <v>1482000</v>
      </c>
      <c r="M5" s="36">
        <f t="shared" si="1"/>
        <v>1482000</v>
      </c>
    </row>
    <row r="6" spans="1:15" s="15" customFormat="1" ht="81.95" customHeight="1" x14ac:dyDescent="0.25">
      <c r="A6" s="9">
        <v>5</v>
      </c>
      <c r="B6" s="9" t="s">
        <v>49</v>
      </c>
      <c r="C6" s="54" t="s">
        <v>110</v>
      </c>
      <c r="D6" s="79">
        <v>1</v>
      </c>
      <c r="E6" s="79">
        <v>1</v>
      </c>
      <c r="F6" s="79">
        <v>8</v>
      </c>
      <c r="G6" s="79" t="s">
        <v>172</v>
      </c>
      <c r="H6" s="86">
        <v>8</v>
      </c>
      <c r="I6" s="85" t="s">
        <v>100</v>
      </c>
      <c r="J6" s="99">
        <v>500000</v>
      </c>
      <c r="K6" s="34">
        <f t="shared" si="2"/>
        <v>4000000</v>
      </c>
      <c r="L6" s="35">
        <f t="shared" si="0"/>
        <v>4000000</v>
      </c>
      <c r="M6" s="36">
        <f t="shared" si="1"/>
        <v>4000000</v>
      </c>
    </row>
    <row r="7" spans="1:15" ht="81.95" customHeight="1" x14ac:dyDescent="0.25">
      <c r="A7" s="9">
        <v>6</v>
      </c>
      <c r="B7" s="9" t="s">
        <v>49</v>
      </c>
      <c r="C7" s="54" t="s">
        <v>111</v>
      </c>
      <c r="D7" s="79">
        <v>1</v>
      </c>
      <c r="E7" s="79">
        <v>1</v>
      </c>
      <c r="F7" s="79">
        <v>8</v>
      </c>
      <c r="G7" s="79" t="s">
        <v>172</v>
      </c>
      <c r="H7" s="86">
        <v>280</v>
      </c>
      <c r="I7" s="91" t="s">
        <v>227</v>
      </c>
      <c r="J7" s="99">
        <f>176000*1.052*0.25</f>
        <v>46288</v>
      </c>
      <c r="K7" s="34">
        <f t="shared" si="2"/>
        <v>12960640</v>
      </c>
      <c r="L7" s="35">
        <f t="shared" si="0"/>
        <v>12960600</v>
      </c>
      <c r="M7" s="36">
        <f t="shared" si="1"/>
        <v>12960600</v>
      </c>
      <c r="O7" s="8">
        <f>35*8</f>
        <v>280</v>
      </c>
    </row>
    <row r="8" spans="1:15" ht="105.75" customHeight="1" x14ac:dyDescent="0.25">
      <c r="A8" s="9">
        <v>7</v>
      </c>
      <c r="B8" s="9" t="s">
        <v>50</v>
      </c>
      <c r="C8" s="54" t="s">
        <v>135</v>
      </c>
      <c r="D8" s="79">
        <v>1</v>
      </c>
      <c r="E8" s="79">
        <v>1</v>
      </c>
      <c r="F8" s="79">
        <v>6</v>
      </c>
      <c r="G8" s="79" t="s">
        <v>172</v>
      </c>
      <c r="H8" s="86">
        <v>6</v>
      </c>
      <c r="I8" s="85">
        <v>6</v>
      </c>
      <c r="J8" s="100">
        <v>158000</v>
      </c>
      <c r="K8" s="34">
        <f t="shared" si="2"/>
        <v>948000</v>
      </c>
      <c r="L8" s="35">
        <f t="shared" si="0"/>
        <v>948000</v>
      </c>
      <c r="M8" s="36">
        <f t="shared" si="1"/>
        <v>948000</v>
      </c>
    </row>
    <row r="9" spans="1:15" ht="81.95" customHeight="1" x14ac:dyDescent="0.25">
      <c r="A9" s="9">
        <v>8</v>
      </c>
      <c r="B9" s="9" t="s">
        <v>50</v>
      </c>
      <c r="C9" s="54" t="s">
        <v>213</v>
      </c>
      <c r="D9" s="79">
        <v>1</v>
      </c>
      <c r="E9" s="79">
        <v>35</v>
      </c>
      <c r="F9" s="79">
        <f>+E9*8</f>
        <v>280</v>
      </c>
      <c r="G9" s="79" t="s">
        <v>172</v>
      </c>
      <c r="H9" s="86">
        <v>280</v>
      </c>
      <c r="I9" s="91">
        <v>35</v>
      </c>
      <c r="J9" s="99">
        <v>30170</v>
      </c>
      <c r="K9" s="34">
        <f t="shared" si="2"/>
        <v>8447600</v>
      </c>
      <c r="L9" s="35">
        <f t="shared" si="0"/>
        <v>8447600</v>
      </c>
      <c r="M9" s="36">
        <f t="shared" si="1"/>
        <v>8447600</v>
      </c>
    </row>
    <row r="10" spans="1:15" s="10" customFormat="1" ht="97.5" customHeight="1" x14ac:dyDescent="0.25">
      <c r="A10" s="9">
        <v>10</v>
      </c>
      <c r="B10" s="9" t="s">
        <v>45</v>
      </c>
      <c r="C10" s="60" t="s">
        <v>188</v>
      </c>
      <c r="D10" s="79">
        <v>1</v>
      </c>
      <c r="E10" s="79">
        <v>1</v>
      </c>
      <c r="F10" s="79">
        <v>8</v>
      </c>
      <c r="G10" s="79" t="s">
        <v>189</v>
      </c>
      <c r="H10" s="86">
        <v>8</v>
      </c>
      <c r="I10" s="85" t="s">
        <v>105</v>
      </c>
      <c r="J10" s="99">
        <v>250000</v>
      </c>
      <c r="K10" s="34">
        <f t="shared" si="2"/>
        <v>2000000</v>
      </c>
      <c r="L10" s="35">
        <f t="shared" si="0"/>
        <v>2000000</v>
      </c>
      <c r="M10" s="36">
        <f t="shared" si="1"/>
        <v>2000000</v>
      </c>
    </row>
    <row r="11" spans="1:15" ht="15" x14ac:dyDescent="0.25">
      <c r="A11" s="56"/>
      <c r="B11" s="57"/>
      <c r="C11" s="58" t="s">
        <v>5</v>
      </c>
      <c r="D11" s="58"/>
      <c r="E11" s="58"/>
      <c r="F11" s="58"/>
      <c r="G11" s="58"/>
      <c r="H11" s="57"/>
      <c r="I11" s="57"/>
      <c r="J11" s="59"/>
      <c r="K11" s="59">
        <f>SUM(K2:K10)</f>
        <v>34281914</v>
      </c>
      <c r="L11" s="59">
        <f>SUM(L2:L10)</f>
        <v>34281800</v>
      </c>
      <c r="M11" s="59">
        <f>SUM(M2:M10)</f>
        <v>34281800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M11"/>
  <sheetViews>
    <sheetView workbookViewId="0"/>
  </sheetViews>
  <sheetFormatPr baseColWidth="10" defaultColWidth="10.85546875" defaultRowHeight="13.5" x14ac:dyDescent="0.25"/>
  <cols>
    <col min="1" max="1" width="10.85546875" style="11"/>
    <col min="2" max="2" width="18.42578125" style="11" customWidth="1"/>
    <col min="3" max="3" width="59.85546875" style="11" customWidth="1"/>
    <col min="4" max="4" width="29.140625" style="11" customWidth="1"/>
    <col min="5" max="5" width="17.42578125" style="11" customWidth="1"/>
    <col min="6" max="6" width="23.140625" style="11" customWidth="1"/>
    <col min="7" max="7" width="30.7109375" style="11" customWidth="1"/>
    <col min="8" max="10" width="10.85546875" style="11"/>
    <col min="11" max="12" width="12.140625" style="11" customWidth="1"/>
    <col min="13" max="16384" width="10.85546875" style="11"/>
  </cols>
  <sheetData>
    <row r="1" spans="1:13" ht="51" x14ac:dyDescent="0.25">
      <c r="A1" s="12" t="s">
        <v>0</v>
      </c>
      <c r="B1" s="12" t="s">
        <v>1</v>
      </c>
      <c r="C1" s="12" t="s">
        <v>2</v>
      </c>
      <c r="D1" s="83" t="s">
        <v>149</v>
      </c>
      <c r="E1" s="81" t="s">
        <v>185</v>
      </c>
      <c r="F1" s="82" t="s">
        <v>187</v>
      </c>
      <c r="G1" s="82" t="s">
        <v>153</v>
      </c>
      <c r="H1" s="84" t="s">
        <v>134</v>
      </c>
      <c r="I1" s="84" t="s">
        <v>6</v>
      </c>
      <c r="J1" s="12" t="s">
        <v>3</v>
      </c>
      <c r="K1" s="12" t="s">
        <v>4</v>
      </c>
      <c r="L1" s="12" t="s">
        <v>8</v>
      </c>
      <c r="M1" s="17" t="s">
        <v>7</v>
      </c>
    </row>
    <row r="2" spans="1:13" ht="67.5" x14ac:dyDescent="0.25">
      <c r="A2" s="9">
        <v>1</v>
      </c>
      <c r="B2" s="9" t="s">
        <v>49</v>
      </c>
      <c r="C2" s="54" t="s">
        <v>12</v>
      </c>
      <c r="D2" s="79">
        <v>1</v>
      </c>
      <c r="E2" s="79">
        <v>1</v>
      </c>
      <c r="F2" s="79">
        <v>8</v>
      </c>
      <c r="G2" s="79" t="s">
        <v>172</v>
      </c>
      <c r="H2" s="86">
        <v>8</v>
      </c>
      <c r="I2" s="90" t="s">
        <v>138</v>
      </c>
      <c r="J2" s="33">
        <f>176000*1.052</f>
        <v>185152</v>
      </c>
      <c r="K2" s="34">
        <f t="shared" ref="K2:K8" si="0">+J2*H2</f>
        <v>1481216</v>
      </c>
      <c r="L2" s="35">
        <f t="shared" ref="L2:L10" si="1">+ROUND(K2/100,0)*100</f>
        <v>1481200</v>
      </c>
      <c r="M2" s="36">
        <f t="shared" ref="M2:M10" si="2">+L2</f>
        <v>1481200</v>
      </c>
    </row>
    <row r="3" spans="1:13" ht="67.5" x14ac:dyDescent="0.25">
      <c r="A3" s="9">
        <v>2</v>
      </c>
      <c r="B3" s="9" t="s">
        <v>49</v>
      </c>
      <c r="C3" s="54" t="s">
        <v>9</v>
      </c>
      <c r="D3" s="79">
        <v>1</v>
      </c>
      <c r="E3" s="79">
        <v>1</v>
      </c>
      <c r="F3" s="79">
        <v>8</v>
      </c>
      <c r="G3" s="79" t="s">
        <v>172</v>
      </c>
      <c r="H3" s="86">
        <v>8</v>
      </c>
      <c r="I3" s="90" t="s">
        <v>139</v>
      </c>
      <c r="J3" s="33">
        <f>176000*1.052</f>
        <v>185152</v>
      </c>
      <c r="K3" s="34">
        <f t="shared" si="0"/>
        <v>1481216</v>
      </c>
      <c r="L3" s="35">
        <f t="shared" si="1"/>
        <v>1481200</v>
      </c>
      <c r="M3" s="36">
        <f t="shared" si="2"/>
        <v>1481200</v>
      </c>
    </row>
    <row r="4" spans="1:13" ht="67.5" x14ac:dyDescent="0.25">
      <c r="A4" s="9">
        <v>3</v>
      </c>
      <c r="B4" s="9" t="s">
        <v>49</v>
      </c>
      <c r="C4" s="54" t="s">
        <v>101</v>
      </c>
      <c r="D4" s="79">
        <v>1</v>
      </c>
      <c r="E4" s="79">
        <v>1</v>
      </c>
      <c r="F4" s="79">
        <v>4</v>
      </c>
      <c r="G4" s="79" t="s">
        <v>172</v>
      </c>
      <c r="H4" s="86">
        <v>4</v>
      </c>
      <c r="I4" s="90">
        <v>4</v>
      </c>
      <c r="J4" s="33">
        <v>50000</v>
      </c>
      <c r="K4" s="34">
        <f t="shared" si="0"/>
        <v>200000</v>
      </c>
      <c r="L4" s="35">
        <f t="shared" si="1"/>
        <v>200000</v>
      </c>
      <c r="M4" s="36">
        <f t="shared" si="2"/>
        <v>200000</v>
      </c>
    </row>
    <row r="5" spans="1:13" ht="67.5" x14ac:dyDescent="0.25">
      <c r="A5" s="9">
        <v>4</v>
      </c>
      <c r="B5" s="9" t="s">
        <v>49</v>
      </c>
      <c r="C5" s="54" t="s">
        <v>102</v>
      </c>
      <c r="D5" s="79">
        <v>1</v>
      </c>
      <c r="E5" s="79">
        <v>1</v>
      </c>
      <c r="F5" s="79">
        <v>4</v>
      </c>
      <c r="G5" s="79" t="s">
        <v>172</v>
      </c>
      <c r="H5" s="86">
        <v>3</v>
      </c>
      <c r="I5" s="90">
        <v>3</v>
      </c>
      <c r="J5" s="33">
        <v>500000</v>
      </c>
      <c r="K5" s="34">
        <f t="shared" si="0"/>
        <v>1500000</v>
      </c>
      <c r="L5" s="35">
        <f t="shared" si="1"/>
        <v>1500000</v>
      </c>
      <c r="M5" s="36">
        <f t="shared" si="2"/>
        <v>1500000</v>
      </c>
    </row>
    <row r="6" spans="1:13" ht="81" x14ac:dyDescent="0.25">
      <c r="A6" s="9">
        <v>5</v>
      </c>
      <c r="B6" s="9" t="s">
        <v>49</v>
      </c>
      <c r="C6" s="54" t="s">
        <v>10</v>
      </c>
      <c r="D6" s="79">
        <v>1</v>
      </c>
      <c r="E6" s="79">
        <v>1</v>
      </c>
      <c r="F6" s="79">
        <v>8</v>
      </c>
      <c r="G6" s="79" t="s">
        <v>172</v>
      </c>
      <c r="H6" s="86">
        <v>8</v>
      </c>
      <c r="I6" s="90" t="s">
        <v>138</v>
      </c>
      <c r="J6" s="33">
        <f>176000*1.052</f>
        <v>185152</v>
      </c>
      <c r="K6" s="34">
        <f t="shared" si="0"/>
        <v>1481216</v>
      </c>
      <c r="L6" s="35">
        <f t="shared" si="1"/>
        <v>1481200</v>
      </c>
      <c r="M6" s="36">
        <f t="shared" si="2"/>
        <v>1481200</v>
      </c>
    </row>
    <row r="7" spans="1:13" ht="121.5" x14ac:dyDescent="0.25">
      <c r="A7" s="9">
        <v>6</v>
      </c>
      <c r="B7" s="9" t="s">
        <v>49</v>
      </c>
      <c r="C7" s="54" t="s">
        <v>103</v>
      </c>
      <c r="D7" s="79">
        <v>1</v>
      </c>
      <c r="E7" s="79">
        <v>1</v>
      </c>
      <c r="F7" s="79">
        <v>8</v>
      </c>
      <c r="G7" s="79" t="s">
        <v>172</v>
      </c>
      <c r="H7" s="86">
        <v>8</v>
      </c>
      <c r="I7" s="90" t="s">
        <v>138</v>
      </c>
      <c r="J7" s="33">
        <f>176000*1.052</f>
        <v>185152</v>
      </c>
      <c r="K7" s="34">
        <f t="shared" si="0"/>
        <v>1481216</v>
      </c>
      <c r="L7" s="35">
        <f t="shared" si="1"/>
        <v>1481200</v>
      </c>
      <c r="M7" s="36">
        <f t="shared" si="2"/>
        <v>1481200</v>
      </c>
    </row>
    <row r="8" spans="1:13" ht="67.5" x14ac:dyDescent="0.25">
      <c r="A8" s="9">
        <v>7</v>
      </c>
      <c r="B8" s="9" t="s">
        <v>49</v>
      </c>
      <c r="C8" s="55" t="s">
        <v>104</v>
      </c>
      <c r="D8" s="79">
        <v>1</v>
      </c>
      <c r="E8" s="79">
        <v>1</v>
      </c>
      <c r="F8" s="79">
        <v>8</v>
      </c>
      <c r="G8" s="79" t="s">
        <v>172</v>
      </c>
      <c r="H8" s="86">
        <v>8</v>
      </c>
      <c r="I8" s="90" t="s">
        <v>139</v>
      </c>
      <c r="J8" s="33">
        <f>176000*1.052</f>
        <v>185152</v>
      </c>
      <c r="K8" s="34">
        <f t="shared" si="0"/>
        <v>1481216</v>
      </c>
      <c r="L8" s="35">
        <f t="shared" si="1"/>
        <v>1481200</v>
      </c>
      <c r="M8" s="36">
        <f t="shared" si="2"/>
        <v>1481200</v>
      </c>
    </row>
    <row r="9" spans="1:13" ht="81" x14ac:dyDescent="0.25">
      <c r="A9" s="9">
        <v>8</v>
      </c>
      <c r="B9" s="9" t="s">
        <v>50</v>
      </c>
      <c r="C9" s="55" t="s">
        <v>96</v>
      </c>
      <c r="D9" s="79">
        <v>1</v>
      </c>
      <c r="E9" s="79">
        <v>50</v>
      </c>
      <c r="F9" s="79">
        <f>+E9*8</f>
        <v>400</v>
      </c>
      <c r="G9" s="79" t="s">
        <v>172</v>
      </c>
      <c r="H9" s="86">
        <v>400</v>
      </c>
      <c r="I9" s="90">
        <v>50</v>
      </c>
      <c r="J9" s="33">
        <f>176000*1.052*0.25</f>
        <v>46288</v>
      </c>
      <c r="K9" s="34">
        <f t="shared" ref="K9:K10" si="3">+J9*H9</f>
        <v>18515200</v>
      </c>
      <c r="L9" s="35">
        <f>+ROUND(K9/100,0)*100</f>
        <v>18515200</v>
      </c>
      <c r="M9" s="36">
        <f>+L9</f>
        <v>18515200</v>
      </c>
    </row>
    <row r="10" spans="1:13" ht="108" x14ac:dyDescent="0.25">
      <c r="A10" s="9">
        <v>9</v>
      </c>
      <c r="B10" s="9" t="s">
        <v>45</v>
      </c>
      <c r="C10" s="61" t="s">
        <v>44</v>
      </c>
      <c r="D10" s="79">
        <v>1</v>
      </c>
      <c r="E10" s="79">
        <v>1</v>
      </c>
      <c r="F10" s="79">
        <v>8</v>
      </c>
      <c r="G10" s="79" t="s">
        <v>190</v>
      </c>
      <c r="H10" s="86">
        <v>8</v>
      </c>
      <c r="I10" s="90">
        <v>8</v>
      </c>
      <c r="J10" s="33">
        <v>250000</v>
      </c>
      <c r="K10" s="34">
        <f t="shared" si="3"/>
        <v>2000000</v>
      </c>
      <c r="L10" s="35">
        <f t="shared" si="1"/>
        <v>2000000</v>
      </c>
      <c r="M10" s="36">
        <f t="shared" si="2"/>
        <v>2000000</v>
      </c>
    </row>
    <row r="11" spans="1:13" ht="15" x14ac:dyDescent="0.25">
      <c r="A11" s="56"/>
      <c r="B11" s="57"/>
      <c r="C11" s="58" t="s">
        <v>5</v>
      </c>
      <c r="D11" s="58"/>
      <c r="E11" s="58"/>
      <c r="F11" s="58"/>
      <c r="G11" s="58"/>
      <c r="H11" s="57"/>
      <c r="I11" s="57"/>
      <c r="J11" s="59"/>
      <c r="K11" s="59">
        <f>SUM(K2:K10)</f>
        <v>29621280</v>
      </c>
      <c r="L11" s="59">
        <f>SUM(L2:L10)</f>
        <v>29621200</v>
      </c>
      <c r="M11" s="59">
        <f>SUM(M2:M10)</f>
        <v>29621200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N8"/>
  <sheetViews>
    <sheetView zoomScale="110" zoomScaleNormal="110" zoomScalePageLayoutView="110" workbookViewId="0"/>
  </sheetViews>
  <sheetFormatPr baseColWidth="10" defaultColWidth="10.85546875" defaultRowHeight="12.75" x14ac:dyDescent="0.25"/>
  <cols>
    <col min="1" max="1" width="7.140625" style="8" customWidth="1"/>
    <col min="2" max="2" width="15.85546875" style="8" customWidth="1"/>
    <col min="3" max="3" width="52.42578125" style="8" customWidth="1"/>
    <col min="4" max="4" width="17.42578125" style="8" customWidth="1"/>
    <col min="5" max="5" width="16.7109375" style="8" customWidth="1"/>
    <col min="6" max="6" width="18.85546875" style="8" customWidth="1"/>
    <col min="7" max="7" width="18.42578125" style="8" customWidth="1"/>
    <col min="8" max="8" width="29.140625" style="8" customWidth="1"/>
    <col min="9" max="9" width="14.140625" style="8" customWidth="1"/>
    <col min="10" max="11" width="10.85546875" style="8"/>
    <col min="12" max="12" width="15" style="8" customWidth="1"/>
    <col min="13" max="13" width="13.85546875" style="8" customWidth="1"/>
    <col min="14" max="14" width="11.28515625" style="8" bestFit="1" customWidth="1"/>
    <col min="15" max="16384" width="10.85546875" style="8"/>
  </cols>
  <sheetData>
    <row r="1" spans="1:14" ht="76.5" x14ac:dyDescent="0.25">
      <c r="A1" s="7" t="s">
        <v>0</v>
      </c>
      <c r="B1" s="7" t="s">
        <v>1</v>
      </c>
      <c r="C1" s="7" t="s">
        <v>2</v>
      </c>
      <c r="D1" s="83" t="s">
        <v>149</v>
      </c>
      <c r="E1" s="81" t="s">
        <v>151</v>
      </c>
      <c r="F1" s="81" t="s">
        <v>182</v>
      </c>
      <c r="G1" s="82" t="s">
        <v>202</v>
      </c>
      <c r="H1" s="82" t="s">
        <v>153</v>
      </c>
      <c r="I1" s="84" t="s">
        <v>134</v>
      </c>
      <c r="J1" s="84" t="s">
        <v>6</v>
      </c>
      <c r="K1" s="12" t="s">
        <v>3</v>
      </c>
      <c r="L1" s="12" t="s">
        <v>4</v>
      </c>
      <c r="M1" s="12" t="s">
        <v>8</v>
      </c>
      <c r="N1" s="17" t="s">
        <v>7</v>
      </c>
    </row>
    <row r="2" spans="1:14" ht="133.5" customHeight="1" x14ac:dyDescent="0.25">
      <c r="A2" s="9">
        <v>1</v>
      </c>
      <c r="B2" s="9" t="s">
        <v>45</v>
      </c>
      <c r="C2" s="55" t="s">
        <v>97</v>
      </c>
      <c r="D2" s="79">
        <v>2</v>
      </c>
      <c r="E2" s="79">
        <v>1</v>
      </c>
      <c r="F2" s="79">
        <f>+E2*9</f>
        <v>9</v>
      </c>
      <c r="G2" s="79">
        <f>+F2*D2</f>
        <v>18</v>
      </c>
      <c r="H2" s="79" t="s">
        <v>191</v>
      </c>
      <c r="I2" s="53">
        <v>18</v>
      </c>
      <c r="J2" s="90" t="s">
        <v>234</v>
      </c>
      <c r="K2" s="33">
        <v>300000</v>
      </c>
      <c r="L2" s="34">
        <f>+K2*I2</f>
        <v>5400000</v>
      </c>
      <c r="M2" s="35">
        <f t="shared" ref="M2:M7" si="0">+ROUND(L2/100,0)*100</f>
        <v>5400000</v>
      </c>
      <c r="N2" s="36">
        <f t="shared" ref="N2:N7" si="1">+M2</f>
        <v>5400000</v>
      </c>
    </row>
    <row r="3" spans="1:14" ht="80.25" customHeight="1" x14ac:dyDescent="0.25">
      <c r="A3" s="9">
        <v>2</v>
      </c>
      <c r="B3" s="9" t="s">
        <v>45</v>
      </c>
      <c r="C3" s="55" t="s">
        <v>98</v>
      </c>
      <c r="D3" s="79">
        <v>2</v>
      </c>
      <c r="E3" s="79">
        <v>1</v>
      </c>
      <c r="F3" s="79">
        <v>4</v>
      </c>
      <c r="G3" s="79">
        <f>+F3*D3</f>
        <v>8</v>
      </c>
      <c r="H3" s="79" t="s">
        <v>192</v>
      </c>
      <c r="I3" s="53">
        <v>8</v>
      </c>
      <c r="J3" s="90" t="s">
        <v>233</v>
      </c>
      <c r="K3" s="33">
        <v>300000</v>
      </c>
      <c r="L3" s="34">
        <f t="shared" ref="L3:L7" si="2">+K3*I3</f>
        <v>2400000</v>
      </c>
      <c r="M3" s="35">
        <f t="shared" si="0"/>
        <v>2400000</v>
      </c>
      <c r="N3" s="36">
        <f t="shared" si="1"/>
        <v>2400000</v>
      </c>
    </row>
    <row r="4" spans="1:14" ht="108" x14ac:dyDescent="0.25">
      <c r="A4" s="9">
        <v>3</v>
      </c>
      <c r="B4" s="9" t="s">
        <v>45</v>
      </c>
      <c r="C4" s="55" t="s">
        <v>214</v>
      </c>
      <c r="D4" s="79">
        <v>2</v>
      </c>
      <c r="E4" s="79">
        <v>20</v>
      </c>
      <c r="F4" s="79">
        <f t="shared" ref="F4:F7" si="3">+E4*9</f>
        <v>180</v>
      </c>
      <c r="G4" s="79">
        <f t="shared" ref="G4:G7" si="4">+F4*D4</f>
        <v>360</v>
      </c>
      <c r="H4" s="79" t="s">
        <v>193</v>
      </c>
      <c r="I4" s="53">
        <v>360</v>
      </c>
      <c r="J4" s="90" t="s">
        <v>229</v>
      </c>
      <c r="K4" s="33">
        <v>24000</v>
      </c>
      <c r="L4" s="34">
        <f t="shared" si="2"/>
        <v>8640000</v>
      </c>
      <c r="M4" s="35">
        <f t="shared" si="0"/>
        <v>8640000</v>
      </c>
      <c r="N4" s="36">
        <f t="shared" si="1"/>
        <v>8640000</v>
      </c>
    </row>
    <row r="5" spans="1:14" ht="108" x14ac:dyDescent="0.25">
      <c r="A5" s="9">
        <v>4</v>
      </c>
      <c r="B5" s="9" t="s">
        <v>45</v>
      </c>
      <c r="C5" s="55" t="s">
        <v>215</v>
      </c>
      <c r="D5" s="79">
        <v>2</v>
      </c>
      <c r="E5" s="79">
        <v>20</v>
      </c>
      <c r="F5" s="79">
        <f>+E5*9</f>
        <v>180</v>
      </c>
      <c r="G5" s="79">
        <f>+F5*D5</f>
        <v>360</v>
      </c>
      <c r="H5" s="79" t="s">
        <v>194</v>
      </c>
      <c r="I5" s="53">
        <v>360</v>
      </c>
      <c r="J5" s="90" t="s">
        <v>230</v>
      </c>
      <c r="K5" s="33">
        <v>45000</v>
      </c>
      <c r="L5" s="34">
        <f t="shared" si="2"/>
        <v>16200000</v>
      </c>
      <c r="M5" s="35">
        <f t="shared" si="0"/>
        <v>16200000</v>
      </c>
      <c r="N5" s="36">
        <f t="shared" si="1"/>
        <v>16200000</v>
      </c>
    </row>
    <row r="6" spans="1:14" ht="102" customHeight="1" x14ac:dyDescent="0.25">
      <c r="A6" s="9">
        <v>5</v>
      </c>
      <c r="B6" s="9" t="s">
        <v>45</v>
      </c>
      <c r="C6" s="55" t="s">
        <v>228</v>
      </c>
      <c r="D6" s="79">
        <v>2</v>
      </c>
      <c r="E6" s="79">
        <v>1</v>
      </c>
      <c r="F6" s="79">
        <v>8</v>
      </c>
      <c r="G6" s="79">
        <f t="shared" si="4"/>
        <v>16</v>
      </c>
      <c r="H6" s="79" t="s">
        <v>172</v>
      </c>
      <c r="I6" s="53">
        <v>16</v>
      </c>
      <c r="J6" s="90" t="s">
        <v>231</v>
      </c>
      <c r="K6" s="33">
        <v>300000</v>
      </c>
      <c r="L6" s="34">
        <f t="shared" si="2"/>
        <v>4800000</v>
      </c>
      <c r="M6" s="35">
        <f t="shared" si="0"/>
        <v>4800000</v>
      </c>
      <c r="N6" s="36">
        <f t="shared" si="1"/>
        <v>4800000</v>
      </c>
    </row>
    <row r="7" spans="1:14" s="10" customFormat="1" ht="99" x14ac:dyDescent="0.25">
      <c r="A7" s="9">
        <v>6</v>
      </c>
      <c r="B7" s="9" t="s">
        <v>45</v>
      </c>
      <c r="C7" s="61" t="s">
        <v>195</v>
      </c>
      <c r="D7" s="79">
        <v>2</v>
      </c>
      <c r="E7" s="79">
        <v>1</v>
      </c>
      <c r="F7" s="79">
        <f t="shared" si="3"/>
        <v>9</v>
      </c>
      <c r="G7" s="79">
        <f t="shared" si="4"/>
        <v>18</v>
      </c>
      <c r="H7" s="79" t="s">
        <v>172</v>
      </c>
      <c r="I7" s="53">
        <v>18</v>
      </c>
      <c r="J7" s="90" t="s">
        <v>232</v>
      </c>
      <c r="K7" s="33">
        <v>250000</v>
      </c>
      <c r="L7" s="34">
        <f t="shared" si="2"/>
        <v>4500000</v>
      </c>
      <c r="M7" s="35">
        <f t="shared" si="0"/>
        <v>4500000</v>
      </c>
      <c r="N7" s="36">
        <f t="shared" si="1"/>
        <v>4500000</v>
      </c>
    </row>
    <row r="8" spans="1:14" ht="15" x14ac:dyDescent="0.25">
      <c r="A8" s="56"/>
      <c r="B8" s="57"/>
      <c r="C8" s="58" t="s">
        <v>5</v>
      </c>
      <c r="D8" s="58"/>
      <c r="E8" s="58"/>
      <c r="F8" s="58"/>
      <c r="G8" s="58"/>
      <c r="H8" s="58"/>
      <c r="I8" s="57"/>
      <c r="J8" s="57"/>
      <c r="K8" s="59"/>
      <c r="L8" s="59">
        <f>SUM(L2:L7)</f>
        <v>41940000</v>
      </c>
      <c r="M8" s="59">
        <f t="shared" ref="M8:N8" si="5">SUM(M2:M7)</f>
        <v>41940000</v>
      </c>
      <c r="N8" s="59">
        <f t="shared" si="5"/>
        <v>41940000</v>
      </c>
    </row>
  </sheetData>
  <pageMargins left="0.7" right="0.7" top="0.75" bottom="0.75" header="0.3" footer="0.3"/>
  <legacy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M16"/>
  <sheetViews>
    <sheetView zoomScale="80" zoomScaleNormal="80" zoomScalePageLayoutView="80" workbookViewId="0"/>
  </sheetViews>
  <sheetFormatPr baseColWidth="10" defaultColWidth="10.85546875" defaultRowHeight="15" x14ac:dyDescent="0.25"/>
  <cols>
    <col min="1" max="1" width="10.85546875" style="4"/>
    <col min="2" max="2" width="18.28515625" style="4" customWidth="1"/>
    <col min="3" max="3" width="67.42578125" style="4" customWidth="1"/>
    <col min="4" max="4" width="32.140625" style="4" customWidth="1"/>
    <col min="5" max="5" width="19" style="4" customWidth="1"/>
    <col min="6" max="6" width="23.7109375" style="4" customWidth="1"/>
    <col min="7" max="7" width="25.140625" style="4" customWidth="1"/>
    <col min="8" max="8" width="13.140625" style="4" customWidth="1"/>
    <col min="9" max="10" width="10.85546875" style="4"/>
    <col min="11" max="11" width="20.85546875" style="4" customWidth="1"/>
    <col min="12" max="12" width="23.140625" style="4" customWidth="1"/>
    <col min="13" max="13" width="20" style="4" customWidth="1"/>
    <col min="14" max="16384" width="10.85546875" style="4"/>
  </cols>
  <sheetData>
    <row r="1" spans="1:13" ht="51" x14ac:dyDescent="0.25">
      <c r="A1" s="3" t="s">
        <v>0</v>
      </c>
      <c r="B1" s="3" t="s">
        <v>1</v>
      </c>
      <c r="C1" s="3" t="s">
        <v>2</v>
      </c>
      <c r="D1" s="83" t="s">
        <v>149</v>
      </c>
      <c r="E1" s="81" t="s">
        <v>185</v>
      </c>
      <c r="F1" s="82" t="s">
        <v>201</v>
      </c>
      <c r="G1" s="82" t="s">
        <v>153</v>
      </c>
      <c r="H1" s="84" t="s">
        <v>134</v>
      </c>
      <c r="I1" s="84" t="s">
        <v>6</v>
      </c>
      <c r="J1" s="12" t="s">
        <v>3</v>
      </c>
      <c r="K1" s="12" t="s">
        <v>4</v>
      </c>
      <c r="L1" s="12" t="s">
        <v>8</v>
      </c>
      <c r="M1" s="17" t="s">
        <v>7</v>
      </c>
    </row>
    <row r="2" spans="1:13" ht="132" x14ac:dyDescent="0.25">
      <c r="A2" s="1">
        <v>1</v>
      </c>
      <c r="B2" s="1" t="s">
        <v>54</v>
      </c>
      <c r="C2" s="22" t="s">
        <v>197</v>
      </c>
      <c r="D2" s="79">
        <v>1</v>
      </c>
      <c r="E2" s="79">
        <v>1</v>
      </c>
      <c r="F2" s="79">
        <f>+E2*8</f>
        <v>8</v>
      </c>
      <c r="G2" s="79" t="s">
        <v>172</v>
      </c>
      <c r="H2" s="86">
        <v>10</v>
      </c>
      <c r="I2" s="62" t="s">
        <v>236</v>
      </c>
      <c r="J2" s="33">
        <v>185152</v>
      </c>
      <c r="K2" s="34">
        <f>+J2*H2</f>
        <v>1851520</v>
      </c>
      <c r="L2" s="35">
        <f t="shared" ref="L2:L15" si="0">+ROUND(K2/100,0)*100</f>
        <v>1851500</v>
      </c>
      <c r="M2" s="36">
        <f t="shared" ref="M2:M15" si="1">+L2</f>
        <v>1851500</v>
      </c>
    </row>
    <row r="3" spans="1:13" ht="99" x14ac:dyDescent="0.25">
      <c r="A3" s="1">
        <v>2</v>
      </c>
      <c r="B3" s="1" t="s">
        <v>54</v>
      </c>
      <c r="C3" s="22" t="s">
        <v>196</v>
      </c>
      <c r="D3" s="79">
        <v>1</v>
      </c>
      <c r="E3" s="79">
        <v>1</v>
      </c>
      <c r="F3" s="79">
        <f>+E3*8</f>
        <v>8</v>
      </c>
      <c r="G3" s="79" t="s">
        <v>172</v>
      </c>
      <c r="H3" s="86">
        <v>10</v>
      </c>
      <c r="I3" s="62" t="s">
        <v>236</v>
      </c>
      <c r="J3" s="33">
        <v>185152</v>
      </c>
      <c r="K3" s="34">
        <f t="shared" ref="K3:K15" si="2">+J3*H3</f>
        <v>1851520</v>
      </c>
      <c r="L3" s="35">
        <f t="shared" si="0"/>
        <v>1851500</v>
      </c>
      <c r="M3" s="36">
        <f t="shared" si="1"/>
        <v>1851500</v>
      </c>
    </row>
    <row r="4" spans="1:13" ht="82.5" x14ac:dyDescent="0.25">
      <c r="A4" s="1">
        <v>3</v>
      </c>
      <c r="B4" s="1" t="s">
        <v>54</v>
      </c>
      <c r="C4" s="22" t="s">
        <v>198</v>
      </c>
      <c r="D4" s="79">
        <v>1</v>
      </c>
      <c r="E4" s="79">
        <v>1</v>
      </c>
      <c r="F4" s="79">
        <f>+E4*8</f>
        <v>8</v>
      </c>
      <c r="G4" s="79" t="s">
        <v>172</v>
      </c>
      <c r="H4" s="86">
        <v>10</v>
      </c>
      <c r="I4" s="62" t="s">
        <v>236</v>
      </c>
      <c r="J4" s="33">
        <v>185152</v>
      </c>
      <c r="K4" s="34">
        <f t="shared" si="2"/>
        <v>1851520</v>
      </c>
      <c r="L4" s="35">
        <f t="shared" si="0"/>
        <v>1851500</v>
      </c>
      <c r="M4" s="36">
        <f t="shared" si="1"/>
        <v>1851500</v>
      </c>
    </row>
    <row r="5" spans="1:13" ht="198" x14ac:dyDescent="0.25">
      <c r="A5" s="1">
        <v>4</v>
      </c>
      <c r="B5" s="1" t="s">
        <v>54</v>
      </c>
      <c r="C5" s="22" t="s">
        <v>199</v>
      </c>
      <c r="D5" s="79">
        <v>1</v>
      </c>
      <c r="E5" s="79">
        <v>2</v>
      </c>
      <c r="F5" s="79">
        <f>+E5*8</f>
        <v>16</v>
      </c>
      <c r="G5" s="79" t="s">
        <v>172</v>
      </c>
      <c r="H5" s="86">
        <v>12</v>
      </c>
      <c r="I5" s="62" t="s">
        <v>236</v>
      </c>
      <c r="J5" s="92">
        <f>263000-38984</f>
        <v>224016</v>
      </c>
      <c r="K5" s="34">
        <f t="shared" si="2"/>
        <v>2688192</v>
      </c>
      <c r="L5" s="35">
        <f t="shared" si="0"/>
        <v>2688200</v>
      </c>
      <c r="M5" s="36">
        <f t="shared" si="1"/>
        <v>2688200</v>
      </c>
    </row>
    <row r="6" spans="1:13" ht="132" x14ac:dyDescent="0.25">
      <c r="A6" s="1">
        <v>5</v>
      </c>
      <c r="B6" s="1" t="s">
        <v>54</v>
      </c>
      <c r="C6" s="22" t="s">
        <v>200</v>
      </c>
      <c r="D6" s="79">
        <v>1</v>
      </c>
      <c r="E6" s="79">
        <v>1</v>
      </c>
      <c r="F6" s="79">
        <f>+E6*8</f>
        <v>8</v>
      </c>
      <c r="G6" s="79" t="s">
        <v>172</v>
      </c>
      <c r="H6" s="86">
        <v>10</v>
      </c>
      <c r="I6" s="62" t="s">
        <v>236</v>
      </c>
      <c r="J6" s="33">
        <v>185152</v>
      </c>
      <c r="K6" s="34">
        <f t="shared" si="2"/>
        <v>1851520</v>
      </c>
      <c r="L6" s="35">
        <f t="shared" si="0"/>
        <v>1851500</v>
      </c>
      <c r="M6" s="36">
        <f t="shared" si="1"/>
        <v>1851500</v>
      </c>
    </row>
    <row r="7" spans="1:13" s="6" customFormat="1" ht="115.5" x14ac:dyDescent="0.25">
      <c r="A7" s="1">
        <v>6</v>
      </c>
      <c r="B7" s="1" t="s">
        <v>54</v>
      </c>
      <c r="C7" s="63" t="s">
        <v>137</v>
      </c>
      <c r="D7" s="79">
        <v>1</v>
      </c>
      <c r="E7" s="79">
        <v>1</v>
      </c>
      <c r="F7" s="79">
        <v>3</v>
      </c>
      <c r="G7" s="79" t="s">
        <v>172</v>
      </c>
      <c r="H7" s="86">
        <v>3</v>
      </c>
      <c r="I7" s="62" t="s">
        <v>236</v>
      </c>
      <c r="J7" s="33">
        <v>185152</v>
      </c>
      <c r="K7" s="34">
        <f t="shared" si="2"/>
        <v>555456</v>
      </c>
      <c r="L7" s="35">
        <f t="shared" si="0"/>
        <v>555500</v>
      </c>
      <c r="M7" s="36">
        <f t="shared" si="1"/>
        <v>555500</v>
      </c>
    </row>
    <row r="8" spans="1:13" ht="132" x14ac:dyDescent="0.25">
      <c r="A8" s="1">
        <v>7</v>
      </c>
      <c r="B8" s="1" t="s">
        <v>54</v>
      </c>
      <c r="C8" s="22" t="s">
        <v>219</v>
      </c>
      <c r="D8" s="79">
        <v>1</v>
      </c>
      <c r="E8" s="79">
        <v>19</v>
      </c>
      <c r="F8" s="79">
        <f t="shared" ref="F8:F15" si="3">+E8*8</f>
        <v>152</v>
      </c>
      <c r="G8" s="79" t="s">
        <v>172</v>
      </c>
      <c r="H8" s="86">
        <v>152</v>
      </c>
      <c r="I8" s="62">
        <v>19</v>
      </c>
      <c r="J8" s="33">
        <v>18936</v>
      </c>
      <c r="K8" s="34">
        <f t="shared" si="2"/>
        <v>2878272</v>
      </c>
      <c r="L8" s="35">
        <f t="shared" si="0"/>
        <v>2878300</v>
      </c>
      <c r="M8" s="36">
        <f t="shared" si="1"/>
        <v>2878300</v>
      </c>
    </row>
    <row r="9" spans="1:13" ht="115.5" x14ac:dyDescent="0.25">
      <c r="A9" s="1">
        <v>8</v>
      </c>
      <c r="B9" s="1" t="s">
        <v>54</v>
      </c>
      <c r="C9" s="22" t="s">
        <v>15</v>
      </c>
      <c r="D9" s="79">
        <v>1</v>
      </c>
      <c r="E9" s="79">
        <v>1</v>
      </c>
      <c r="F9" s="79">
        <v>1</v>
      </c>
      <c r="G9" s="79" t="s">
        <v>172</v>
      </c>
      <c r="H9" s="86">
        <v>1</v>
      </c>
      <c r="I9" s="90">
        <v>1</v>
      </c>
      <c r="J9" s="33">
        <v>2500000</v>
      </c>
      <c r="K9" s="34">
        <f t="shared" si="2"/>
        <v>2500000</v>
      </c>
      <c r="L9" s="35">
        <f t="shared" si="0"/>
        <v>2500000</v>
      </c>
      <c r="M9" s="36">
        <f t="shared" si="1"/>
        <v>2500000</v>
      </c>
    </row>
    <row r="10" spans="1:13" ht="132" x14ac:dyDescent="0.25">
      <c r="A10" s="1">
        <v>9</v>
      </c>
      <c r="B10" s="1" t="s">
        <v>54</v>
      </c>
      <c r="C10" s="22" t="s">
        <v>203</v>
      </c>
      <c r="D10" s="79">
        <v>1</v>
      </c>
      <c r="E10" s="79">
        <v>1</v>
      </c>
      <c r="F10" s="79">
        <f>+E10*8</f>
        <v>8</v>
      </c>
      <c r="G10" s="79" t="s">
        <v>172</v>
      </c>
      <c r="H10" s="86">
        <v>3</v>
      </c>
      <c r="I10" s="62" t="s">
        <v>236</v>
      </c>
      <c r="J10" s="33">
        <v>185152</v>
      </c>
      <c r="K10" s="34">
        <f t="shared" si="2"/>
        <v>555456</v>
      </c>
      <c r="L10" s="35">
        <f t="shared" si="0"/>
        <v>555500</v>
      </c>
      <c r="M10" s="36">
        <f t="shared" si="1"/>
        <v>555500</v>
      </c>
    </row>
    <row r="11" spans="1:13" ht="115.5" x14ac:dyDescent="0.25">
      <c r="A11" s="1">
        <v>10</v>
      </c>
      <c r="B11" s="1" t="s">
        <v>54</v>
      </c>
      <c r="C11" s="22" t="s">
        <v>216</v>
      </c>
      <c r="D11" s="79">
        <v>1</v>
      </c>
      <c r="E11" s="79">
        <v>1</v>
      </c>
      <c r="F11" s="79">
        <f t="shared" si="3"/>
        <v>8</v>
      </c>
      <c r="G11" s="79" t="s">
        <v>172</v>
      </c>
      <c r="H11" s="53">
        <v>8</v>
      </c>
      <c r="I11" s="62">
        <v>1</v>
      </c>
      <c r="J11" s="33">
        <v>185152</v>
      </c>
      <c r="K11" s="34">
        <f t="shared" si="2"/>
        <v>1481216</v>
      </c>
      <c r="L11" s="35">
        <f t="shared" si="0"/>
        <v>1481200</v>
      </c>
      <c r="M11" s="36">
        <f t="shared" si="1"/>
        <v>1481200</v>
      </c>
    </row>
    <row r="12" spans="1:13" s="6" customFormat="1" ht="82.5" x14ac:dyDescent="0.25">
      <c r="A12" s="1">
        <v>11</v>
      </c>
      <c r="B12" s="1" t="s">
        <v>54</v>
      </c>
      <c r="C12" s="63" t="s">
        <v>14</v>
      </c>
      <c r="D12" s="79">
        <v>1</v>
      </c>
      <c r="E12" s="79">
        <v>4</v>
      </c>
      <c r="F12" s="79">
        <f>+E12*8</f>
        <v>32</v>
      </c>
      <c r="G12" s="79" t="s">
        <v>172</v>
      </c>
      <c r="H12" s="86">
        <v>32</v>
      </c>
      <c r="I12" s="62">
        <v>4</v>
      </c>
      <c r="J12" s="33">
        <v>75000</v>
      </c>
      <c r="K12" s="34">
        <f t="shared" si="2"/>
        <v>2400000</v>
      </c>
      <c r="L12" s="35">
        <f t="shared" si="0"/>
        <v>2400000</v>
      </c>
      <c r="M12" s="36">
        <f t="shared" si="1"/>
        <v>2400000</v>
      </c>
    </row>
    <row r="13" spans="1:13" ht="115.5" x14ac:dyDescent="0.25">
      <c r="A13" s="1">
        <v>12</v>
      </c>
      <c r="B13" s="1" t="s">
        <v>54</v>
      </c>
      <c r="C13" s="22" t="s">
        <v>217</v>
      </c>
      <c r="D13" s="79">
        <v>1</v>
      </c>
      <c r="E13" s="79">
        <v>34</v>
      </c>
      <c r="F13" s="79">
        <f>+E13*8</f>
        <v>272</v>
      </c>
      <c r="G13" s="79" t="s">
        <v>172</v>
      </c>
      <c r="H13" s="53">
        <v>272</v>
      </c>
      <c r="I13" s="62">
        <v>34</v>
      </c>
      <c r="J13" s="33">
        <v>18936</v>
      </c>
      <c r="K13" s="34">
        <f t="shared" si="2"/>
        <v>5150592</v>
      </c>
      <c r="L13" s="35">
        <f t="shared" si="0"/>
        <v>5150600</v>
      </c>
      <c r="M13" s="36">
        <f t="shared" si="1"/>
        <v>5150600</v>
      </c>
    </row>
    <row r="14" spans="1:13" ht="148.5" x14ac:dyDescent="0.25">
      <c r="A14" s="1">
        <v>13</v>
      </c>
      <c r="B14" s="1" t="s">
        <v>54</v>
      </c>
      <c r="C14" s="22" t="s">
        <v>218</v>
      </c>
      <c r="D14" s="79">
        <v>1</v>
      </c>
      <c r="E14" s="79">
        <v>2</v>
      </c>
      <c r="F14" s="79">
        <f t="shared" si="3"/>
        <v>16</v>
      </c>
      <c r="G14" s="79" t="s">
        <v>172</v>
      </c>
      <c r="H14" s="53">
        <v>16</v>
      </c>
      <c r="I14" s="62">
        <v>2</v>
      </c>
      <c r="J14" s="33">
        <v>185152</v>
      </c>
      <c r="K14" s="34">
        <f t="shared" si="2"/>
        <v>2962432</v>
      </c>
      <c r="L14" s="35">
        <f t="shared" si="0"/>
        <v>2962400</v>
      </c>
      <c r="M14" s="36">
        <f t="shared" si="1"/>
        <v>2962400</v>
      </c>
    </row>
    <row r="15" spans="1:13" customFormat="1" ht="99.75" customHeight="1" x14ac:dyDescent="0.25">
      <c r="A15" s="1">
        <v>14</v>
      </c>
      <c r="B15" s="9" t="s">
        <v>45</v>
      </c>
      <c r="C15" s="61" t="s">
        <v>195</v>
      </c>
      <c r="D15" s="79">
        <v>1</v>
      </c>
      <c r="E15" s="79">
        <v>1</v>
      </c>
      <c r="F15" s="79">
        <f t="shared" si="3"/>
        <v>8</v>
      </c>
      <c r="G15" s="79" t="s">
        <v>172</v>
      </c>
      <c r="H15" s="86">
        <v>8</v>
      </c>
      <c r="I15" s="62">
        <v>1</v>
      </c>
      <c r="J15" s="92">
        <v>250000</v>
      </c>
      <c r="K15" s="34">
        <f t="shared" si="2"/>
        <v>2000000</v>
      </c>
      <c r="L15" s="35">
        <f t="shared" si="0"/>
        <v>2000000</v>
      </c>
      <c r="M15" s="36">
        <f t="shared" si="1"/>
        <v>2000000</v>
      </c>
    </row>
    <row r="16" spans="1:13" x14ac:dyDescent="0.25">
      <c r="A16" s="56"/>
      <c r="B16" s="57"/>
      <c r="C16" s="58" t="s">
        <v>5</v>
      </c>
      <c r="D16" s="58"/>
      <c r="E16" s="58"/>
      <c r="F16" s="58"/>
      <c r="G16" s="58"/>
      <c r="H16" s="57"/>
      <c r="I16" s="57"/>
      <c r="J16" s="59"/>
      <c r="K16" s="59">
        <f>SUM(K2:K15)</f>
        <v>30577696</v>
      </c>
      <c r="L16" s="59">
        <f t="shared" ref="L16:M16" si="4">SUM(L2:L15)</f>
        <v>30577700</v>
      </c>
      <c r="M16" s="59">
        <f t="shared" si="4"/>
        <v>30577700</v>
      </c>
    </row>
  </sheetData>
  <pageMargins left="0.7" right="0.7" top="0.75" bottom="0.75" header="0.3" footer="0.3"/>
  <pageSetup orientation="portrait" horizontalDpi="4294967292" verticalDpi="4294967292"/>
  <legacy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M12"/>
  <sheetViews>
    <sheetView workbookViewId="0"/>
  </sheetViews>
  <sheetFormatPr baseColWidth="10" defaultColWidth="10.85546875" defaultRowHeight="15" x14ac:dyDescent="0.25"/>
  <cols>
    <col min="1" max="1" width="10.85546875" style="4"/>
    <col min="2" max="2" width="21.85546875" style="4" customWidth="1"/>
    <col min="3" max="3" width="62.140625" style="4" customWidth="1"/>
    <col min="4" max="4" width="28.42578125" style="4" customWidth="1"/>
    <col min="5" max="5" width="24" style="4" customWidth="1"/>
    <col min="6" max="6" width="17.42578125" style="4" customWidth="1"/>
    <col min="7" max="7" width="22.42578125" style="4" customWidth="1"/>
    <col min="8" max="16384" width="10.85546875" style="4"/>
  </cols>
  <sheetData>
    <row r="1" spans="1:13" ht="76.5" x14ac:dyDescent="0.25">
      <c r="A1" s="3" t="s">
        <v>0</v>
      </c>
      <c r="B1" s="3" t="s">
        <v>1</v>
      </c>
      <c r="C1" s="3" t="s">
        <v>2</v>
      </c>
      <c r="D1" s="83" t="s">
        <v>149</v>
      </c>
      <c r="E1" s="81" t="s">
        <v>185</v>
      </c>
      <c r="F1" s="82" t="s">
        <v>204</v>
      </c>
      <c r="G1" s="82" t="s">
        <v>153</v>
      </c>
      <c r="H1" s="84" t="s">
        <v>134</v>
      </c>
      <c r="I1" s="84" t="s">
        <v>6</v>
      </c>
      <c r="J1" s="12" t="s">
        <v>3</v>
      </c>
      <c r="K1" s="12" t="s">
        <v>4</v>
      </c>
      <c r="L1" s="12" t="s">
        <v>8</v>
      </c>
      <c r="M1" s="17" t="s">
        <v>7</v>
      </c>
    </row>
    <row r="2" spans="1:13" ht="108" x14ac:dyDescent="0.25">
      <c r="A2" s="1">
        <v>1</v>
      </c>
      <c r="B2" s="1" t="s">
        <v>52</v>
      </c>
      <c r="C2" s="22" t="s">
        <v>142</v>
      </c>
      <c r="D2" s="79">
        <v>1</v>
      </c>
      <c r="E2" s="79">
        <v>1</v>
      </c>
      <c r="F2" s="79">
        <f>+E2*8</f>
        <v>8</v>
      </c>
      <c r="G2" s="79" t="s">
        <v>172</v>
      </c>
      <c r="H2" s="86">
        <v>8</v>
      </c>
      <c r="I2" s="90">
        <v>1</v>
      </c>
      <c r="J2" s="33">
        <v>185152</v>
      </c>
      <c r="K2" s="34">
        <f>+J2*H2</f>
        <v>1481216</v>
      </c>
      <c r="L2" s="35">
        <f t="shared" ref="L2:L11" si="0">+ROUND(K2/100,0)*100</f>
        <v>1481200</v>
      </c>
      <c r="M2" s="36">
        <f t="shared" ref="M2:M11" si="1">+L2</f>
        <v>1481200</v>
      </c>
    </row>
    <row r="3" spans="1:13" ht="115.5" x14ac:dyDescent="0.25">
      <c r="A3" s="1">
        <v>2</v>
      </c>
      <c r="B3" s="1" t="s">
        <v>52</v>
      </c>
      <c r="C3" s="22" t="s">
        <v>141</v>
      </c>
      <c r="D3" s="79">
        <v>1</v>
      </c>
      <c r="E3" s="79">
        <v>1</v>
      </c>
      <c r="F3" s="79">
        <f t="shared" ref="F3:F10" si="2">+E3*8</f>
        <v>8</v>
      </c>
      <c r="G3" s="79" t="s">
        <v>172</v>
      </c>
      <c r="H3" s="86">
        <v>8</v>
      </c>
      <c r="I3" s="90">
        <v>1</v>
      </c>
      <c r="J3" s="33">
        <v>185152</v>
      </c>
      <c r="K3" s="34">
        <f t="shared" ref="K3:K11" si="3">+J3*H3</f>
        <v>1481216</v>
      </c>
      <c r="L3" s="35">
        <f t="shared" si="0"/>
        <v>1481200</v>
      </c>
      <c r="M3" s="36">
        <f t="shared" si="1"/>
        <v>1481200</v>
      </c>
    </row>
    <row r="4" spans="1:13" ht="115.5" x14ac:dyDescent="0.25">
      <c r="A4" s="1">
        <v>3</v>
      </c>
      <c r="B4" s="1" t="s">
        <v>52</v>
      </c>
      <c r="C4" s="22" t="s">
        <v>140</v>
      </c>
      <c r="D4" s="79">
        <v>1</v>
      </c>
      <c r="E4" s="79">
        <v>1</v>
      </c>
      <c r="F4" s="79">
        <f t="shared" si="2"/>
        <v>8</v>
      </c>
      <c r="G4" s="79" t="s">
        <v>172</v>
      </c>
      <c r="H4" s="86">
        <v>8</v>
      </c>
      <c r="I4" s="90">
        <v>1</v>
      </c>
      <c r="J4" s="33">
        <v>185152</v>
      </c>
      <c r="K4" s="34">
        <f t="shared" si="3"/>
        <v>1481216</v>
      </c>
      <c r="L4" s="35">
        <f t="shared" si="0"/>
        <v>1481200</v>
      </c>
      <c r="M4" s="36">
        <f t="shared" si="1"/>
        <v>1481200</v>
      </c>
    </row>
    <row r="5" spans="1:13" ht="108" x14ac:dyDescent="0.25">
      <c r="A5" s="1">
        <v>4</v>
      </c>
      <c r="B5" s="1" t="s">
        <v>52</v>
      </c>
      <c r="C5" s="22" t="s">
        <v>143</v>
      </c>
      <c r="D5" s="79">
        <v>1</v>
      </c>
      <c r="E5" s="79">
        <v>1</v>
      </c>
      <c r="F5" s="79">
        <f t="shared" si="2"/>
        <v>8</v>
      </c>
      <c r="G5" s="79" t="s">
        <v>172</v>
      </c>
      <c r="H5" s="86">
        <v>8</v>
      </c>
      <c r="I5" s="90">
        <v>1</v>
      </c>
      <c r="J5" s="33">
        <v>185152</v>
      </c>
      <c r="K5" s="34">
        <f t="shared" si="3"/>
        <v>1481216</v>
      </c>
      <c r="L5" s="35">
        <f t="shared" si="0"/>
        <v>1481200</v>
      </c>
      <c r="M5" s="36">
        <f t="shared" si="1"/>
        <v>1481200</v>
      </c>
    </row>
    <row r="6" spans="1:13" ht="148.5" x14ac:dyDescent="0.25">
      <c r="A6" s="1">
        <v>5</v>
      </c>
      <c r="B6" s="1" t="s">
        <v>52</v>
      </c>
      <c r="C6" s="22" t="s">
        <v>144</v>
      </c>
      <c r="D6" s="79">
        <v>1</v>
      </c>
      <c r="E6" s="79">
        <v>1</v>
      </c>
      <c r="F6" s="79">
        <f t="shared" si="2"/>
        <v>8</v>
      </c>
      <c r="G6" s="79" t="s">
        <v>172</v>
      </c>
      <c r="H6" s="86">
        <v>8</v>
      </c>
      <c r="I6" s="90">
        <v>1</v>
      </c>
      <c r="J6" s="33">
        <v>185152</v>
      </c>
      <c r="K6" s="34">
        <f t="shared" si="3"/>
        <v>1481216</v>
      </c>
      <c r="L6" s="35">
        <f t="shared" si="0"/>
        <v>1481200</v>
      </c>
      <c r="M6" s="36">
        <f t="shared" si="1"/>
        <v>1481200</v>
      </c>
    </row>
    <row r="7" spans="1:13" ht="132" x14ac:dyDescent="0.25">
      <c r="A7" s="1">
        <v>6</v>
      </c>
      <c r="B7" s="1" t="s">
        <v>52</v>
      </c>
      <c r="C7" s="22" t="s">
        <v>145</v>
      </c>
      <c r="D7" s="79">
        <v>1</v>
      </c>
      <c r="E7" s="79">
        <v>1</v>
      </c>
      <c r="F7" s="79">
        <f t="shared" si="2"/>
        <v>8</v>
      </c>
      <c r="G7" s="79" t="s">
        <v>172</v>
      </c>
      <c r="H7" s="86">
        <v>8</v>
      </c>
      <c r="I7" s="90">
        <v>1</v>
      </c>
      <c r="J7" s="33">
        <v>185152</v>
      </c>
      <c r="K7" s="34">
        <f t="shared" si="3"/>
        <v>1481216</v>
      </c>
      <c r="L7" s="35">
        <f t="shared" si="0"/>
        <v>1481200</v>
      </c>
      <c r="M7" s="36">
        <f t="shared" si="1"/>
        <v>1481200</v>
      </c>
    </row>
    <row r="8" spans="1:13" ht="115.5" x14ac:dyDescent="0.25">
      <c r="A8" s="1">
        <v>7</v>
      </c>
      <c r="B8" s="1" t="s">
        <v>52</v>
      </c>
      <c r="C8" s="22" t="s">
        <v>205</v>
      </c>
      <c r="D8" s="79">
        <v>1</v>
      </c>
      <c r="E8" s="79">
        <v>1</v>
      </c>
      <c r="F8" s="79">
        <v>4</v>
      </c>
      <c r="G8" s="79" t="s">
        <v>172</v>
      </c>
      <c r="H8" s="86">
        <v>4</v>
      </c>
      <c r="I8" s="90">
        <v>1</v>
      </c>
      <c r="J8" s="33">
        <v>185152</v>
      </c>
      <c r="K8" s="34">
        <f t="shared" si="3"/>
        <v>740608</v>
      </c>
      <c r="L8" s="35">
        <f t="shared" si="0"/>
        <v>740600</v>
      </c>
      <c r="M8" s="36">
        <f t="shared" si="1"/>
        <v>740600</v>
      </c>
    </row>
    <row r="9" spans="1:13" ht="108" x14ac:dyDescent="0.25">
      <c r="A9" s="1">
        <v>8</v>
      </c>
      <c r="B9" s="1" t="s">
        <v>52</v>
      </c>
      <c r="C9" s="22" t="s">
        <v>44</v>
      </c>
      <c r="D9" s="79">
        <v>1</v>
      </c>
      <c r="E9" s="79">
        <v>1</v>
      </c>
      <c r="F9" s="79">
        <f t="shared" si="2"/>
        <v>8</v>
      </c>
      <c r="G9" s="79" t="s">
        <v>172</v>
      </c>
      <c r="H9" s="86">
        <v>8</v>
      </c>
      <c r="I9" s="90">
        <v>1</v>
      </c>
      <c r="J9" s="33">
        <v>263000</v>
      </c>
      <c r="K9" s="34">
        <f t="shared" si="3"/>
        <v>2104000</v>
      </c>
      <c r="L9" s="35">
        <f t="shared" si="0"/>
        <v>2104000</v>
      </c>
      <c r="M9" s="36">
        <f t="shared" si="1"/>
        <v>2104000</v>
      </c>
    </row>
    <row r="10" spans="1:13" ht="132" x14ac:dyDescent="0.25">
      <c r="A10" s="1">
        <v>9</v>
      </c>
      <c r="B10" s="1" t="s">
        <v>52</v>
      </c>
      <c r="C10" s="22" t="s">
        <v>220</v>
      </c>
      <c r="D10" s="79">
        <v>1</v>
      </c>
      <c r="E10" s="79">
        <v>2</v>
      </c>
      <c r="F10" s="79">
        <f t="shared" si="2"/>
        <v>16</v>
      </c>
      <c r="G10" s="79" t="s">
        <v>172</v>
      </c>
      <c r="H10" s="53">
        <v>16</v>
      </c>
      <c r="I10" s="62">
        <v>2</v>
      </c>
      <c r="J10" s="92">
        <f>210400-26300</f>
        <v>184100</v>
      </c>
      <c r="K10" s="34">
        <f t="shared" si="3"/>
        <v>2945600</v>
      </c>
      <c r="L10" s="35">
        <f t="shared" si="0"/>
        <v>2945600</v>
      </c>
      <c r="M10" s="36">
        <f t="shared" si="1"/>
        <v>2945600</v>
      </c>
    </row>
    <row r="11" spans="1:13" ht="115.5" x14ac:dyDescent="0.25">
      <c r="A11" s="1">
        <v>10</v>
      </c>
      <c r="B11" s="1" t="s">
        <v>52</v>
      </c>
      <c r="C11" s="22" t="s">
        <v>19</v>
      </c>
      <c r="D11" s="79">
        <v>1</v>
      </c>
      <c r="E11" s="79">
        <v>1</v>
      </c>
      <c r="F11" s="79">
        <v>1</v>
      </c>
      <c r="G11" s="79" t="s">
        <v>206</v>
      </c>
      <c r="H11" s="86">
        <v>1</v>
      </c>
      <c r="I11" s="90">
        <v>1</v>
      </c>
      <c r="J11" s="33">
        <v>526000</v>
      </c>
      <c r="K11" s="34">
        <f t="shared" si="3"/>
        <v>526000</v>
      </c>
      <c r="L11" s="35">
        <f t="shared" si="0"/>
        <v>526000</v>
      </c>
      <c r="M11" s="36">
        <f t="shared" si="1"/>
        <v>526000</v>
      </c>
    </row>
    <row r="12" spans="1:13" x14ac:dyDescent="0.25">
      <c r="A12" s="56"/>
      <c r="B12" s="57"/>
      <c r="C12" s="58" t="s">
        <v>5</v>
      </c>
      <c r="D12" s="58"/>
      <c r="E12" s="58"/>
      <c r="F12" s="58"/>
      <c r="G12" s="58"/>
      <c r="H12" s="57"/>
      <c r="I12" s="57"/>
      <c r="J12" s="59"/>
      <c r="K12" s="59">
        <f>SUM(K2:K11)</f>
        <v>15203504</v>
      </c>
      <c r="L12" s="59">
        <f t="shared" ref="L12:M12" si="4">SUM(L2:L11)</f>
        <v>15203400</v>
      </c>
      <c r="M12" s="59">
        <f t="shared" si="4"/>
        <v>15203400</v>
      </c>
    </row>
  </sheetData>
  <pageMargins left="0.7" right="0.7" top="0.75" bottom="0.75" header="0.3" footer="0.3"/>
  <pageSetup orientation="portrait" horizontalDpi="4294967292" verticalDpi="4294967292"/>
  <legacy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M13"/>
  <sheetViews>
    <sheetView workbookViewId="0"/>
  </sheetViews>
  <sheetFormatPr baseColWidth="10" defaultColWidth="10.85546875" defaultRowHeight="15" x14ac:dyDescent="0.25"/>
  <cols>
    <col min="1" max="1" width="10.85546875" style="4"/>
    <col min="2" max="2" width="18.140625" style="4" customWidth="1"/>
    <col min="3" max="3" width="62.140625" style="4" customWidth="1"/>
    <col min="4" max="4" width="24" style="4" customWidth="1"/>
    <col min="5" max="6" width="17.85546875" style="4" customWidth="1"/>
    <col min="7" max="7" width="31" style="4" customWidth="1"/>
    <col min="8" max="10" width="10.85546875" style="4"/>
    <col min="11" max="11" width="17.140625" style="4" customWidth="1"/>
    <col min="12" max="12" width="13.7109375" style="4" customWidth="1"/>
    <col min="13" max="16384" width="10.85546875" style="4"/>
  </cols>
  <sheetData>
    <row r="1" spans="1:13" ht="76.5" x14ac:dyDescent="0.25">
      <c r="A1" s="3" t="s">
        <v>0</v>
      </c>
      <c r="B1" s="3" t="s">
        <v>1</v>
      </c>
      <c r="C1" s="3" t="s">
        <v>2</v>
      </c>
      <c r="D1" s="83" t="s">
        <v>149</v>
      </c>
      <c r="E1" s="81" t="s">
        <v>185</v>
      </c>
      <c r="F1" s="82" t="s">
        <v>207</v>
      </c>
      <c r="G1" s="82" t="s">
        <v>153</v>
      </c>
      <c r="H1" s="84" t="s">
        <v>134</v>
      </c>
      <c r="I1" s="84" t="s">
        <v>6</v>
      </c>
      <c r="J1" s="12" t="s">
        <v>3</v>
      </c>
      <c r="K1" s="12" t="s">
        <v>4</v>
      </c>
      <c r="L1" s="12" t="s">
        <v>8</v>
      </c>
      <c r="M1" s="17" t="s">
        <v>7</v>
      </c>
    </row>
    <row r="2" spans="1:13" ht="79.5" customHeight="1" x14ac:dyDescent="0.25">
      <c r="A2" s="1">
        <v>1</v>
      </c>
      <c r="B2" s="1" t="s">
        <v>53</v>
      </c>
      <c r="C2" s="22" t="s">
        <v>16</v>
      </c>
      <c r="D2" s="79">
        <v>1</v>
      </c>
      <c r="E2" s="79">
        <v>5</v>
      </c>
      <c r="F2" s="79">
        <f>+E2*8</f>
        <v>40</v>
      </c>
      <c r="G2" s="79" t="s">
        <v>172</v>
      </c>
      <c r="H2" s="86">
        <v>35</v>
      </c>
      <c r="I2" s="62" t="s">
        <v>236</v>
      </c>
      <c r="J2" s="33">
        <v>36820</v>
      </c>
      <c r="K2" s="34">
        <f>+J2*H2</f>
        <v>1288700</v>
      </c>
      <c r="L2" s="35">
        <f t="shared" ref="L2:L8" si="0">+ROUND(K2/100,0)*100</f>
        <v>1288700</v>
      </c>
      <c r="M2" s="36">
        <f t="shared" ref="M2:M8" si="1">+L2</f>
        <v>1288700</v>
      </c>
    </row>
    <row r="3" spans="1:13" ht="115.5" x14ac:dyDescent="0.25">
      <c r="A3" s="1">
        <v>2</v>
      </c>
      <c r="B3" s="1" t="s">
        <v>53</v>
      </c>
      <c r="C3" s="22" t="s">
        <v>17</v>
      </c>
      <c r="D3" s="79">
        <v>1</v>
      </c>
      <c r="E3" s="79">
        <v>1</v>
      </c>
      <c r="F3" s="79">
        <f t="shared" ref="F3:F8" si="2">+E3*8</f>
        <v>8</v>
      </c>
      <c r="G3" s="79" t="s">
        <v>172</v>
      </c>
      <c r="H3" s="86">
        <v>10</v>
      </c>
      <c r="I3" s="62" t="s">
        <v>236</v>
      </c>
      <c r="J3" s="33">
        <v>185152</v>
      </c>
      <c r="K3" s="34">
        <f t="shared" ref="K3:K8" si="3">+J3*H3</f>
        <v>1851520</v>
      </c>
      <c r="L3" s="35">
        <f t="shared" si="0"/>
        <v>1851500</v>
      </c>
      <c r="M3" s="36">
        <f t="shared" si="1"/>
        <v>1851500</v>
      </c>
    </row>
    <row r="4" spans="1:13" ht="99" x14ac:dyDescent="0.25">
      <c r="A4" s="1">
        <v>3</v>
      </c>
      <c r="B4" s="1" t="s">
        <v>53</v>
      </c>
      <c r="C4" s="22" t="s">
        <v>18</v>
      </c>
      <c r="D4" s="79">
        <v>1</v>
      </c>
      <c r="E4" s="79">
        <v>1</v>
      </c>
      <c r="F4" s="79">
        <v>2</v>
      </c>
      <c r="G4" s="79" t="s">
        <v>172</v>
      </c>
      <c r="H4" s="86">
        <v>2</v>
      </c>
      <c r="I4" s="90">
        <v>1</v>
      </c>
      <c r="J4" s="33">
        <v>185152</v>
      </c>
      <c r="K4" s="34">
        <f t="shared" si="3"/>
        <v>370304</v>
      </c>
      <c r="L4" s="35">
        <f t="shared" si="0"/>
        <v>370300</v>
      </c>
      <c r="M4" s="36">
        <f t="shared" si="1"/>
        <v>370300</v>
      </c>
    </row>
    <row r="5" spans="1:13" ht="99" x14ac:dyDescent="0.25">
      <c r="A5" s="1">
        <v>4</v>
      </c>
      <c r="B5" s="1" t="s">
        <v>53</v>
      </c>
      <c r="C5" s="22" t="s">
        <v>237</v>
      </c>
      <c r="D5" s="79">
        <v>1</v>
      </c>
      <c r="E5" s="79">
        <v>2</v>
      </c>
      <c r="F5" s="79">
        <f t="shared" si="2"/>
        <v>16</v>
      </c>
      <c r="G5" s="79" t="s">
        <v>172</v>
      </c>
      <c r="H5" s="86">
        <v>350</v>
      </c>
      <c r="I5" s="62" t="s">
        <v>236</v>
      </c>
      <c r="J5" s="33">
        <v>10520</v>
      </c>
      <c r="K5" s="34">
        <f t="shared" si="3"/>
        <v>3682000</v>
      </c>
      <c r="L5" s="35">
        <f t="shared" si="0"/>
        <v>3682000</v>
      </c>
      <c r="M5" s="36">
        <f t="shared" si="1"/>
        <v>3682000</v>
      </c>
    </row>
    <row r="6" spans="1:13" ht="82.5" x14ac:dyDescent="0.25">
      <c r="A6" s="1">
        <v>5</v>
      </c>
      <c r="B6" s="1" t="s">
        <v>53</v>
      </c>
      <c r="C6" s="22" t="s">
        <v>221</v>
      </c>
      <c r="D6" s="79">
        <v>1</v>
      </c>
      <c r="E6" s="79">
        <v>1</v>
      </c>
      <c r="F6" s="79">
        <f t="shared" si="2"/>
        <v>8</v>
      </c>
      <c r="G6" s="79" t="s">
        <v>208</v>
      </c>
      <c r="H6" s="86">
        <v>300</v>
      </c>
      <c r="I6" s="62" t="s">
        <v>236</v>
      </c>
      <c r="J6" s="92">
        <v>20000</v>
      </c>
      <c r="K6" s="34">
        <f t="shared" si="3"/>
        <v>6000000</v>
      </c>
      <c r="L6" s="35">
        <f t="shared" si="0"/>
        <v>6000000</v>
      </c>
      <c r="M6" s="36">
        <f t="shared" si="1"/>
        <v>6000000</v>
      </c>
    </row>
    <row r="7" spans="1:13" ht="82.5" x14ac:dyDescent="0.25">
      <c r="A7" s="1">
        <v>6</v>
      </c>
      <c r="B7" s="1" t="s">
        <v>53</v>
      </c>
      <c r="C7" s="22" t="s">
        <v>222</v>
      </c>
      <c r="D7" s="79">
        <v>1</v>
      </c>
      <c r="E7" s="79">
        <v>1</v>
      </c>
      <c r="F7" s="79">
        <v>2</v>
      </c>
      <c r="G7" s="79" t="s">
        <v>172</v>
      </c>
      <c r="H7" s="86">
        <v>2</v>
      </c>
      <c r="I7" s="62" t="s">
        <v>236</v>
      </c>
      <c r="J7" s="92">
        <f>1315000-55000</f>
        <v>1260000</v>
      </c>
      <c r="K7" s="34">
        <f t="shared" si="3"/>
        <v>2520000</v>
      </c>
      <c r="L7" s="35">
        <f t="shared" si="0"/>
        <v>2520000</v>
      </c>
      <c r="M7" s="36">
        <f t="shared" si="1"/>
        <v>2520000</v>
      </c>
    </row>
    <row r="8" spans="1:13" customFormat="1" ht="82.5" x14ac:dyDescent="0.25">
      <c r="A8" s="1">
        <v>7</v>
      </c>
      <c r="B8" s="1" t="s">
        <v>51</v>
      </c>
      <c r="C8" s="22" t="s">
        <v>195</v>
      </c>
      <c r="D8" s="79">
        <v>1</v>
      </c>
      <c r="E8" s="79">
        <v>1</v>
      </c>
      <c r="F8" s="79">
        <f t="shared" si="2"/>
        <v>8</v>
      </c>
      <c r="G8" s="79" t="s">
        <v>172</v>
      </c>
      <c r="H8" s="53">
        <v>8</v>
      </c>
      <c r="I8" s="62">
        <v>1</v>
      </c>
      <c r="J8" s="33">
        <v>250000</v>
      </c>
      <c r="K8" s="34">
        <f t="shared" si="3"/>
        <v>2000000</v>
      </c>
      <c r="L8" s="35">
        <f t="shared" si="0"/>
        <v>2000000</v>
      </c>
      <c r="M8" s="36">
        <f t="shared" si="1"/>
        <v>2000000</v>
      </c>
    </row>
    <row r="9" spans="1:13" x14ac:dyDescent="0.25">
      <c r="A9" s="56"/>
      <c r="B9" s="57"/>
      <c r="C9" s="58" t="s">
        <v>5</v>
      </c>
      <c r="D9" s="58"/>
      <c r="E9" s="58"/>
      <c r="F9" s="58"/>
      <c r="G9" s="58"/>
      <c r="H9" s="57"/>
      <c r="I9" s="57"/>
      <c r="J9" s="59"/>
      <c r="K9" s="59">
        <f>SUM(K2:K8)</f>
        <v>17712524</v>
      </c>
      <c r="L9" s="59">
        <f t="shared" ref="L9:M9" si="4">SUM(L2:L8)</f>
        <v>17712500</v>
      </c>
      <c r="M9" s="59">
        <f t="shared" si="4"/>
        <v>17712500</v>
      </c>
    </row>
    <row r="10" spans="1:13" x14ac:dyDescent="0.25">
      <c r="K10" s="101"/>
    </row>
    <row r="11" spans="1:13" x14ac:dyDescent="0.25">
      <c r="K11" s="101"/>
    </row>
    <row r="12" spans="1:13" x14ac:dyDescent="0.25">
      <c r="K12" s="101"/>
    </row>
    <row r="13" spans="1:13" x14ac:dyDescent="0.25">
      <c r="K13" s="101"/>
    </row>
  </sheetData>
  <pageMargins left="0.7" right="0.7" top="0.75" bottom="0.75" header="0.3" footer="0.3"/>
  <pageSetup orientation="portrait" horizontalDpi="4294967292" verticalDpi="4294967292"/>
  <legacy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M7"/>
  <sheetViews>
    <sheetView tabSelected="1" workbookViewId="0"/>
  </sheetViews>
  <sheetFormatPr baseColWidth="10" defaultRowHeight="15" x14ac:dyDescent="0.25"/>
  <cols>
    <col min="2" max="2" width="20.28515625" customWidth="1"/>
    <col min="3" max="3" width="63.7109375" customWidth="1"/>
    <col min="4" max="4" width="14.28515625" customWidth="1"/>
    <col min="5" max="5" width="27.42578125" customWidth="1"/>
    <col min="6" max="6" width="17.42578125" customWidth="1"/>
    <col min="7" max="7" width="25.42578125" customWidth="1"/>
    <col min="8" max="8" width="15.28515625" customWidth="1"/>
    <col min="10" max="10" width="23" customWidth="1"/>
    <col min="11" max="11" width="19.7109375" customWidth="1"/>
    <col min="12" max="12" width="17.85546875" customWidth="1"/>
    <col min="13" max="13" width="18" customWidth="1"/>
  </cols>
  <sheetData>
    <row r="1" spans="1:13" ht="76.5" x14ac:dyDescent="0.25">
      <c r="A1" s="3" t="s">
        <v>0</v>
      </c>
      <c r="B1" s="3" t="s">
        <v>1</v>
      </c>
      <c r="C1" s="3" t="s">
        <v>2</v>
      </c>
      <c r="D1" s="83" t="s">
        <v>149</v>
      </c>
      <c r="E1" s="81" t="s">
        <v>185</v>
      </c>
      <c r="F1" s="82" t="s">
        <v>207</v>
      </c>
      <c r="G1" s="82" t="s">
        <v>153</v>
      </c>
      <c r="H1" s="84" t="s">
        <v>134</v>
      </c>
      <c r="I1" s="84" t="s">
        <v>6</v>
      </c>
      <c r="J1" s="12" t="s">
        <v>3</v>
      </c>
      <c r="K1" s="12" t="s">
        <v>4</v>
      </c>
      <c r="L1" s="12" t="s">
        <v>8</v>
      </c>
      <c r="M1" s="17" t="s">
        <v>7</v>
      </c>
    </row>
    <row r="2" spans="1:13" ht="160.5" customHeight="1" x14ac:dyDescent="0.25">
      <c r="A2" s="1">
        <v>1</v>
      </c>
      <c r="B2" s="9" t="s">
        <v>45</v>
      </c>
      <c r="C2" s="22" t="s">
        <v>136</v>
      </c>
      <c r="D2" s="79">
        <v>1</v>
      </c>
      <c r="E2" s="79">
        <v>1</v>
      </c>
      <c r="F2" s="79">
        <v>1</v>
      </c>
      <c r="G2" s="79" t="s">
        <v>172</v>
      </c>
      <c r="H2" s="86">
        <v>1</v>
      </c>
      <c r="I2" s="90">
        <v>1</v>
      </c>
      <c r="J2" s="92">
        <f>7500000-253000</f>
        <v>7247000</v>
      </c>
      <c r="K2" s="34">
        <f>+J2*H2</f>
        <v>7247000</v>
      </c>
      <c r="L2" s="35">
        <f t="shared" ref="L2:L6" si="0">+ROUND(K2/100,0)*100</f>
        <v>7247000</v>
      </c>
      <c r="M2" s="36">
        <f t="shared" ref="M2:M6" si="1">+L2</f>
        <v>7247000</v>
      </c>
    </row>
    <row r="3" spans="1:13" ht="81" x14ac:dyDescent="0.25">
      <c r="A3" s="1">
        <v>2</v>
      </c>
      <c r="B3" s="9" t="s">
        <v>45</v>
      </c>
      <c r="C3" s="78" t="s">
        <v>238</v>
      </c>
      <c r="D3" s="79">
        <v>1</v>
      </c>
      <c r="E3" s="79">
        <v>10</v>
      </c>
      <c r="F3" s="79">
        <f>+E3*8</f>
        <v>80</v>
      </c>
      <c r="G3" s="79" t="s">
        <v>172</v>
      </c>
      <c r="H3" s="53">
        <v>144</v>
      </c>
      <c r="I3" s="62">
        <v>18</v>
      </c>
      <c r="J3" s="92">
        <v>50000</v>
      </c>
      <c r="K3" s="34">
        <f t="shared" ref="K3:K6" si="2">+J3*H3</f>
        <v>7200000</v>
      </c>
      <c r="L3" s="35">
        <f t="shared" si="0"/>
        <v>7200000</v>
      </c>
      <c r="M3" s="36">
        <f t="shared" si="1"/>
        <v>7200000</v>
      </c>
    </row>
    <row r="4" spans="1:13" ht="81" x14ac:dyDescent="0.25">
      <c r="A4" s="1">
        <v>4</v>
      </c>
      <c r="B4" s="9" t="s">
        <v>45</v>
      </c>
      <c r="C4" s="55" t="s">
        <v>223</v>
      </c>
      <c r="D4" s="79">
        <v>1</v>
      </c>
      <c r="E4" s="79">
        <v>18</v>
      </c>
      <c r="F4" s="79">
        <f t="shared" ref="F4:F6" si="3">+E4*8</f>
        <v>144</v>
      </c>
      <c r="G4" s="79" t="s">
        <v>172</v>
      </c>
      <c r="H4" s="53">
        <v>144</v>
      </c>
      <c r="I4" s="62">
        <v>18</v>
      </c>
      <c r="J4" s="92">
        <v>55000</v>
      </c>
      <c r="K4" s="34">
        <f t="shared" si="2"/>
        <v>7920000</v>
      </c>
      <c r="L4" s="35">
        <f t="shared" si="0"/>
        <v>7920000</v>
      </c>
      <c r="M4" s="36">
        <f t="shared" si="1"/>
        <v>7920000</v>
      </c>
    </row>
    <row r="5" spans="1:13" ht="81" x14ac:dyDescent="0.25">
      <c r="A5" s="9">
        <v>5</v>
      </c>
      <c r="B5" s="9" t="s">
        <v>45</v>
      </c>
      <c r="C5" s="55" t="s">
        <v>13</v>
      </c>
      <c r="D5" s="79">
        <v>1</v>
      </c>
      <c r="E5" s="79">
        <v>1</v>
      </c>
      <c r="F5" s="79">
        <v>4</v>
      </c>
      <c r="G5" s="79" t="s">
        <v>172</v>
      </c>
      <c r="H5" s="86">
        <v>4</v>
      </c>
      <c r="I5" s="90">
        <v>1</v>
      </c>
      <c r="J5" s="33">
        <v>25000</v>
      </c>
      <c r="K5" s="34">
        <f t="shared" si="2"/>
        <v>100000</v>
      </c>
      <c r="L5" s="35">
        <f t="shared" si="0"/>
        <v>100000</v>
      </c>
      <c r="M5" s="36">
        <f t="shared" si="1"/>
        <v>100000</v>
      </c>
    </row>
    <row r="6" spans="1:13" ht="82.5" x14ac:dyDescent="0.25">
      <c r="A6" s="9">
        <v>7</v>
      </c>
      <c r="B6" s="9" t="s">
        <v>45</v>
      </c>
      <c r="C6" s="61" t="s">
        <v>209</v>
      </c>
      <c r="D6" s="79">
        <v>1</v>
      </c>
      <c r="E6" s="79">
        <v>1</v>
      </c>
      <c r="F6" s="79">
        <f t="shared" si="3"/>
        <v>8</v>
      </c>
      <c r="G6" s="79" t="s">
        <v>172</v>
      </c>
      <c r="H6" s="53">
        <v>8</v>
      </c>
      <c r="I6" s="62">
        <v>1</v>
      </c>
      <c r="J6" s="92">
        <v>250000</v>
      </c>
      <c r="K6" s="34">
        <f t="shared" si="2"/>
        <v>2000000</v>
      </c>
      <c r="L6" s="35">
        <f t="shared" si="0"/>
        <v>2000000</v>
      </c>
      <c r="M6" s="36">
        <f t="shared" si="1"/>
        <v>2000000</v>
      </c>
    </row>
    <row r="7" spans="1:13" x14ac:dyDescent="0.25">
      <c r="A7" s="56"/>
      <c r="B7" s="57"/>
      <c r="C7" s="58" t="s">
        <v>5</v>
      </c>
      <c r="D7" s="58"/>
      <c r="E7" s="58"/>
      <c r="F7" s="58"/>
      <c r="G7" s="58"/>
      <c r="H7" s="57"/>
      <c r="I7" s="57"/>
      <c r="J7" s="59"/>
      <c r="K7" s="59">
        <f>SUM(K2:K6)</f>
        <v>24467000</v>
      </c>
      <c r="L7" s="59">
        <f>SUM(L2:L6)</f>
        <v>24467000</v>
      </c>
      <c r="M7" s="59">
        <f>SUM(M2:M6)</f>
        <v>24467000</v>
      </c>
    </row>
  </sheetData>
  <pageMargins left="0.7" right="0.7" top="0.75" bottom="0.75" header="0.3" footer="0.3"/>
  <pageSetup orientation="portrait" horizontalDpi="4294967292" verticalDpi="4294967292"/>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CDP</vt:lpstr>
      <vt:lpstr>ART-20</vt:lpstr>
      <vt:lpstr>RESUMEN</vt:lpstr>
      <vt:lpstr>AUXILIARES</vt:lpstr>
      <vt:lpstr>JEFE PYD</vt:lpstr>
      <vt:lpstr>JEFE GR</vt:lpstr>
      <vt:lpstr>MÉDICO</vt:lpstr>
      <vt:lpstr>PSICOLOGA N.1</vt:lpstr>
      <vt:lpstr>PSICOLOGA N.2</vt:lpstr>
      <vt:lpstr>PROMOTORA 1-2-BLANCA y otra</vt:lpstr>
      <vt:lpstr>NUTRICIÓN</vt:lpstr>
      <vt:lpstr>SALUD ORAL</vt:lpstr>
      <vt:lpstr>SALUD LABORAL</vt:lpstr>
      <vt:lpstr>TRABAJADORA SOCIAL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Paula Gonzalez</dc:creator>
  <cp:lastModifiedBy>Vicky Liliana Pedreros Forero</cp:lastModifiedBy>
  <dcterms:created xsi:type="dcterms:W3CDTF">2024-03-21T01:06:50Z</dcterms:created>
  <dcterms:modified xsi:type="dcterms:W3CDTF">2025-03-26T12:09:48Z</dcterms:modified>
</cp:coreProperties>
</file>