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0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bcsj-my.sharepoint.com/personal/dsalamas_deaj_ramajudicial_gov_co/Documents/PROCESOS 2025 DEISY/3. MINIMA CUANTIA/MINIMA RESPEL IP-11-2025/DOCUMENTOS A PUBLICAR/"/>
    </mc:Choice>
  </mc:AlternateContent>
  <xr:revisionPtr revIDLastSave="77" documentId="8_{768ABB4D-F18E-4B1C-9B7D-EB35306BD98D}" xr6:coauthVersionLast="47" xr6:coauthVersionMax="47" xr10:uidLastSave="{DCDDCA54-62AB-4A4F-A909-C5096CFE3A71}"/>
  <bookViews>
    <workbookView xWindow="13890" yWindow="120" windowWidth="13140" windowHeight="15600" firstSheet="4" activeTab="4" xr2:uid="{90009AB4-E7E3-4ECD-BDA4-F88437979637}"/>
  </bookViews>
  <sheets>
    <sheet name="CONSOLIDADO" sheetId="11" r:id="rId1"/>
    <sheet name="Analisis Region 1" sheetId="1" r:id="rId2"/>
    <sheet name="Analisis region 2" sheetId="12" r:id="rId3"/>
    <sheet name="Analisis Region 3" sheetId="13" r:id="rId4"/>
    <sheet name="Analisis Region 4" sheetId="14" r:id="rId5"/>
    <sheet name="sedes de recoleccion" sheetId="2" r:id="rId6"/>
    <sheet name="R. Caribe" sheetId="3" r:id="rId7"/>
    <sheet name="R. Pacífico" sheetId="4" r:id="rId8"/>
    <sheet name="R. Eje Cafetero" sheetId="5" r:id="rId9"/>
    <sheet name="R. Oriente" sheetId="6" r:id="rId10"/>
  </sheets>
  <definedNames>
    <definedName name="_xlnm.Print_Area" localSheetId="6">'R. Caribe'!$A$1:$L$16</definedName>
    <definedName name="_xlnm.Print_Area" localSheetId="8">'R. Eje Cafetero'!$A$1:$L$18</definedName>
    <definedName name="_xlnm.Print_Area" localSheetId="9">'R. Oriente'!$A$1:$F$10</definedName>
    <definedName name="_xlnm.Print_Area" localSheetId="7">'R. Pacífico'!$A$1:$J$16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4" i="1" l="1"/>
  <c r="E34" i="12"/>
  <c r="E34" i="13"/>
  <c r="E34" i="14"/>
  <c r="J11" i="14"/>
  <c r="J10" i="14"/>
  <c r="J15" i="14"/>
  <c r="L15" i="14" s="1"/>
  <c r="J14" i="14"/>
  <c r="L14" i="14" s="1"/>
  <c r="J13" i="14"/>
  <c r="L13" i="14" s="1"/>
  <c r="J12" i="14"/>
  <c r="L12" i="14" s="1"/>
  <c r="J18" i="14"/>
  <c r="L18" i="14" s="1"/>
  <c r="J17" i="14"/>
  <c r="L17" i="14" s="1"/>
  <c r="J16" i="14"/>
  <c r="L16" i="14" s="1"/>
  <c r="J21" i="14"/>
  <c r="J20" i="14"/>
  <c r="J19" i="14"/>
  <c r="K19" i="14" s="1"/>
  <c r="J23" i="14"/>
  <c r="L23" i="14" s="1"/>
  <c r="J22" i="14"/>
  <c r="L22" i="14" s="1"/>
  <c r="J24" i="14"/>
  <c r="K24" i="14" s="1"/>
  <c r="J25" i="14"/>
  <c r="K25" i="14" s="1"/>
  <c r="J26" i="14"/>
  <c r="K26" i="14" s="1"/>
  <c r="J27" i="14"/>
  <c r="L27" i="14" s="1"/>
  <c r="J28" i="14"/>
  <c r="L28" i="14" s="1"/>
  <c r="J30" i="14"/>
  <c r="J29" i="14"/>
  <c r="K30" i="14"/>
  <c r="K29" i="14"/>
  <c r="N29" i="14" s="1"/>
  <c r="L21" i="14"/>
  <c r="K21" i="14"/>
  <c r="L20" i="14"/>
  <c r="K20" i="14"/>
  <c r="K16" i="14"/>
  <c r="N16" i="14" s="1"/>
  <c r="L11" i="14"/>
  <c r="K11" i="14"/>
  <c r="L10" i="14"/>
  <c r="K10" i="14"/>
  <c r="J11" i="13"/>
  <c r="K11" i="13" s="1"/>
  <c r="J10" i="13"/>
  <c r="K10" i="13" s="1"/>
  <c r="J15" i="13"/>
  <c r="L15" i="13" s="1"/>
  <c r="J14" i="13"/>
  <c r="K14" i="13" s="1"/>
  <c r="J13" i="13"/>
  <c r="K13" i="13" s="1"/>
  <c r="J12" i="13"/>
  <c r="L12" i="13" s="1"/>
  <c r="J18" i="13"/>
  <c r="K18" i="13" s="1"/>
  <c r="J17" i="13"/>
  <c r="L17" i="13" s="1"/>
  <c r="J16" i="13"/>
  <c r="L16" i="13" s="1"/>
  <c r="J21" i="13"/>
  <c r="L21" i="13" s="1"/>
  <c r="J20" i="13"/>
  <c r="L20" i="13" s="1"/>
  <c r="J19" i="13"/>
  <c r="L19" i="13" s="1"/>
  <c r="J23" i="13"/>
  <c r="K23" i="13" s="1"/>
  <c r="J22" i="13"/>
  <c r="L22" i="13" s="1"/>
  <c r="J24" i="13"/>
  <c r="L24" i="13" s="1"/>
  <c r="J25" i="13"/>
  <c r="L25" i="13" s="1"/>
  <c r="J26" i="13"/>
  <c r="K26" i="13" s="1"/>
  <c r="J27" i="13"/>
  <c r="L27" i="13" s="1"/>
  <c r="J28" i="13"/>
  <c r="L28" i="13" s="1"/>
  <c r="J30" i="13"/>
  <c r="K30" i="13" s="1"/>
  <c r="J29" i="13"/>
  <c r="K29" i="13" s="1"/>
  <c r="J10" i="12"/>
  <c r="L10" i="12" s="1"/>
  <c r="J12" i="12"/>
  <c r="L12" i="12" s="1"/>
  <c r="J13" i="12"/>
  <c r="K13" i="12" s="1"/>
  <c r="J14" i="12"/>
  <c r="L14" i="12" s="1"/>
  <c r="J15" i="12"/>
  <c r="K15" i="12" s="1"/>
  <c r="J18" i="12"/>
  <c r="L18" i="12" s="1"/>
  <c r="J17" i="12"/>
  <c r="K17" i="12" s="1"/>
  <c r="J16" i="12"/>
  <c r="L16" i="12" s="1"/>
  <c r="J21" i="12"/>
  <c r="L21" i="12" s="1"/>
  <c r="J20" i="12"/>
  <c r="L20" i="12" s="1"/>
  <c r="J19" i="12"/>
  <c r="L19" i="12" s="1"/>
  <c r="J23" i="12"/>
  <c r="L23" i="12" s="1"/>
  <c r="J22" i="12"/>
  <c r="L22" i="12" s="1"/>
  <c r="J24" i="12"/>
  <c r="L24" i="12" s="1"/>
  <c r="J25" i="12"/>
  <c r="K25" i="12" s="1"/>
  <c r="J26" i="12"/>
  <c r="K26" i="12" s="1"/>
  <c r="J27" i="12"/>
  <c r="K27" i="12" s="1"/>
  <c r="J29" i="1"/>
  <c r="K29" i="1" s="1"/>
  <c r="J30" i="12"/>
  <c r="K30" i="12" s="1"/>
  <c r="M30" i="12" s="1"/>
  <c r="J29" i="12"/>
  <c r="K29" i="12" s="1"/>
  <c r="N29" i="12" s="1"/>
  <c r="J28" i="12"/>
  <c r="L28" i="12" s="1"/>
  <c r="L27" i="12"/>
  <c r="J11" i="12"/>
  <c r="L11" i="12" s="1"/>
  <c r="J30" i="1"/>
  <c r="K30" i="1" s="1"/>
  <c r="J15" i="1"/>
  <c r="L15" i="1" s="1"/>
  <c r="J16" i="1"/>
  <c r="L16" i="1" s="1"/>
  <c r="J13" i="1"/>
  <c r="K13" i="1" s="1"/>
  <c r="J28" i="1"/>
  <c r="K28" i="1" s="1"/>
  <c r="J11" i="1"/>
  <c r="K11" i="1" s="1"/>
  <c r="J12" i="1"/>
  <c r="L12" i="1" s="1"/>
  <c r="J27" i="1"/>
  <c r="L27" i="1" s="1"/>
  <c r="J21" i="1"/>
  <c r="K21" i="1" s="1"/>
  <c r="J14" i="1"/>
  <c r="K14" i="1" s="1"/>
  <c r="J20" i="1"/>
  <c r="K20" i="1" s="1"/>
  <c r="J26" i="1"/>
  <c r="K26" i="1" s="1"/>
  <c r="J25" i="1"/>
  <c r="L25" i="1" s="1"/>
  <c r="J24" i="1"/>
  <c r="K24" i="1" s="1"/>
  <c r="J23" i="1"/>
  <c r="K23" i="1" s="1"/>
  <c r="J22" i="1"/>
  <c r="K22" i="1" s="1"/>
  <c r="J19" i="1"/>
  <c r="L19" i="1" s="1"/>
  <c r="J18" i="1"/>
  <c r="L18" i="1" s="1"/>
  <c r="J17" i="1"/>
  <c r="K17" i="1" s="1"/>
  <c r="J10" i="1"/>
  <c r="L10" i="1" s="1"/>
  <c r="F10" i="6"/>
  <c r="E10" i="6"/>
  <c r="F9" i="6"/>
  <c r="E9" i="6"/>
  <c r="F8" i="6"/>
  <c r="E8" i="6"/>
  <c r="F7" i="6"/>
  <c r="E7" i="6"/>
  <c r="L18" i="5"/>
  <c r="K18" i="5"/>
  <c r="L17" i="5"/>
  <c r="K17" i="5"/>
  <c r="K16" i="5"/>
  <c r="L15" i="5"/>
  <c r="K15" i="5"/>
  <c r="L14" i="5"/>
  <c r="K14" i="5"/>
  <c r="L13" i="5"/>
  <c r="K13" i="5"/>
  <c r="L12" i="5"/>
  <c r="K12" i="5"/>
  <c r="L11" i="5"/>
  <c r="K11" i="5"/>
  <c r="L10" i="5"/>
  <c r="K10" i="5"/>
  <c r="L9" i="5"/>
  <c r="K9" i="5"/>
  <c r="L8" i="5"/>
  <c r="K8" i="5"/>
  <c r="K7" i="5"/>
  <c r="D7" i="5"/>
  <c r="L7" i="5" s="1"/>
  <c r="L19" i="5" s="1"/>
  <c r="E32" i="13" s="1"/>
  <c r="I16" i="4"/>
  <c r="D16" i="4"/>
  <c r="J16" i="4" s="1"/>
  <c r="I15" i="4"/>
  <c r="D15" i="4"/>
  <c r="J15" i="4" s="1"/>
  <c r="J14" i="4"/>
  <c r="I14" i="4"/>
  <c r="J13" i="4"/>
  <c r="I13" i="4"/>
  <c r="J12" i="4"/>
  <c r="I12" i="4"/>
  <c r="J11" i="4"/>
  <c r="I11" i="4"/>
  <c r="J10" i="4"/>
  <c r="I10" i="4"/>
  <c r="J9" i="4"/>
  <c r="I9" i="4"/>
  <c r="J8" i="4"/>
  <c r="I8" i="4"/>
  <c r="J7" i="4"/>
  <c r="I7" i="4"/>
  <c r="L16" i="3"/>
  <c r="K16" i="3"/>
  <c r="L15" i="3"/>
  <c r="K15" i="3"/>
  <c r="L14" i="3"/>
  <c r="K14" i="3"/>
  <c r="L13" i="3"/>
  <c r="K13" i="3"/>
  <c r="L12" i="3"/>
  <c r="K12" i="3"/>
  <c r="L11" i="3"/>
  <c r="K11" i="3"/>
  <c r="L10" i="3"/>
  <c r="K10" i="3"/>
  <c r="L9" i="3"/>
  <c r="K9" i="3"/>
  <c r="K8" i="3"/>
  <c r="D8" i="3"/>
  <c r="L8" i="3" s="1"/>
  <c r="L7" i="3"/>
  <c r="K7" i="3"/>
  <c r="K6" i="3"/>
  <c r="D6" i="3"/>
  <c r="L6" i="3" s="1"/>
  <c r="L17" i="3" s="1"/>
  <c r="E32" i="1" s="1"/>
  <c r="E35" i="1" l="1"/>
  <c r="J17" i="4"/>
  <c r="E32" i="12" s="1"/>
  <c r="E35" i="12" s="1"/>
  <c r="F11" i="6"/>
  <c r="E32" i="14" s="1"/>
  <c r="E35" i="14" s="1"/>
  <c r="E19" i="11" s="1"/>
  <c r="K13" i="14"/>
  <c r="N13" i="14" s="1"/>
  <c r="K15" i="14"/>
  <c r="N15" i="14" s="1"/>
  <c r="M11" i="14"/>
  <c r="K23" i="14"/>
  <c r="N23" i="14" s="1"/>
  <c r="K22" i="14"/>
  <c r="M22" i="14" s="1"/>
  <c r="K18" i="14"/>
  <c r="M18" i="14" s="1"/>
  <c r="L26" i="14"/>
  <c r="M26" i="14" s="1"/>
  <c r="L25" i="14"/>
  <c r="N25" i="14" s="1"/>
  <c r="L14" i="13"/>
  <c r="N14" i="13" s="1"/>
  <c r="K12" i="13"/>
  <c r="L23" i="13"/>
  <c r="N23" i="13" s="1"/>
  <c r="L10" i="13"/>
  <c r="M10" i="13" s="1"/>
  <c r="L18" i="13"/>
  <c r="N18" i="13" s="1"/>
  <c r="K12" i="12"/>
  <c r="M12" i="12" s="1"/>
  <c r="L13" i="12"/>
  <c r="N13" i="12" s="1"/>
  <c r="N27" i="12"/>
  <c r="E17" i="11"/>
  <c r="K22" i="12"/>
  <c r="M22" i="12" s="1"/>
  <c r="E35" i="13"/>
  <c r="E18" i="11" s="1"/>
  <c r="N11" i="14"/>
  <c r="N10" i="14"/>
  <c r="M16" i="14"/>
  <c r="O16" i="14" s="1"/>
  <c r="N20" i="14"/>
  <c r="K27" i="14"/>
  <c r="N30" i="14"/>
  <c r="M30" i="14"/>
  <c r="M13" i="14"/>
  <c r="N21" i="14"/>
  <c r="M21" i="14"/>
  <c r="M10" i="14"/>
  <c r="K14" i="14"/>
  <c r="M15" i="14"/>
  <c r="L19" i="14"/>
  <c r="N19" i="14" s="1"/>
  <c r="M20" i="14"/>
  <c r="L24" i="14"/>
  <c r="M24" i="14" s="1"/>
  <c r="K12" i="14"/>
  <c r="K17" i="14"/>
  <c r="K28" i="14"/>
  <c r="M29" i="14"/>
  <c r="O29" i="14" s="1"/>
  <c r="P29" i="14" s="1"/>
  <c r="Q29" i="14" s="1"/>
  <c r="N30" i="13"/>
  <c r="M30" i="13"/>
  <c r="N29" i="13"/>
  <c r="M29" i="13"/>
  <c r="L11" i="13"/>
  <c r="N11" i="13" s="1"/>
  <c r="K15" i="13"/>
  <c r="K20" i="13"/>
  <c r="K25" i="13"/>
  <c r="L26" i="13"/>
  <c r="M26" i="13" s="1"/>
  <c r="L13" i="13"/>
  <c r="M13" i="13" s="1"/>
  <c r="K17" i="13"/>
  <c r="M18" i="13"/>
  <c r="K21" i="13"/>
  <c r="K27" i="13"/>
  <c r="K19" i="13"/>
  <c r="K24" i="13"/>
  <c r="K22" i="13"/>
  <c r="K28" i="13"/>
  <c r="K16" i="13"/>
  <c r="L17" i="12"/>
  <c r="M17" i="12" s="1"/>
  <c r="N30" i="12"/>
  <c r="O30" i="12" s="1"/>
  <c r="P30" i="12" s="1"/>
  <c r="Q30" i="12" s="1"/>
  <c r="M29" i="12"/>
  <c r="O29" i="12" s="1"/>
  <c r="P29" i="12" s="1"/>
  <c r="Q29" i="12" s="1"/>
  <c r="K28" i="12"/>
  <c r="N28" i="12" s="1"/>
  <c r="N12" i="12"/>
  <c r="N22" i="12"/>
  <c r="K20" i="12"/>
  <c r="M27" i="12"/>
  <c r="K11" i="12"/>
  <c r="L15" i="12"/>
  <c r="N15" i="12" s="1"/>
  <c r="K19" i="12"/>
  <c r="K24" i="12"/>
  <c r="L25" i="12"/>
  <c r="N25" i="12" s="1"/>
  <c r="K16" i="12"/>
  <c r="L26" i="12"/>
  <c r="N26" i="12" s="1"/>
  <c r="K10" i="12"/>
  <c r="K14" i="12"/>
  <c r="K21" i="12"/>
  <c r="K18" i="12"/>
  <c r="K23" i="12"/>
  <c r="K15" i="1"/>
  <c r="N15" i="1" s="1"/>
  <c r="N30" i="1"/>
  <c r="M30" i="1"/>
  <c r="N29" i="1"/>
  <c r="M29" i="1"/>
  <c r="O29" i="1" s="1"/>
  <c r="K16" i="1"/>
  <c r="M16" i="1" s="1"/>
  <c r="K12" i="1"/>
  <c r="N12" i="1" s="1"/>
  <c r="K25" i="1"/>
  <c r="M25" i="1" s="1"/>
  <c r="L24" i="1"/>
  <c r="M24" i="1" s="1"/>
  <c r="L28" i="1"/>
  <c r="N28" i="1" s="1"/>
  <c r="K27" i="1"/>
  <c r="K18" i="1"/>
  <c r="M18" i="1" s="1"/>
  <c r="K10" i="1"/>
  <c r="L26" i="1"/>
  <c r="M26" i="1" s="1"/>
  <c r="K19" i="1"/>
  <c r="L21" i="1"/>
  <c r="M21" i="1" s="1"/>
  <c r="L20" i="1"/>
  <c r="M20" i="1" s="1"/>
  <c r="L23" i="1"/>
  <c r="M23" i="1" s="1"/>
  <c r="L17" i="1"/>
  <c r="M17" i="1" s="1"/>
  <c r="L13" i="1"/>
  <c r="M13" i="1" s="1"/>
  <c r="L11" i="1"/>
  <c r="M11" i="1" s="1"/>
  <c r="L14" i="1"/>
  <c r="M14" i="1" s="1"/>
  <c r="L22" i="1"/>
  <c r="M22" i="1" s="1"/>
  <c r="M13" i="12" l="1"/>
  <c r="O20" i="14"/>
  <c r="O13" i="14"/>
  <c r="N22" i="14"/>
  <c r="M23" i="14"/>
  <c r="O23" i="14" s="1"/>
  <c r="M25" i="14"/>
  <c r="O11" i="14"/>
  <c r="O22" i="14"/>
  <c r="P22" i="14" s="1"/>
  <c r="Q22" i="14" s="1"/>
  <c r="N26" i="14"/>
  <c r="O26" i="14" s="1"/>
  <c r="P26" i="14" s="1"/>
  <c r="Q26" i="14" s="1"/>
  <c r="O15" i="14"/>
  <c r="O21" i="14"/>
  <c r="N18" i="14"/>
  <c r="O18" i="14" s="1"/>
  <c r="O10" i="14"/>
  <c r="O25" i="14"/>
  <c r="P25" i="14" s="1"/>
  <c r="Q25" i="14" s="1"/>
  <c r="N24" i="14"/>
  <c r="O24" i="14" s="1"/>
  <c r="P24" i="14" s="1"/>
  <c r="Q24" i="14" s="1"/>
  <c r="O30" i="14"/>
  <c r="P30" i="14" s="1"/>
  <c r="Q30" i="14" s="1"/>
  <c r="O29" i="13"/>
  <c r="P29" i="13" s="1"/>
  <c r="Q29" i="13" s="1"/>
  <c r="M14" i="13"/>
  <c r="O14" i="13" s="1"/>
  <c r="M23" i="13"/>
  <c r="O23" i="13" s="1"/>
  <c r="N10" i="13"/>
  <c r="O10" i="13" s="1"/>
  <c r="O18" i="13"/>
  <c r="O30" i="13"/>
  <c r="P30" i="13" s="1"/>
  <c r="Q30" i="13" s="1"/>
  <c r="O27" i="12"/>
  <c r="P27" i="12" s="1"/>
  <c r="Q27" i="12" s="1"/>
  <c r="O12" i="12"/>
  <c r="E16" i="11"/>
  <c r="O30" i="1"/>
  <c r="P30" i="1" s="1"/>
  <c r="Q30" i="1" s="1"/>
  <c r="N27" i="14"/>
  <c r="M27" i="14"/>
  <c r="M17" i="14"/>
  <c r="N17" i="14"/>
  <c r="M12" i="14"/>
  <c r="N12" i="14"/>
  <c r="N14" i="14"/>
  <c r="M14" i="14"/>
  <c r="M19" i="14"/>
  <c r="O19" i="14" s="1"/>
  <c r="M28" i="14"/>
  <c r="N28" i="14"/>
  <c r="M11" i="13"/>
  <c r="O11" i="13" s="1"/>
  <c r="N27" i="13"/>
  <c r="M27" i="13"/>
  <c r="M25" i="13"/>
  <c r="N25" i="13"/>
  <c r="N22" i="13"/>
  <c r="M22" i="13"/>
  <c r="M24" i="13"/>
  <c r="N24" i="13"/>
  <c r="M19" i="13"/>
  <c r="N19" i="13"/>
  <c r="N26" i="13"/>
  <c r="O26" i="13" s="1"/>
  <c r="P26" i="13" s="1"/>
  <c r="Q26" i="13" s="1"/>
  <c r="N21" i="13"/>
  <c r="M21" i="13"/>
  <c r="M20" i="13"/>
  <c r="N20" i="13"/>
  <c r="N13" i="13"/>
  <c r="O13" i="13" s="1"/>
  <c r="N16" i="13"/>
  <c r="M16" i="13"/>
  <c r="M15" i="13"/>
  <c r="N15" i="13"/>
  <c r="M28" i="13"/>
  <c r="N28" i="13"/>
  <c r="M12" i="13"/>
  <c r="N12" i="13"/>
  <c r="M17" i="13"/>
  <c r="N17" i="13"/>
  <c r="O22" i="12"/>
  <c r="O13" i="12"/>
  <c r="N17" i="12"/>
  <c r="O17" i="12" s="1"/>
  <c r="M28" i="12"/>
  <c r="O28" i="12" s="1"/>
  <c r="P28" i="12" s="1"/>
  <c r="Q28" i="12" s="1"/>
  <c r="M10" i="12"/>
  <c r="N10" i="12"/>
  <c r="N20" i="12"/>
  <c r="M20" i="12"/>
  <c r="M16" i="12"/>
  <c r="N16" i="12"/>
  <c r="M26" i="12"/>
  <c r="O26" i="12" s="1"/>
  <c r="P26" i="12" s="1"/>
  <c r="Q26" i="12" s="1"/>
  <c r="M15" i="12"/>
  <c r="O15" i="12" s="1"/>
  <c r="M23" i="12"/>
  <c r="N23" i="12"/>
  <c r="M18" i="12"/>
  <c r="N18" i="12"/>
  <c r="N24" i="12"/>
  <c r="M24" i="12"/>
  <c r="N19" i="12"/>
  <c r="M19" i="12"/>
  <c r="M21" i="12"/>
  <c r="N21" i="12"/>
  <c r="M14" i="12"/>
  <c r="N14" i="12"/>
  <c r="N11" i="12"/>
  <c r="M11" i="12"/>
  <c r="M25" i="12"/>
  <c r="O25" i="12" s="1"/>
  <c r="P25" i="12" s="1"/>
  <c r="Q25" i="12" s="1"/>
  <c r="M15" i="1"/>
  <c r="O15" i="1" s="1"/>
  <c r="N16" i="1"/>
  <c r="O16" i="1" s="1"/>
  <c r="N24" i="1"/>
  <c r="O24" i="1" s="1"/>
  <c r="P24" i="1" s="1"/>
  <c r="Q24" i="1" s="1"/>
  <c r="M12" i="1"/>
  <c r="O12" i="1" s="1"/>
  <c r="M28" i="1"/>
  <c r="O28" i="1" s="1"/>
  <c r="P28" i="1" s="1"/>
  <c r="Q28" i="1" s="1"/>
  <c r="N25" i="1"/>
  <c r="O25" i="1" s="1"/>
  <c r="P25" i="1" s="1"/>
  <c r="Q25" i="1" s="1"/>
  <c r="N18" i="1"/>
  <c r="O18" i="1" s="1"/>
  <c r="N23" i="1"/>
  <c r="O23" i="1" s="1"/>
  <c r="N14" i="1"/>
  <c r="O14" i="1" s="1"/>
  <c r="N22" i="1"/>
  <c r="O22" i="1" s="1"/>
  <c r="N27" i="1"/>
  <c r="M27" i="1"/>
  <c r="N20" i="1"/>
  <c r="O20" i="1" s="1"/>
  <c r="N21" i="1"/>
  <c r="O21" i="1" s="1"/>
  <c r="N26" i="1"/>
  <c r="O26" i="1" s="1"/>
  <c r="P26" i="1" s="1"/>
  <c r="Q26" i="1" s="1"/>
  <c r="N11" i="1"/>
  <c r="O11" i="1" s="1"/>
  <c r="N17" i="1"/>
  <c r="O17" i="1" s="1"/>
  <c r="M19" i="1"/>
  <c r="N19" i="1"/>
  <c r="N13" i="1"/>
  <c r="O13" i="1" s="1"/>
  <c r="M10" i="1"/>
  <c r="N10" i="1"/>
  <c r="P10" i="14" l="1"/>
  <c r="Q10" i="14" s="1"/>
  <c r="P19" i="14"/>
  <c r="Q19" i="14" s="1"/>
  <c r="O28" i="14"/>
  <c r="P28" i="14" s="1"/>
  <c r="Q28" i="14" s="1"/>
  <c r="O17" i="14"/>
  <c r="P16" i="14" s="1"/>
  <c r="Q16" i="14" s="1"/>
  <c r="O28" i="13"/>
  <c r="P28" i="13" s="1"/>
  <c r="Q28" i="13" s="1"/>
  <c r="O21" i="12"/>
  <c r="O19" i="12"/>
  <c r="P12" i="1"/>
  <c r="Q12" i="1" s="1"/>
  <c r="P22" i="1"/>
  <c r="Q22" i="1" s="1"/>
  <c r="P16" i="1"/>
  <c r="Q16" i="1" s="1"/>
  <c r="O27" i="14"/>
  <c r="P27" i="14" s="1"/>
  <c r="Q27" i="14" s="1"/>
  <c r="O12" i="14"/>
  <c r="O14" i="14"/>
  <c r="O16" i="13"/>
  <c r="O27" i="13"/>
  <c r="P27" i="13" s="1"/>
  <c r="Q27" i="13" s="1"/>
  <c r="O15" i="13"/>
  <c r="O25" i="13"/>
  <c r="P25" i="13" s="1"/>
  <c r="Q25" i="13" s="1"/>
  <c r="O17" i="13"/>
  <c r="O19" i="13"/>
  <c r="O12" i="13"/>
  <c r="O24" i="13"/>
  <c r="P24" i="13" s="1"/>
  <c r="Q24" i="13" s="1"/>
  <c r="O20" i="13"/>
  <c r="O22" i="13"/>
  <c r="P22" i="13" s="1"/>
  <c r="Q22" i="13" s="1"/>
  <c r="O21" i="13"/>
  <c r="O14" i="12"/>
  <c r="P12" i="12" s="1"/>
  <c r="Q12" i="12" s="1"/>
  <c r="O18" i="12"/>
  <c r="O23" i="12"/>
  <c r="P22" i="12" s="1"/>
  <c r="Q22" i="12" s="1"/>
  <c r="P29" i="1"/>
  <c r="Q29" i="1" s="1"/>
  <c r="O16" i="12"/>
  <c r="O20" i="12"/>
  <c r="O10" i="12"/>
  <c r="O11" i="12"/>
  <c r="O24" i="12"/>
  <c r="P24" i="12" s="1"/>
  <c r="Q24" i="12" s="1"/>
  <c r="O19" i="1"/>
  <c r="P19" i="1" s="1"/>
  <c r="Q19" i="1" s="1"/>
  <c r="O27" i="1"/>
  <c r="P27" i="1" s="1"/>
  <c r="Q27" i="1" s="1"/>
  <c r="O10" i="1"/>
  <c r="E31" i="1" s="1"/>
  <c r="E36" i="1" s="1"/>
  <c r="P19" i="12" l="1"/>
  <c r="Q19" i="12" s="1"/>
  <c r="P16" i="12"/>
  <c r="Q16" i="12" s="1"/>
  <c r="D16" i="11"/>
  <c r="P10" i="1"/>
  <c r="Q10" i="1" s="1"/>
  <c r="P12" i="14"/>
  <c r="Q12" i="14" s="1"/>
  <c r="E31" i="14"/>
  <c r="P12" i="13"/>
  <c r="Q12" i="13" s="1"/>
  <c r="P16" i="13"/>
  <c r="Q16" i="13" s="1"/>
  <c r="P19" i="13"/>
  <c r="Q19" i="13" s="1"/>
  <c r="E31" i="13"/>
  <c r="P10" i="13"/>
  <c r="Q10" i="13" s="1"/>
  <c r="E31" i="12"/>
  <c r="P10" i="12"/>
  <c r="Q10" i="12" s="1"/>
  <c r="E36" i="14" l="1"/>
  <c r="D19" i="11"/>
  <c r="F19" i="11" s="1"/>
  <c r="G19" i="11" s="1"/>
  <c r="H19" i="11" s="1"/>
  <c r="I19" i="11" s="1"/>
  <c r="E36" i="13"/>
  <c r="D18" i="11"/>
  <c r="F18" i="11" s="1"/>
  <c r="G18" i="11" s="1"/>
  <c r="H18" i="11" s="1"/>
  <c r="I18" i="11" s="1"/>
  <c r="E36" i="12"/>
  <c r="D17" i="11"/>
  <c r="F17" i="11" s="1"/>
  <c r="G17" i="11" s="1"/>
  <c r="H17" i="11" s="1"/>
  <c r="I17" i="11" s="1"/>
  <c r="F16" i="11"/>
  <c r="G16" i="11" l="1"/>
  <c r="H16" i="11" s="1"/>
  <c r="I16" i="11" s="1"/>
  <c r="I20" i="11" s="1"/>
</calcChain>
</file>

<file path=xl/sharedStrings.xml><?xml version="1.0" encoding="utf-8"?>
<sst xmlns="http://schemas.openxmlformats.org/spreadsheetml/2006/main" count="548" uniqueCount="141">
  <si>
    <t>CONSOLIDADO REGIONES</t>
  </si>
  <si>
    <t>valor kilo general</t>
  </si>
  <si>
    <t>kilos a recoger</t>
  </si>
  <si>
    <t>sub Total</t>
  </si>
  <si>
    <t>Imprevistos 10%</t>
  </si>
  <si>
    <t>Total</t>
  </si>
  <si>
    <t>Redondeo</t>
  </si>
  <si>
    <t>Regio 1</t>
  </si>
  <si>
    <t>Regio 2</t>
  </si>
  <si>
    <t>Regio 3</t>
  </si>
  <si>
    <t>Regio 4</t>
  </si>
  <si>
    <t>total</t>
  </si>
  <si>
    <t>ESTUDIO DE MERCADO 2025</t>
  </si>
  <si>
    <t>Item</t>
  </si>
  <si>
    <t>Tipo</t>
  </si>
  <si>
    <t>Descripción</t>
  </si>
  <si>
    <t>Referencia cotizada</t>
  </si>
  <si>
    <t>Tipos Cotizados</t>
  </si>
  <si>
    <t>Unidad (Kg)</t>
  </si>
  <si>
    <t>Valor / Kg 1 Region Caribe</t>
  </si>
  <si>
    <t>Procedimiento de promedio podado</t>
  </si>
  <si>
    <t>cotizacion DESCONT SAS ESP</t>
  </si>
  <si>
    <t>cotizacion ecoambientes</t>
  </si>
  <si>
    <t>ip 51 2024</t>
  </si>
  <si>
    <t>Promedio</t>
  </si>
  <si>
    <t>Desviacion</t>
  </si>
  <si>
    <t>Minimo</t>
  </si>
  <si>
    <t>Maximo</t>
  </si>
  <si>
    <t>Promedio Podado</t>
  </si>
  <si>
    <t>valor techo por tipo</t>
  </si>
  <si>
    <t>Tóner, tinta de impresión</t>
  </si>
  <si>
    <t>Cartuchos, tóner, tintas, cintas de impresión, marcadores, minas, esferos</t>
  </si>
  <si>
    <t>Y12 - A4070</t>
  </si>
  <si>
    <t>Toner</t>
  </si>
  <si>
    <t>A4070</t>
  </si>
  <si>
    <t>Cinta maquina de escribir</t>
  </si>
  <si>
    <t>Materiales
contaminados sólidos</t>
  </si>
  <si>
    <t>Cinta VHS</t>
  </si>
  <si>
    <t>xxxx</t>
  </si>
  <si>
    <t>Papel fax</t>
  </si>
  <si>
    <t>A4130</t>
  </si>
  <si>
    <t>Cassettes</t>
  </si>
  <si>
    <t>Y6</t>
  </si>
  <si>
    <t>Material contaminado</t>
  </si>
  <si>
    <t>Refrigerantes</t>
  </si>
  <si>
    <t>Cilindros, pipetas de gas comprimido</t>
  </si>
  <si>
    <t>Envases o contenedores contaminados</t>
  </si>
  <si>
    <t>Envases de aerosoles</t>
  </si>
  <si>
    <t>Pipetas de gas comprimido</t>
  </si>
  <si>
    <t>Solventes, pinturas, contaminados líquidos</t>
  </si>
  <si>
    <t>Y12</t>
  </si>
  <si>
    <t>Pinturas, tintas y disolventes</t>
  </si>
  <si>
    <t>Productos químicos vencidos</t>
  </si>
  <si>
    <t>Gel Antibacterial</t>
  </si>
  <si>
    <t xml:space="preserve">Baterías, pilas, </t>
  </si>
  <si>
    <t>Pilas y Baterías, , fotoceldas de Cadmio, Níquel/Cadmio, Níquel/hidruro metálico, litio, domésticas, de botón, ZN, Li, Mn, Mg, Carbón</t>
  </si>
  <si>
    <t>Y23</t>
  </si>
  <si>
    <t>Pilas</t>
  </si>
  <si>
    <t>Y26</t>
  </si>
  <si>
    <t>Baterías</t>
  </si>
  <si>
    <t>Luminarias</t>
  </si>
  <si>
    <t>Y29</t>
  </si>
  <si>
    <t>Plomo</t>
  </si>
  <si>
    <t>Y31</t>
  </si>
  <si>
    <t>Plomo, compuestos de plomo</t>
  </si>
  <si>
    <t>Aceite Usado</t>
  </si>
  <si>
    <t> A3020</t>
  </si>
  <si>
    <t>Aceites minerales de desecho no aptos para el uso al que estaban destinados.</t>
  </si>
  <si>
    <t>Medicamentos vencidos</t>
  </si>
  <si>
    <t>Archivo contaminado</t>
  </si>
  <si>
    <t>Procesos, expedientes y demás documentos contaminados con hongos u otro tipo de microorganismos</t>
  </si>
  <si>
    <t xml:space="preserve">Documentos contaminados </t>
  </si>
  <si>
    <t>Neumáticos</t>
  </si>
  <si>
    <t>Neumaticos</t>
  </si>
  <si>
    <t>Fibra de Vidrio</t>
  </si>
  <si>
    <t>valor promedio kilo</t>
  </si>
  <si>
    <t xml:space="preserve">RESERVA DE KILOS A DISPONER </t>
  </si>
  <si>
    <t>PROYECCION DE KILOS A RECOLECTAR EN LA VIGENCIA 2025 POR SEDE</t>
  </si>
  <si>
    <t>CANTIDAD DE CIUDADES EN LA REGION</t>
  </si>
  <si>
    <t>TOTAL KILOS A DISPONER EN LA VIGENCIA 2025</t>
  </si>
  <si>
    <t>TOTAL PRESUPUESTO DE REGION</t>
  </si>
  <si>
    <r>
      <t>Regiones o Lote</t>
    </r>
    <r>
      <rPr>
        <sz val="11"/>
        <rFont val="Montserrat"/>
      </rPr>
      <t> </t>
    </r>
  </si>
  <si>
    <r>
      <t>Seccional</t>
    </r>
    <r>
      <rPr>
        <sz val="11"/>
        <rFont val="Montserrat"/>
      </rPr>
      <t> </t>
    </r>
  </si>
  <si>
    <r>
      <t xml:space="preserve">1. </t>
    </r>
    <r>
      <rPr>
        <sz val="9"/>
        <rFont val="Montserrat"/>
      </rPr>
      <t>Región Caribe  </t>
    </r>
  </si>
  <si>
    <t xml:space="preserve">1. Barranquilla </t>
  </si>
  <si>
    <t>LOTE 1 </t>
  </si>
  <si>
    <t xml:space="preserve">2. Cartagena </t>
  </si>
  <si>
    <t>3. Montería</t>
  </si>
  <si>
    <t>7 sedes</t>
  </si>
  <si>
    <t>4. Riohacha</t>
  </si>
  <si>
    <t>5. Santa Marta</t>
  </si>
  <si>
    <t>6. Sincelejo</t>
  </si>
  <si>
    <t>7. Valledupar</t>
  </si>
  <si>
    <r>
      <t>2.</t>
    </r>
    <r>
      <rPr>
        <sz val="9"/>
        <rFont val="Montserrat"/>
      </rPr>
      <t xml:space="preserve"> Región Pacifico </t>
    </r>
  </si>
  <si>
    <r>
      <t>1.</t>
    </r>
    <r>
      <rPr>
        <sz val="7"/>
        <color theme="1"/>
        <rFont val="Times New Roman"/>
        <family val="1"/>
      </rPr>
      <t xml:space="preserve">         </t>
    </r>
    <r>
      <rPr>
        <sz val="9"/>
        <color theme="1"/>
        <rFont val="Montserrat"/>
      </rPr>
      <t>Medellín</t>
    </r>
  </si>
  <si>
    <t>LOTE 2 </t>
  </si>
  <si>
    <r>
      <t>2.</t>
    </r>
    <r>
      <rPr>
        <sz val="7"/>
        <color theme="1"/>
        <rFont val="Times New Roman"/>
        <family val="1"/>
      </rPr>
      <t xml:space="preserve">        </t>
    </r>
    <r>
      <rPr>
        <sz val="9"/>
        <color theme="1"/>
        <rFont val="Montserrat"/>
      </rPr>
      <t>Quibdó</t>
    </r>
  </si>
  <si>
    <r>
      <t>3.</t>
    </r>
    <r>
      <rPr>
        <sz val="7"/>
        <color theme="1"/>
        <rFont val="Times New Roman"/>
        <family val="1"/>
      </rPr>
      <t xml:space="preserve">        </t>
    </r>
    <r>
      <rPr>
        <sz val="9"/>
        <color theme="1"/>
        <rFont val="Montserrat"/>
      </rPr>
      <t>Cali</t>
    </r>
  </si>
  <si>
    <r>
      <t>4.</t>
    </r>
    <r>
      <rPr>
        <sz val="7"/>
        <color theme="1"/>
        <rFont val="Times New Roman"/>
        <family val="1"/>
      </rPr>
      <t xml:space="preserve">       </t>
    </r>
    <r>
      <rPr>
        <sz val="9"/>
        <color theme="1"/>
        <rFont val="Montserrat"/>
      </rPr>
      <t xml:space="preserve">Popayán </t>
    </r>
  </si>
  <si>
    <r>
      <t>5.</t>
    </r>
    <r>
      <rPr>
        <sz val="7"/>
        <color theme="1"/>
        <rFont val="Times New Roman"/>
        <family val="1"/>
      </rPr>
      <t xml:space="preserve">        </t>
    </r>
    <r>
      <rPr>
        <sz val="9"/>
        <color theme="1"/>
        <rFont val="Montserrat"/>
      </rPr>
      <t>Pasto</t>
    </r>
  </si>
  <si>
    <r>
      <t>6.</t>
    </r>
    <r>
      <rPr>
        <sz val="7"/>
        <color theme="1"/>
        <rFont val="Times New Roman"/>
        <family val="1"/>
      </rPr>
      <t> </t>
    </r>
    <r>
      <rPr>
        <sz val="9"/>
        <color theme="1"/>
        <rFont val="Montserrat"/>
      </rPr>
      <t xml:space="preserve">Coordinación Admtva Mocoa </t>
    </r>
  </si>
  <si>
    <r>
      <t xml:space="preserve">3. </t>
    </r>
    <r>
      <rPr>
        <sz val="9"/>
        <rFont val="Montserrat"/>
      </rPr>
      <t>Región Eje Cafetero </t>
    </r>
  </si>
  <si>
    <r>
      <t>1.</t>
    </r>
    <r>
      <rPr>
        <sz val="7"/>
        <color theme="1"/>
        <rFont val="Times New Roman"/>
        <family val="1"/>
      </rPr>
      <t xml:space="preserve">         </t>
    </r>
    <r>
      <rPr>
        <sz val="9"/>
        <color theme="1"/>
        <rFont val="Montserrat"/>
      </rPr>
      <t xml:space="preserve">Manizales </t>
    </r>
  </si>
  <si>
    <t>LOTE 3 </t>
  </si>
  <si>
    <r>
      <t>2.</t>
    </r>
    <r>
      <rPr>
        <sz val="7"/>
        <color theme="1"/>
        <rFont val="Times New Roman"/>
        <family val="1"/>
      </rPr>
      <t xml:space="preserve">        </t>
    </r>
    <r>
      <rPr>
        <sz val="9"/>
        <color theme="1"/>
        <rFont val="Montserrat"/>
      </rPr>
      <t>Armenia</t>
    </r>
  </si>
  <si>
    <t>6 sedes</t>
  </si>
  <si>
    <r>
      <t>3.</t>
    </r>
    <r>
      <rPr>
        <sz val="7"/>
        <color theme="1"/>
        <rFont val="Times New Roman"/>
        <family val="1"/>
      </rPr>
      <t xml:space="preserve">        </t>
    </r>
    <r>
      <rPr>
        <sz val="9"/>
        <color theme="1"/>
        <rFont val="Montserrat"/>
      </rPr>
      <t>Pereira</t>
    </r>
  </si>
  <si>
    <r>
      <t>4.</t>
    </r>
    <r>
      <rPr>
        <sz val="7"/>
        <color theme="1"/>
        <rFont val="Times New Roman"/>
        <family val="1"/>
      </rPr>
      <t xml:space="preserve">       </t>
    </r>
    <r>
      <rPr>
        <sz val="9"/>
        <color theme="1"/>
        <rFont val="Montserrat"/>
      </rPr>
      <t>Ibagué</t>
    </r>
  </si>
  <si>
    <r>
      <t>5.</t>
    </r>
    <r>
      <rPr>
        <sz val="7"/>
        <color theme="1"/>
        <rFont val="Times New Roman"/>
        <family val="1"/>
      </rPr>
      <t xml:space="preserve">        </t>
    </r>
    <r>
      <rPr>
        <sz val="9"/>
        <color theme="1"/>
        <rFont val="Montserrat"/>
      </rPr>
      <t>Neiva</t>
    </r>
  </si>
  <si>
    <t>6, Coordinación Admtva Florencia</t>
  </si>
  <si>
    <r>
      <t xml:space="preserve">4. </t>
    </r>
    <r>
      <rPr>
        <sz val="9"/>
        <rFont val="Montserrat"/>
      </rPr>
      <t>Región Oriente </t>
    </r>
  </si>
  <si>
    <r>
      <t>1.</t>
    </r>
    <r>
      <rPr>
        <sz val="7"/>
        <color theme="1"/>
        <rFont val="Times New Roman"/>
        <family val="1"/>
      </rPr>
      <t xml:space="preserve">         </t>
    </r>
    <r>
      <rPr>
        <sz val="9"/>
        <color theme="1"/>
        <rFont val="Montserrat"/>
      </rPr>
      <t>Cúcuta</t>
    </r>
  </si>
  <si>
    <t>LOTE 4 </t>
  </si>
  <si>
    <r>
      <t>2.</t>
    </r>
    <r>
      <rPr>
        <sz val="7"/>
        <color theme="1"/>
        <rFont val="Times New Roman"/>
        <family val="1"/>
      </rPr>
      <t xml:space="preserve">        </t>
    </r>
    <r>
      <rPr>
        <sz val="9"/>
        <color theme="1"/>
        <rFont val="Montserrat"/>
      </rPr>
      <t xml:space="preserve">Bucaramanga </t>
    </r>
  </si>
  <si>
    <t>RELACIÓN DE RESIDUOS PELIGROSOS - RESPEL</t>
  </si>
  <si>
    <t xml:space="preserve">Corriente </t>
  </si>
  <si>
    <t xml:space="preserve">Nombre o tipo de residuo </t>
  </si>
  <si>
    <t xml:space="preserve">Barranquilla </t>
  </si>
  <si>
    <t xml:space="preserve">Monteria </t>
  </si>
  <si>
    <t>Sincelejo</t>
  </si>
  <si>
    <t>Cartagena</t>
  </si>
  <si>
    <t xml:space="preserve">Und </t>
  </si>
  <si>
    <r>
      <t xml:space="preserve">Kg 
</t>
    </r>
    <r>
      <rPr>
        <b/>
        <sz val="8"/>
        <rFont val="Montserrat"/>
      </rPr>
      <t>(Peso Aprox)</t>
    </r>
  </si>
  <si>
    <t>Y9</t>
  </si>
  <si>
    <t>CD</t>
  </si>
  <si>
    <t>A1180</t>
  </si>
  <si>
    <t>RAEES</t>
  </si>
  <si>
    <t>Termometro de pistola</t>
  </si>
  <si>
    <t>Envases de aerosoles
Pipetas de gas comprimido</t>
  </si>
  <si>
    <t>kilos en almecenaniento para disponer por region</t>
  </si>
  <si>
    <t xml:space="preserve">Manizales </t>
  </si>
  <si>
    <t>Cali</t>
  </si>
  <si>
    <t>Popayán</t>
  </si>
  <si>
    <t>Pasto</t>
  </si>
  <si>
    <t>Diskettes</t>
  </si>
  <si>
    <t>Manizales</t>
  </si>
  <si>
    <t xml:space="preserve">Armenia </t>
  </si>
  <si>
    <t>Ibagué</t>
  </si>
  <si>
    <t>Neiva</t>
  </si>
  <si>
    <t>Paepel fax</t>
  </si>
  <si>
    <t>Bucaramanga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</si>
</sst>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#,##0.0"/>
    <numFmt numFmtId="166" formatCode="_-&quot;$&quot;\ * #,##0_-;\-&quot;$&quot;\ * #,##0_-;_-&quot;$&quot;\ * &quot;-&quot;??_-;_-@_-"/>
  </numFmts>
  <fonts count="1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Montserrat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Montserrat"/>
    </font>
    <font>
      <sz val="11"/>
      <name val="Montserrat"/>
    </font>
    <font>
      <sz val="9"/>
      <name val="Montserrat"/>
    </font>
    <font>
      <b/>
      <sz val="14"/>
      <color theme="1"/>
      <name val="Montserrat"/>
    </font>
    <font>
      <sz val="10"/>
      <color theme="1"/>
      <name val="Montserrat"/>
    </font>
    <font>
      <b/>
      <sz val="10"/>
      <name val="Montserrat"/>
    </font>
    <font>
      <b/>
      <sz val="8"/>
      <name val="Montserrat"/>
    </font>
    <font>
      <b/>
      <sz val="10"/>
      <color theme="1"/>
      <name val="Montserrat"/>
    </font>
    <font>
      <b/>
      <sz val="12"/>
      <color theme="1"/>
      <name val="Montserrat"/>
    </font>
    <font>
      <b/>
      <sz val="16"/>
      <color theme="0"/>
      <name val="Calibri"/>
      <family val="2"/>
      <scheme val="minor"/>
    </font>
    <font>
      <sz val="9"/>
      <color theme="1"/>
      <name val="Montserrat"/>
    </font>
    <font>
      <b/>
      <sz val="22"/>
      <color theme="1"/>
      <name val="Calibri"/>
      <family val="2"/>
      <scheme val="minor"/>
    </font>
    <font>
      <sz val="7"/>
      <color theme="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4182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000"/>
        <bgColor indexed="64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151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right"/>
    </xf>
    <xf numFmtId="0" fontId="0" fillId="2" borderId="0" xfId="0" applyFill="1" applyAlignment="1">
      <alignment horizontal="center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indent="2"/>
    </xf>
    <xf numFmtId="164" fontId="0" fillId="0" borderId="5" xfId="1" applyFont="1" applyBorder="1" applyAlignment="1" applyProtection="1">
      <alignment horizontal="left" vertical="center" indent="2"/>
      <protection locked="0"/>
    </xf>
    <xf numFmtId="164" fontId="0" fillId="0" borderId="3" xfId="1" applyFont="1" applyBorder="1" applyAlignment="1" applyProtection="1">
      <alignment horizontal="left" vertical="center" indent="2"/>
      <protection locked="0"/>
    </xf>
    <xf numFmtId="164" fontId="0" fillId="0" borderId="8" xfId="1" applyFont="1" applyBorder="1" applyAlignment="1" applyProtection="1">
      <alignment horizontal="left" vertical="center" indent="2"/>
      <protection locked="0"/>
    </xf>
    <xf numFmtId="0" fontId="1" fillId="3" borderId="15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left" vertical="center" wrapText="1" indent="2"/>
    </xf>
    <xf numFmtId="0" fontId="10" fillId="0" borderId="0" xfId="0" applyFont="1" applyAlignment="1">
      <alignment horizontal="center" vertical="center"/>
    </xf>
    <xf numFmtId="17" fontId="11" fillId="9" borderId="7" xfId="0" applyNumberFormat="1" applyFont="1" applyFill="1" applyBorder="1" applyAlignment="1">
      <alignment horizontal="center" vertical="center" wrapText="1"/>
    </xf>
    <xf numFmtId="17" fontId="11" fillId="9" borderId="22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4" fontId="13" fillId="9" borderId="23" xfId="0" applyNumberFormat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4" fontId="10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" fontId="10" fillId="5" borderId="0" xfId="0" applyNumberFormat="1" applyFont="1" applyFill="1" applyAlignment="1">
      <alignment horizontal="center" vertical="center"/>
    </xf>
    <xf numFmtId="0" fontId="0" fillId="0" borderId="3" xfId="0" applyBorder="1"/>
    <xf numFmtId="0" fontId="0" fillId="0" borderId="25" xfId="0" applyBorder="1"/>
    <xf numFmtId="0" fontId="0" fillId="0" borderId="3" xfId="0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horizontal="center" vertical="center"/>
    </xf>
    <xf numFmtId="164" fontId="0" fillId="0" borderId="5" xfId="2" applyFont="1" applyBorder="1" applyAlignment="1" applyProtection="1">
      <alignment horizontal="left" vertical="center" indent="2"/>
      <protection locked="0"/>
    </xf>
    <xf numFmtId="164" fontId="0" fillId="0" borderId="3" xfId="2" applyFont="1" applyBorder="1" applyAlignment="1" applyProtection="1">
      <alignment horizontal="left" vertical="center" indent="2"/>
      <protection locked="0"/>
    </xf>
    <xf numFmtId="164" fontId="0" fillId="0" borderId="8" xfId="2" applyFont="1" applyBorder="1" applyAlignment="1" applyProtection="1">
      <alignment horizontal="left" vertical="center" indent="2"/>
      <protection locked="0"/>
    </xf>
    <xf numFmtId="0" fontId="1" fillId="3" borderId="32" xfId="0" applyFont="1" applyFill="1" applyBorder="1" applyAlignment="1">
      <alignment horizontal="left" vertical="center" wrapText="1" indent="2"/>
    </xf>
    <xf numFmtId="164" fontId="0" fillId="9" borderId="3" xfId="1" applyFont="1" applyFill="1" applyBorder="1" applyAlignment="1" applyProtection="1">
      <alignment horizontal="left" vertical="center" indent="2"/>
      <protection locked="0"/>
    </xf>
    <xf numFmtId="0" fontId="4" fillId="0" borderId="3" xfId="0" applyFont="1" applyBorder="1" applyAlignment="1">
      <alignment horizontal="center"/>
    </xf>
    <xf numFmtId="164" fontId="0" fillId="2" borderId="0" xfId="0" applyNumberFormat="1" applyFill="1"/>
    <xf numFmtId="166" fontId="0" fillId="0" borderId="22" xfId="0" applyNumberFormat="1" applyBorder="1"/>
    <xf numFmtId="166" fontId="0" fillId="0" borderId="3" xfId="0" applyNumberFormat="1" applyBorder="1"/>
    <xf numFmtId="166" fontId="2" fillId="0" borderId="25" xfId="0" applyNumberFormat="1" applyFont="1" applyBorder="1"/>
    <xf numFmtId="166" fontId="2" fillId="0" borderId="3" xfId="0" applyNumberFormat="1" applyFont="1" applyBorder="1"/>
    <xf numFmtId="166" fontId="0" fillId="0" borderId="17" xfId="0" applyNumberFormat="1" applyBorder="1"/>
    <xf numFmtId="166" fontId="2" fillId="0" borderId="17" xfId="0" applyNumberFormat="1" applyFont="1" applyBorder="1"/>
    <xf numFmtId="166" fontId="2" fillId="0" borderId="24" xfId="0" applyNumberFormat="1" applyFont="1" applyBorder="1"/>
    <xf numFmtId="0" fontId="1" fillId="10" borderId="33" xfId="0" applyFont="1" applyFill="1" applyBorder="1"/>
    <xf numFmtId="0" fontId="1" fillId="10" borderId="34" xfId="0" applyFont="1" applyFill="1" applyBorder="1" applyAlignment="1">
      <alignment horizontal="center"/>
    </xf>
    <xf numFmtId="0" fontId="1" fillId="10" borderId="35" xfId="0" applyFont="1" applyFill="1" applyBorder="1" applyAlignment="1">
      <alignment horizontal="center"/>
    </xf>
    <xf numFmtId="164" fontId="0" fillId="0" borderId="36" xfId="0" applyNumberFormat="1" applyBorder="1"/>
    <xf numFmtId="164" fontId="0" fillId="0" borderId="10" xfId="0" applyNumberFormat="1" applyBorder="1"/>
    <xf numFmtId="0" fontId="1" fillId="10" borderId="37" xfId="0" applyFont="1" applyFill="1" applyBorder="1"/>
    <xf numFmtId="0" fontId="1" fillId="10" borderId="38" xfId="0" applyFont="1" applyFill="1" applyBorder="1"/>
    <xf numFmtId="0" fontId="1" fillId="10" borderId="39" xfId="0" applyFont="1" applyFill="1" applyBorder="1"/>
    <xf numFmtId="166" fontId="2" fillId="0" borderId="22" xfId="0" applyNumberFormat="1" applyFont="1" applyBorder="1"/>
    <xf numFmtId="0" fontId="10" fillId="5" borderId="6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4" fontId="13" fillId="5" borderId="23" xfId="0" applyNumberFormat="1" applyFont="1" applyFill="1" applyBorder="1" applyAlignment="1">
      <alignment horizontal="center" vertical="center"/>
    </xf>
    <xf numFmtId="165" fontId="13" fillId="5" borderId="23" xfId="0" applyNumberFormat="1" applyFont="1" applyFill="1" applyBorder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3" fillId="11" borderId="3" xfId="0" applyFont="1" applyFill="1" applyBorder="1" applyAlignment="1">
      <alignment horizontal="left" vertical="center" wrapText="1"/>
    </xf>
    <xf numFmtId="0" fontId="3" fillId="12" borderId="3" xfId="0" applyFont="1" applyFill="1" applyBorder="1" applyAlignment="1">
      <alignment horizontal="left" vertical="center" wrapText="1"/>
    </xf>
    <xf numFmtId="0" fontId="3" fillId="13" borderId="3" xfId="0" applyFont="1" applyFill="1" applyBorder="1" applyAlignment="1">
      <alignment horizontal="left" vertical="center" wrapText="1"/>
    </xf>
    <xf numFmtId="0" fontId="3" fillId="14" borderId="3" xfId="0" applyFont="1" applyFill="1" applyBorder="1" applyAlignment="1">
      <alignment horizontal="left" vertical="center" wrapText="1"/>
    </xf>
    <xf numFmtId="0" fontId="3" fillId="1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3" fillId="7" borderId="3" xfId="0" applyFont="1" applyFill="1" applyBorder="1" applyAlignment="1">
      <alignment horizontal="left" vertical="center" wrapText="1"/>
    </xf>
    <xf numFmtId="0" fontId="3" fillId="16" borderId="3" xfId="0" applyFont="1" applyFill="1" applyBorder="1" applyAlignment="1">
      <alignment horizontal="left" vertical="center" wrapText="1"/>
    </xf>
    <xf numFmtId="0" fontId="3" fillId="17" borderId="3" xfId="0" applyFont="1" applyFill="1" applyBorder="1" applyAlignment="1">
      <alignment horizontal="left" vertical="center"/>
    </xf>
    <xf numFmtId="0" fontId="3" fillId="18" borderId="3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3" fillId="19" borderId="3" xfId="0" applyFont="1" applyFill="1" applyBorder="1" applyAlignment="1">
      <alignment horizontal="left" vertical="center" wrapText="1"/>
    </xf>
    <xf numFmtId="0" fontId="3" fillId="20" borderId="3" xfId="0" applyFont="1" applyFill="1" applyBorder="1" applyAlignment="1">
      <alignment horizontal="left" vertical="center" wrapText="1"/>
    </xf>
    <xf numFmtId="166" fontId="0" fillId="2" borderId="0" xfId="0" applyNumberFormat="1" applyFill="1"/>
    <xf numFmtId="0" fontId="4" fillId="0" borderId="3" xfId="0" applyFont="1" applyBorder="1" applyAlignment="1">
      <alignment horizontal="center" wrapText="1"/>
    </xf>
    <xf numFmtId="4" fontId="0" fillId="0" borderId="24" xfId="0" applyNumberFormat="1" applyBorder="1"/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164" fontId="2" fillId="5" borderId="3" xfId="1" applyFont="1" applyFill="1" applyBorder="1" applyAlignment="1" applyProtection="1">
      <alignment horizontal="left" vertical="center" indent="2"/>
    </xf>
    <xf numFmtId="4" fontId="0" fillId="0" borderId="17" xfId="0" applyNumberFormat="1" applyBorder="1"/>
    <xf numFmtId="164" fontId="2" fillId="5" borderId="42" xfId="1" applyFont="1" applyFill="1" applyBorder="1" applyAlignment="1" applyProtection="1">
      <alignment vertical="top"/>
    </xf>
    <xf numFmtId="164" fontId="2" fillId="5" borderId="43" xfId="1" applyFont="1" applyFill="1" applyBorder="1" applyAlignment="1" applyProtection="1">
      <alignment vertical="top"/>
    </xf>
    <xf numFmtId="164" fontId="2" fillId="5" borderId="10" xfId="1" applyFont="1" applyFill="1" applyBorder="1" applyAlignment="1" applyProtection="1">
      <alignment vertical="top"/>
    </xf>
    <xf numFmtId="0" fontId="2" fillId="0" borderId="23" xfId="0" applyFont="1" applyBorder="1"/>
    <xf numFmtId="0" fontId="2" fillId="0" borderId="17" xfId="0" applyFont="1" applyBorder="1"/>
    <xf numFmtId="0" fontId="2" fillId="0" borderId="6" xfId="0" applyFont="1" applyBorder="1"/>
    <xf numFmtId="0" fontId="2" fillId="0" borderId="3" xfId="0" applyFont="1" applyBorder="1"/>
    <xf numFmtId="0" fontId="2" fillId="0" borderId="7" xfId="0" applyFont="1" applyBorder="1"/>
    <xf numFmtId="0" fontId="2" fillId="0" borderId="8" xfId="0" applyFont="1" applyBorder="1"/>
    <xf numFmtId="0" fontId="6" fillId="4" borderId="44" xfId="0" applyFont="1" applyFill="1" applyBorder="1" applyAlignment="1">
      <alignment horizontal="center" vertical="center" wrapText="1"/>
    </xf>
    <xf numFmtId="0" fontId="6" fillId="4" borderId="45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justify" vertical="center"/>
    </xf>
    <xf numFmtId="0" fontId="8" fillId="0" borderId="2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justify" vertical="center"/>
    </xf>
    <xf numFmtId="0" fontId="0" fillId="0" borderId="2" xfId="0" applyBorder="1" applyAlignment="1">
      <alignment horizontal="center" vertical="top" wrapText="1"/>
    </xf>
    <xf numFmtId="0" fontId="0" fillId="0" borderId="2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16" fillId="0" borderId="22" xfId="0" applyFont="1" applyBorder="1"/>
    <xf numFmtId="0" fontId="6" fillId="8" borderId="15" xfId="0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justify" vertical="center"/>
    </xf>
    <xf numFmtId="0" fontId="6" fillId="7" borderId="15" xfId="0" applyFont="1" applyFill="1" applyBorder="1" applyAlignment="1">
      <alignment horizontal="center" vertical="center" wrapText="1"/>
    </xf>
    <xf numFmtId="0" fontId="16" fillId="0" borderId="20" xfId="0" applyFont="1" applyBorder="1" applyAlignment="1">
      <alignment horizontal="justify" vertical="center" wrapText="1"/>
    </xf>
    <xf numFmtId="0" fontId="8" fillId="6" borderId="9" xfId="0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justify" vertical="center" wrapText="1"/>
    </xf>
    <xf numFmtId="164" fontId="0" fillId="0" borderId="0" xfId="0" applyNumberFormat="1"/>
    <xf numFmtId="4" fontId="0" fillId="0" borderId="0" xfId="0" applyNumberFormat="1"/>
    <xf numFmtId="0" fontId="2" fillId="0" borderId="6" xfId="0" applyFont="1" applyBorder="1" applyAlignment="1">
      <alignment wrapText="1"/>
    </xf>
    <xf numFmtId="0" fontId="1" fillId="10" borderId="29" xfId="0" applyFont="1" applyFill="1" applyBorder="1" applyAlignment="1">
      <alignment horizontal="center"/>
    </xf>
    <xf numFmtId="0" fontId="1" fillId="10" borderId="8" xfId="0" applyFont="1" applyFill="1" applyBorder="1" applyAlignment="1">
      <alignment horizontal="center"/>
    </xf>
    <xf numFmtId="0" fontId="17" fillId="0" borderId="0" xfId="0" applyFont="1" applyAlignment="1">
      <alignment horizontal="center"/>
    </xf>
    <xf numFmtId="164" fontId="0" fillId="9" borderId="41" xfId="1" applyFont="1" applyFill="1" applyBorder="1" applyAlignment="1" applyProtection="1">
      <alignment horizontal="center" vertical="center"/>
      <protection locked="0"/>
    </xf>
    <xf numFmtId="164" fontId="0" fillId="9" borderId="17" xfId="1" applyFont="1" applyFill="1" applyBorder="1" applyAlignment="1" applyProtection="1">
      <alignment horizontal="center" vertical="center"/>
      <protection locked="0"/>
    </xf>
    <xf numFmtId="164" fontId="0" fillId="9" borderId="40" xfId="1" applyFon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1" fillId="3" borderId="3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/>
    </xf>
    <xf numFmtId="0" fontId="15" fillId="3" borderId="0" xfId="0" applyFont="1" applyFill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0" fillId="0" borderId="41" xfId="0" applyBorder="1" applyAlignment="1">
      <alignment horizontal="center"/>
    </xf>
    <xf numFmtId="0" fontId="0" fillId="0" borderId="17" xfId="0" applyBorder="1" applyAlignment="1">
      <alignment horizontal="center"/>
    </xf>
    <xf numFmtId="17" fontId="11" fillId="9" borderId="4" xfId="0" applyNumberFormat="1" applyFont="1" applyFill="1" applyBorder="1" applyAlignment="1">
      <alignment horizontal="center" vertical="center" wrapText="1"/>
    </xf>
    <xf numFmtId="17" fontId="11" fillId="9" borderId="20" xfId="0" applyNumberFormat="1" applyFont="1" applyFill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1" fillId="9" borderId="4" xfId="0" applyFont="1" applyFill="1" applyBorder="1" applyAlignment="1">
      <alignment horizontal="center" vertical="center"/>
    </xf>
    <xf numFmtId="0" fontId="11" fillId="9" borderId="7" xfId="0" applyFont="1" applyFill="1" applyBorder="1" applyAlignment="1">
      <alignment horizontal="center" vertical="center"/>
    </xf>
    <xf numFmtId="0" fontId="11" fillId="9" borderId="18" xfId="0" applyFont="1" applyFill="1" applyBorder="1" applyAlignment="1">
      <alignment horizontal="center" vertical="center"/>
    </xf>
    <xf numFmtId="0" fontId="11" fillId="9" borderId="21" xfId="0" applyFont="1" applyFill="1" applyBorder="1" applyAlignment="1">
      <alignment horizontal="center" vertical="center"/>
    </xf>
    <xf numFmtId="0" fontId="11" fillId="9" borderId="26" xfId="0" applyFont="1" applyFill="1" applyBorder="1" applyAlignment="1">
      <alignment horizontal="center" vertical="center"/>
    </xf>
    <xf numFmtId="0" fontId="11" fillId="9" borderId="29" xfId="0" applyFont="1" applyFill="1" applyBorder="1" applyAlignment="1">
      <alignment horizontal="center" vertical="center"/>
    </xf>
    <xf numFmtId="0" fontId="11" fillId="9" borderId="16" xfId="0" applyFont="1" applyFill="1" applyBorder="1" applyAlignment="1">
      <alignment horizontal="center" vertical="center"/>
    </xf>
    <xf numFmtId="0" fontId="11" fillId="9" borderId="30" xfId="0" applyFont="1" applyFill="1" applyBorder="1" applyAlignment="1">
      <alignment horizontal="center" vertical="center"/>
    </xf>
    <xf numFmtId="17" fontId="11" fillId="9" borderId="27" xfId="0" applyNumberFormat="1" applyFont="1" applyFill="1" applyBorder="1" applyAlignment="1">
      <alignment horizontal="center" vertical="center" wrapText="1"/>
    </xf>
    <xf numFmtId="17" fontId="11" fillId="9" borderId="28" xfId="0" applyNumberFormat="1" applyFont="1" applyFill="1" applyBorder="1" applyAlignment="1">
      <alignment horizontal="center" vertical="center" wrapText="1"/>
    </xf>
  </cellXfs>
  <cellStyles count="3">
    <cellStyle name="Moneda" xfId="1" builtinId="4"/>
    <cellStyle name="Moneda 2" xfId="2" xr:uid="{1CF41B4E-5C3D-4362-9AB6-1A7017EC38FA}"/>
    <cellStyle name="Normal" xfId="0" builtinId="0"/>
  </cellStyles>
  <dxfs count="0"/>
  <tableStyles count="0" defaultTableStyle="TableStyleMedium2" defaultPivotStyle="PivotStyleLight16"/>
  <colors>
    <mruColors>
      <color rgb="FF0041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114301</xdr:colOff>
      <xdr:row>0</xdr:row>
      <xdr:rowOff>0</xdr:rowOff>
    </xdr:from>
    <xdr:to>
      <xdr:col>3</xdr:col>
      <xdr:colOff>117035</xdr:colOff>
      <xdr:row>5</xdr:row>
      <xdr:rowOff>49014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A8D5B44-23E4-4135-8E80-703797FAB8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29351" y="65286"/>
          <a:ext cx="3455547" cy="1001514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114301</xdr:colOff>
      <xdr:row>0</xdr:row>
      <xdr:rowOff>65286</xdr:rowOff>
    </xdr:from>
    <xdr:to>
      <xdr:col>3</xdr:col>
      <xdr:colOff>117035</xdr:colOff>
      <xdr:row>5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02F262B-A2D1-4829-B528-C8D30DFF4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1" y="65286"/>
          <a:ext cx="3455547" cy="1001514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114301</xdr:colOff>
      <xdr:row>0</xdr:row>
      <xdr:rowOff>65286</xdr:rowOff>
    </xdr:from>
    <xdr:to>
      <xdr:col>3</xdr:col>
      <xdr:colOff>117035</xdr:colOff>
      <xdr:row>5</xdr:row>
      <xdr:rowOff>114300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41011A3-C9B8-4E23-B10A-DAF000A793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1" y="65286"/>
          <a:ext cx="3455547" cy="10015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114301</xdr:colOff>
      <xdr:row>0</xdr:row>
      <xdr:rowOff>0</xdr:rowOff>
    </xdr:from>
    <xdr:to>
      <xdr:col>3</xdr:col>
      <xdr:colOff>117035</xdr:colOff>
      <xdr:row>5</xdr:row>
      <xdr:rowOff>49014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CFCFB54-9883-444E-A190-E49105BAAF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1" y="0"/>
          <a:ext cx="3460309" cy="1001514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114301</xdr:colOff>
      <xdr:row>0</xdr:row>
      <xdr:rowOff>65286</xdr:rowOff>
    </xdr:from>
    <xdr:to>
      <xdr:col>3</xdr:col>
      <xdr:colOff>117035</xdr:colOff>
      <xdr:row>5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273F631-46E2-43BC-AD62-EF0D8B6957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1" y="65286"/>
          <a:ext cx="3460309" cy="1001514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114301</xdr:colOff>
      <xdr:row>0</xdr:row>
      <xdr:rowOff>65286</xdr:rowOff>
    </xdr:from>
    <xdr:to>
      <xdr:col>3</xdr:col>
      <xdr:colOff>117035</xdr:colOff>
      <xdr:row>5</xdr:row>
      <xdr:rowOff>114300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A2E4C67-C626-48B0-8ABE-E1C84719E3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1" y="65286"/>
          <a:ext cx="3460309" cy="100151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114301</xdr:colOff>
      <xdr:row>0</xdr:row>
      <xdr:rowOff>0</xdr:rowOff>
    </xdr:from>
    <xdr:to>
      <xdr:col>3</xdr:col>
      <xdr:colOff>117035</xdr:colOff>
      <xdr:row>5</xdr:row>
      <xdr:rowOff>49014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E89758F-9CF4-401A-BE30-D6758AD48E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1" y="0"/>
          <a:ext cx="3460309" cy="1001514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114301</xdr:colOff>
      <xdr:row>0</xdr:row>
      <xdr:rowOff>65286</xdr:rowOff>
    </xdr:from>
    <xdr:to>
      <xdr:col>3</xdr:col>
      <xdr:colOff>117035</xdr:colOff>
      <xdr:row>5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5BEC951-44EE-4EA6-9BD0-55C1F094EF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1" y="65286"/>
          <a:ext cx="3460309" cy="1001514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114301</xdr:colOff>
      <xdr:row>0</xdr:row>
      <xdr:rowOff>65286</xdr:rowOff>
    </xdr:from>
    <xdr:to>
      <xdr:col>3</xdr:col>
      <xdr:colOff>117035</xdr:colOff>
      <xdr:row>5</xdr:row>
      <xdr:rowOff>114300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CCFD9A7-FFF1-4735-AF05-F90967459E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1" y="65286"/>
          <a:ext cx="3460309" cy="100151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114301</xdr:colOff>
      <xdr:row>0</xdr:row>
      <xdr:rowOff>0</xdr:rowOff>
    </xdr:from>
    <xdr:to>
      <xdr:col>3</xdr:col>
      <xdr:colOff>117035</xdr:colOff>
      <xdr:row>5</xdr:row>
      <xdr:rowOff>49014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D88371-694F-4EB2-95CE-17FEE97B41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1" y="0"/>
          <a:ext cx="3460309" cy="1001514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114301</xdr:colOff>
      <xdr:row>0</xdr:row>
      <xdr:rowOff>65286</xdr:rowOff>
    </xdr:from>
    <xdr:to>
      <xdr:col>3</xdr:col>
      <xdr:colOff>117035</xdr:colOff>
      <xdr:row>5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1D1773A-58AD-4A93-9E5A-F0D28DC0D7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1" y="65286"/>
          <a:ext cx="3460309" cy="1001514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114301</xdr:colOff>
      <xdr:row>0</xdr:row>
      <xdr:rowOff>65286</xdr:rowOff>
    </xdr:from>
    <xdr:to>
      <xdr:col>3</xdr:col>
      <xdr:colOff>117035</xdr:colOff>
      <xdr:row>5</xdr:row>
      <xdr:rowOff>114300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8B7E070-2589-4A12-ABCB-EFFE7277E1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1" y="65286"/>
          <a:ext cx="3460309" cy="100151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102534</xdr:rowOff>
    </xdr:from>
    <xdr:to>
      <xdr:col>1</xdr:col>
      <xdr:colOff>400382</xdr:colOff>
      <xdr:row>0</xdr:row>
      <xdr:rowOff>674034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2D3F17FB-BDBE-4485-9704-13EE5AA169F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534"/>
          <a:ext cx="1295732" cy="5715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102534</xdr:rowOff>
    </xdr:from>
    <xdr:to>
      <xdr:col>1</xdr:col>
      <xdr:colOff>400382</xdr:colOff>
      <xdr:row>0</xdr:row>
      <xdr:rowOff>674034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D0A9DCE9-66A0-41A5-AECA-11B1CF9BA5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534"/>
          <a:ext cx="1295732" cy="5715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102534</xdr:rowOff>
    </xdr:from>
    <xdr:to>
      <xdr:col>1</xdr:col>
      <xdr:colOff>400382</xdr:colOff>
      <xdr:row>0</xdr:row>
      <xdr:rowOff>674034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055E8272-DE85-45F4-8EBD-EA56E74D506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534"/>
          <a:ext cx="1295732" cy="5715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102534</xdr:rowOff>
    </xdr:from>
    <xdr:to>
      <xdr:col>1</xdr:col>
      <xdr:colOff>400382</xdr:colOff>
      <xdr:row>0</xdr:row>
      <xdr:rowOff>674034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FC7C073D-11BC-4BE1-9877-1AEC421DF9E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534"/>
          <a:ext cx="1295732" cy="5715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122BA-4385-4F9B-8019-5D73F084D3FE}">
  <dimension ref="C12:I20"/>
  <sheetViews>
    <sheetView topLeftCell="B1" workbookViewId="0">
      <selection activeCell="I20" sqref="I20"/>
    </sheetView>
  </sheetViews>
  <sheetFormatPr defaultColWidth="11.42578125" defaultRowHeight="15"/>
  <cols>
    <col min="4" max="4" width="17.28515625" customWidth="1"/>
    <col min="6" max="6" width="15.85546875" customWidth="1"/>
    <col min="7" max="7" width="16.28515625" customWidth="1"/>
    <col min="8" max="8" width="15.5703125" bestFit="1" customWidth="1"/>
    <col min="9" max="9" width="15" customWidth="1"/>
  </cols>
  <sheetData>
    <row r="12" spans="3:9">
      <c r="C12" s="119" t="s">
        <v>0</v>
      </c>
      <c r="D12" s="119"/>
      <c r="E12" s="119"/>
      <c r="F12" s="119"/>
      <c r="G12" s="119"/>
      <c r="H12" s="119"/>
      <c r="I12" s="119"/>
    </row>
    <row r="13" spans="3:9">
      <c r="C13" s="119"/>
      <c r="D13" s="119"/>
      <c r="E13" s="119"/>
      <c r="F13" s="119"/>
      <c r="G13" s="119"/>
      <c r="H13" s="119"/>
      <c r="I13" s="119"/>
    </row>
    <row r="14" spans="3:9" ht="15.75" thickBot="1"/>
    <row r="15" spans="3:9" ht="15.75" thickBot="1">
      <c r="C15" s="53"/>
      <c r="D15" s="54" t="s">
        <v>1</v>
      </c>
      <c r="E15" s="54" t="s">
        <v>2</v>
      </c>
      <c r="F15" s="54" t="s">
        <v>3</v>
      </c>
      <c r="G15" s="54" t="s">
        <v>4</v>
      </c>
      <c r="H15" s="54" t="s">
        <v>5</v>
      </c>
      <c r="I15" s="55" t="s">
        <v>6</v>
      </c>
    </row>
    <row r="16" spans="3:9">
      <c r="C16" s="58" t="s">
        <v>7</v>
      </c>
      <c r="D16" s="56">
        <f>'Analisis Region 1'!E31</f>
        <v>4500</v>
      </c>
      <c r="E16" s="88">
        <f>'Analisis Region 1'!E35</f>
        <v>3406.21</v>
      </c>
      <c r="F16" s="50">
        <f>+D16*E16</f>
        <v>15327945</v>
      </c>
      <c r="G16" s="50">
        <f>+(F16*10%)</f>
        <v>1532794.5</v>
      </c>
      <c r="H16" s="51">
        <f>+G16+F16</f>
        <v>16860739.5</v>
      </c>
      <c r="I16" s="52">
        <f>MROUND(H16,100)</f>
        <v>16860700</v>
      </c>
    </row>
    <row r="17" spans="3:9">
      <c r="C17" s="59" t="s">
        <v>8</v>
      </c>
      <c r="D17" s="57">
        <f>'Analisis region 2'!E31</f>
        <v>5700</v>
      </c>
      <c r="E17" s="35">
        <f>'Analisis region 2'!E35</f>
        <v>3241.5600000000004</v>
      </c>
      <c r="F17" s="47">
        <f t="shared" ref="F17:F19" si="0">+D17*E17</f>
        <v>18476892.000000004</v>
      </c>
      <c r="G17" s="47">
        <f t="shared" ref="G17:G19" si="1">+(F17*10%)</f>
        <v>1847689.2000000004</v>
      </c>
      <c r="H17" s="49">
        <f t="shared" ref="H17:H19" si="2">+G17+F17</f>
        <v>20324581.200000003</v>
      </c>
      <c r="I17" s="48">
        <f t="shared" ref="I17:I19" si="3">MROUND(H17,100)</f>
        <v>20324600</v>
      </c>
    </row>
    <row r="18" spans="3:9">
      <c r="C18" s="59" t="s">
        <v>9</v>
      </c>
      <c r="D18" s="57">
        <f>'Analisis Region 3'!E31</f>
        <v>4300</v>
      </c>
      <c r="E18" s="35">
        <f>'Analisis Region 3'!E35</f>
        <v>6821.1500000000005</v>
      </c>
      <c r="F18" s="47">
        <f t="shared" si="0"/>
        <v>29330945.000000004</v>
      </c>
      <c r="G18" s="47">
        <f t="shared" si="1"/>
        <v>2933094.5000000005</v>
      </c>
      <c r="H18" s="49">
        <f t="shared" si="2"/>
        <v>32264039.500000004</v>
      </c>
      <c r="I18" s="48">
        <f t="shared" si="3"/>
        <v>32264000</v>
      </c>
    </row>
    <row r="19" spans="3:9" ht="15.75" thickBot="1">
      <c r="C19" s="60" t="s">
        <v>10</v>
      </c>
      <c r="D19" s="57">
        <f>'Analisis Region 4'!E31</f>
        <v>4300</v>
      </c>
      <c r="E19" s="35">
        <f>'Analisis Region 4'!E35</f>
        <v>432</v>
      </c>
      <c r="F19" s="47">
        <f t="shared" si="0"/>
        <v>1857600</v>
      </c>
      <c r="G19" s="47">
        <f t="shared" si="1"/>
        <v>185760</v>
      </c>
      <c r="H19" s="49">
        <f t="shared" si="2"/>
        <v>2043360</v>
      </c>
      <c r="I19" s="48">
        <f t="shared" si="3"/>
        <v>2043400</v>
      </c>
    </row>
    <row r="20" spans="3:9" ht="15.75" thickBot="1">
      <c r="C20" s="117" t="s">
        <v>11</v>
      </c>
      <c r="D20" s="118"/>
      <c r="E20" s="118"/>
      <c r="F20" s="118"/>
      <c r="G20" s="118"/>
      <c r="H20" s="118"/>
      <c r="I20" s="61">
        <f>SUM(I16:I19)</f>
        <v>71492700</v>
      </c>
    </row>
  </sheetData>
  <mergeCells count="2">
    <mergeCell ref="C20:H20"/>
    <mergeCell ref="C12:I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A1853-3B6E-4235-AAC9-A3D23617529B}">
  <sheetPr>
    <tabColor theme="4"/>
  </sheetPr>
  <dimension ref="A1:AB59"/>
  <sheetViews>
    <sheetView topLeftCell="A13" zoomScale="80" zoomScaleNormal="80" workbookViewId="0">
      <selection activeCell="C30" sqref="C30"/>
    </sheetView>
  </sheetViews>
  <sheetFormatPr defaultColWidth="11.42578125" defaultRowHeight="15"/>
  <cols>
    <col min="3" max="3" width="29" customWidth="1"/>
    <col min="4" max="4" width="31.140625" customWidth="1"/>
    <col min="5" max="5" width="26.7109375" customWidth="1"/>
    <col min="6" max="6" width="74.85546875" hidden="1" customWidth="1"/>
    <col min="7" max="7" width="14.42578125" hidden="1" customWidth="1"/>
    <col min="8" max="8" width="14.28515625" hidden="1" customWidth="1"/>
    <col min="9" max="9" width="16.140625" hidden="1" customWidth="1"/>
    <col min="10" max="10" width="14.7109375" hidden="1" customWidth="1"/>
    <col min="11" max="11" width="15.85546875" hidden="1" customWidth="1"/>
    <col min="12" max="12" width="20" hidden="1" customWidth="1"/>
    <col min="13" max="13" width="14.140625" hidden="1" customWidth="1"/>
    <col min="14" max="14" width="15.28515625" hidden="1" customWidth="1"/>
    <col min="15" max="15" width="16.28515625" customWidth="1"/>
    <col min="16" max="16" width="14.5703125" customWidth="1"/>
    <col min="17" max="17" width="14.85546875" customWidth="1"/>
    <col min="25" max="25" width="15.5703125" bestFit="1" customWidth="1"/>
    <col min="27" max="27" width="16.5703125" bestFit="1" customWidth="1"/>
  </cols>
  <sheetData>
    <row r="1" spans="1:28">
      <c r="A1" s="1"/>
      <c r="B1" s="1"/>
      <c r="C1" s="8"/>
      <c r="D1" s="8"/>
      <c r="E1" s="8"/>
      <c r="F1" s="8"/>
      <c r="G1" s="8"/>
      <c r="H1" s="8"/>
      <c r="I1" s="8"/>
      <c r="J1" s="8"/>
      <c r="K1" s="8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8">
      <c r="A2" s="1"/>
      <c r="B2" s="1"/>
      <c r="C2" s="8"/>
      <c r="D2" s="8"/>
      <c r="E2" s="8"/>
      <c r="F2" s="8"/>
      <c r="G2" s="8"/>
      <c r="H2" s="8"/>
      <c r="I2" s="8"/>
      <c r="J2" s="8"/>
      <c r="K2" s="8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8">
      <c r="A3" s="1"/>
      <c r="B3" s="1"/>
      <c r="C3" s="8"/>
      <c r="D3" s="8"/>
      <c r="E3" s="8"/>
      <c r="F3" s="8"/>
      <c r="G3" s="8"/>
      <c r="H3" s="8"/>
      <c r="I3" s="8"/>
      <c r="J3" s="8"/>
      <c r="K3" s="8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8">
      <c r="A4" s="1"/>
      <c r="B4" s="1"/>
      <c r="C4" s="8"/>
      <c r="D4" s="8"/>
      <c r="E4" s="8"/>
      <c r="F4" s="8"/>
      <c r="G4" s="8"/>
      <c r="H4" s="8"/>
      <c r="I4" s="8"/>
      <c r="J4" s="8"/>
      <c r="K4" s="8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8">
      <c r="A5" s="1"/>
      <c r="B5" s="1"/>
      <c r="C5" s="8"/>
      <c r="D5" s="8"/>
      <c r="E5" s="8"/>
      <c r="F5" s="8"/>
      <c r="G5" s="8"/>
      <c r="H5" s="8"/>
      <c r="I5" s="8"/>
      <c r="J5" s="8"/>
      <c r="K5" s="8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8" ht="15.75" thickBot="1">
      <c r="A6" s="2"/>
      <c r="B6" s="3"/>
      <c r="C6" s="3"/>
      <c r="D6" s="3"/>
      <c r="E6" s="3"/>
      <c r="F6" s="3"/>
      <c r="G6" s="1"/>
      <c r="H6" s="1"/>
      <c r="I6" s="8"/>
      <c r="J6" s="8"/>
      <c r="K6" s="8"/>
      <c r="L6" s="8"/>
      <c r="M6" s="8"/>
      <c r="N6" s="8"/>
      <c r="O6" s="8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26.25" customHeight="1" thickBot="1">
      <c r="A7" s="1"/>
      <c r="B7" s="128" t="s">
        <v>12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42"/>
      <c r="Q7" s="42"/>
      <c r="R7" s="1"/>
      <c r="S7" s="1"/>
      <c r="T7" s="1"/>
    </row>
    <row r="8" spans="1:28" ht="32.25" customHeight="1" thickBot="1">
      <c r="A8" s="1"/>
      <c r="B8" s="7" t="s">
        <v>13</v>
      </c>
      <c r="C8" s="4" t="s">
        <v>14</v>
      </c>
      <c r="D8" s="4" t="s">
        <v>15</v>
      </c>
      <c r="E8" s="5" t="s">
        <v>16</v>
      </c>
      <c r="F8" s="4" t="s">
        <v>17</v>
      </c>
      <c r="G8" s="6" t="s">
        <v>18</v>
      </c>
      <c r="H8" s="125" t="s">
        <v>19</v>
      </c>
      <c r="I8" s="126"/>
      <c r="J8" s="127"/>
      <c r="K8" s="125" t="s">
        <v>20</v>
      </c>
      <c r="L8" s="126"/>
      <c r="M8" s="126"/>
      <c r="N8" s="126"/>
      <c r="O8" s="127"/>
      <c r="P8" s="42"/>
      <c r="Q8" s="42"/>
      <c r="R8" s="1"/>
      <c r="S8" s="1"/>
      <c r="T8" s="1"/>
    </row>
    <row r="9" spans="1:28" ht="38.25" customHeight="1">
      <c r="A9" s="1"/>
      <c r="B9" s="12"/>
      <c r="C9" s="4"/>
      <c r="D9" s="4"/>
      <c r="E9" s="4"/>
      <c r="F9" s="4"/>
      <c r="G9" s="4"/>
      <c r="H9" s="4" t="s">
        <v>21</v>
      </c>
      <c r="I9" s="13" t="s">
        <v>22</v>
      </c>
      <c r="J9" s="42" t="s">
        <v>23</v>
      </c>
      <c r="K9" s="42" t="s">
        <v>24</v>
      </c>
      <c r="L9" s="42" t="s">
        <v>25</v>
      </c>
      <c r="M9" s="42" t="s">
        <v>26</v>
      </c>
      <c r="N9" s="42" t="s">
        <v>27</v>
      </c>
      <c r="O9" s="42" t="s">
        <v>28</v>
      </c>
      <c r="P9" s="42" t="s">
        <v>29</v>
      </c>
      <c r="Q9" s="42" t="s">
        <v>6</v>
      </c>
      <c r="R9" s="1"/>
      <c r="S9" s="1"/>
      <c r="T9" s="1"/>
    </row>
    <row r="10" spans="1:28" ht="20.25" customHeight="1">
      <c r="A10" s="1"/>
      <c r="B10" s="135">
        <v>1</v>
      </c>
      <c r="C10" s="133" t="s">
        <v>30</v>
      </c>
      <c r="D10" s="131" t="s">
        <v>31</v>
      </c>
      <c r="E10" s="38" t="s">
        <v>32</v>
      </c>
      <c r="F10" s="68" t="s">
        <v>33</v>
      </c>
      <c r="G10" s="37">
        <v>1</v>
      </c>
      <c r="H10" s="10">
        <v>3500</v>
      </c>
      <c r="I10" s="40">
        <v>2800</v>
      </c>
      <c r="J10" s="10">
        <f>(6753*9.5%)+6753</f>
        <v>7394.5349999999999</v>
      </c>
      <c r="K10" s="43">
        <f t="shared" ref="K10:K15" si="0">AVERAGE(H10:J10)</f>
        <v>4564.8450000000003</v>
      </c>
      <c r="L10" s="43">
        <f>STDEVA(H10:J10)</f>
        <v>2475.451296647745</v>
      </c>
      <c r="M10" s="43">
        <f>+K10-L10</f>
        <v>2089.3937033522552</v>
      </c>
      <c r="N10" s="43">
        <f>+K10+L10</f>
        <v>7040.2962966477453</v>
      </c>
      <c r="O10" s="43">
        <f>ROUND(AVERAGEIFS(H10:J10,H10:J10, "&gt;= "&amp;M10,H10:J10, "&lt;= "&amp;N10),0)</f>
        <v>3150</v>
      </c>
      <c r="P10" s="120">
        <f>AVERAGE(O10:O11)</f>
        <v>3150</v>
      </c>
      <c r="Q10" s="120">
        <f>MROUND(P10,10)</f>
        <v>3150</v>
      </c>
      <c r="R10" s="1"/>
      <c r="S10" s="1"/>
      <c r="T10" s="1"/>
    </row>
    <row r="11" spans="1:28" ht="25.5" customHeight="1">
      <c r="A11" s="1"/>
      <c r="B11" s="136"/>
      <c r="C11" s="134"/>
      <c r="D11" s="132"/>
      <c r="E11" s="38" t="s">
        <v>34</v>
      </c>
      <c r="F11" s="68" t="s">
        <v>35</v>
      </c>
      <c r="G11" s="37">
        <v>1</v>
      </c>
      <c r="H11" s="10">
        <v>3500</v>
      </c>
      <c r="I11" s="40">
        <v>2800</v>
      </c>
      <c r="J11" s="10">
        <f t="shared" ref="J11:J30" si="1">(6753*9.5%)+6753</f>
        <v>7394.5349999999999</v>
      </c>
      <c r="K11" s="43">
        <f t="shared" si="0"/>
        <v>4564.8450000000003</v>
      </c>
      <c r="L11" s="43">
        <f>STDEVA(H11:J11)</f>
        <v>2475.451296647745</v>
      </c>
      <c r="M11" s="43">
        <f>+K11-L11</f>
        <v>2089.3937033522552</v>
      </c>
      <c r="N11" s="43">
        <f>+K11+L11</f>
        <v>7040.2962966477453</v>
      </c>
      <c r="O11" s="43">
        <f>ROUND(AVERAGEIFS(H11:J11,H11:J11, "&gt;= "&amp;M11,H11:J11, "&lt;= "&amp;N11),0)</f>
        <v>3150</v>
      </c>
      <c r="P11" s="121"/>
      <c r="Q11" s="121"/>
      <c r="R11" s="1"/>
      <c r="S11" s="1"/>
      <c r="T11" s="1"/>
    </row>
    <row r="12" spans="1:28" ht="20.25" customHeight="1">
      <c r="A12" s="1"/>
      <c r="B12" s="124">
        <v>2</v>
      </c>
      <c r="C12" s="123" t="s">
        <v>36</v>
      </c>
      <c r="D12" s="123" t="s">
        <v>36</v>
      </c>
      <c r="E12" s="38" t="s">
        <v>34</v>
      </c>
      <c r="F12" s="71" t="s">
        <v>37</v>
      </c>
      <c r="G12" s="37">
        <v>1</v>
      </c>
      <c r="H12" s="10">
        <v>3500</v>
      </c>
      <c r="I12" s="40">
        <v>8000</v>
      </c>
      <c r="J12" s="10">
        <f t="shared" si="1"/>
        <v>7394.5349999999999</v>
      </c>
      <c r="K12" s="43">
        <f t="shared" si="0"/>
        <v>6298.1783333333333</v>
      </c>
      <c r="L12" s="43">
        <f>STDEVA(H12:J12)</f>
        <v>2442.1299014197289</v>
      </c>
      <c r="M12" s="43">
        <f>+K12-L12</f>
        <v>3856.0484319136044</v>
      </c>
      <c r="N12" s="43">
        <f>+K12+L12</f>
        <v>8740.3082347530617</v>
      </c>
      <c r="O12" s="43">
        <f>ROUND(AVERAGEIFS(H12:J12,H12:J12, "&gt;= "&amp;M12,H12:J12, "&lt;= "&amp;N12),0)</f>
        <v>7697</v>
      </c>
      <c r="P12" s="120">
        <f>AVERAGE(O12:O15)</f>
        <v>3861.75</v>
      </c>
      <c r="Q12" s="120">
        <f t="shared" ref="Q12:Q30" si="2">MROUND(P12,10)</f>
        <v>3860</v>
      </c>
      <c r="R12" s="1"/>
      <c r="S12" s="1"/>
      <c r="T12" s="1"/>
    </row>
    <row r="13" spans="1:28" ht="20.25" customHeight="1">
      <c r="A13" s="1"/>
      <c r="B13" s="124"/>
      <c r="C13" s="123"/>
      <c r="D13" s="123"/>
      <c r="E13" s="38" t="s">
        <v>38</v>
      </c>
      <c r="F13" s="71" t="s">
        <v>39</v>
      </c>
      <c r="G13" s="37">
        <v>1</v>
      </c>
      <c r="H13" s="10">
        <v>3500</v>
      </c>
      <c r="I13" s="40">
        <v>1000</v>
      </c>
      <c r="J13" s="10">
        <f t="shared" si="1"/>
        <v>7394.5349999999999</v>
      </c>
      <c r="K13" s="43">
        <f t="shared" si="0"/>
        <v>3964.8449999999998</v>
      </c>
      <c r="L13" s="43">
        <f>STDEVA(H13:J13)</f>
        <v>3222.5114618997095</v>
      </c>
      <c r="M13" s="43">
        <f>+K13-L13</f>
        <v>742.3335381002903</v>
      </c>
      <c r="N13" s="43">
        <f>+K13+L13</f>
        <v>7187.3564618997098</v>
      </c>
      <c r="O13" s="43">
        <f>ROUND(AVERAGEIFS(H13:J13,H13:J13, "&gt;= "&amp;M13,H13:J13, "&lt;= "&amp;N13),0)</f>
        <v>2250</v>
      </c>
      <c r="P13" s="122"/>
      <c r="Q13" s="122"/>
      <c r="R13" s="1"/>
      <c r="S13" s="1"/>
      <c r="T13" s="1"/>
    </row>
    <row r="14" spans="1:28" ht="20.25" customHeight="1">
      <c r="A14" s="1"/>
      <c r="B14" s="124"/>
      <c r="C14" s="123"/>
      <c r="D14" s="123"/>
      <c r="E14" s="38" t="s">
        <v>40</v>
      </c>
      <c r="F14" s="71" t="s">
        <v>41</v>
      </c>
      <c r="G14" s="37">
        <v>1</v>
      </c>
      <c r="H14" s="10">
        <v>3500</v>
      </c>
      <c r="I14" s="40">
        <v>1000</v>
      </c>
      <c r="J14" s="10">
        <f t="shared" si="1"/>
        <v>7394.5349999999999</v>
      </c>
      <c r="K14" s="43">
        <f t="shared" si="0"/>
        <v>3964.8449999999998</v>
      </c>
      <c r="L14" s="43">
        <f>STDEVA(H14:J14)</f>
        <v>3222.5114618997095</v>
      </c>
      <c r="M14" s="43">
        <f>+K14-L14</f>
        <v>742.3335381002903</v>
      </c>
      <c r="N14" s="43">
        <f>+K14+L14</f>
        <v>7187.3564618997098</v>
      </c>
      <c r="O14" s="43">
        <f>ROUND(AVERAGEIFS(H14:J14,H14:J14, "&gt;= "&amp;M14,H14:J14, "&lt;= "&amp;N14),0)</f>
        <v>2250</v>
      </c>
      <c r="P14" s="122"/>
      <c r="Q14" s="122"/>
      <c r="R14" s="1"/>
      <c r="S14" s="1"/>
      <c r="T14" s="1"/>
    </row>
    <row r="15" spans="1:28" ht="18.75" customHeight="1">
      <c r="A15" s="1"/>
      <c r="B15" s="124"/>
      <c r="C15" s="123"/>
      <c r="D15" s="123"/>
      <c r="E15" s="38" t="s">
        <v>42</v>
      </c>
      <c r="F15" s="71" t="s">
        <v>43</v>
      </c>
      <c r="G15" s="37">
        <v>1</v>
      </c>
      <c r="H15" s="10">
        <v>3500</v>
      </c>
      <c r="I15" s="40">
        <v>3000</v>
      </c>
      <c r="J15" s="10">
        <f t="shared" si="1"/>
        <v>7394.5349999999999</v>
      </c>
      <c r="K15" s="43">
        <f t="shared" si="0"/>
        <v>4631.5116666666663</v>
      </c>
      <c r="L15" s="43">
        <f t="shared" ref="L15:L28" si="3">STDEVA(H15:J15)</f>
        <v>2405.8727014138412</v>
      </c>
      <c r="M15" s="43">
        <f t="shared" ref="M15:M30" si="4">+K15-L15</f>
        <v>2225.6389652528251</v>
      </c>
      <c r="N15" s="43">
        <f t="shared" ref="N15:N30" si="5">+K15+L15</f>
        <v>7037.3843680805076</v>
      </c>
      <c r="O15" s="43">
        <f t="shared" ref="O15:O30" si="6">ROUND(AVERAGEIFS(H15:J15,H15:J15, "&gt;= "&amp;M15,H15:J15, "&lt;= "&amp;N15),0)</f>
        <v>3250</v>
      </c>
      <c r="P15" s="121"/>
      <c r="Q15" s="121"/>
      <c r="R15" s="1"/>
      <c r="S15" s="1"/>
      <c r="T15" s="1"/>
    </row>
    <row r="16" spans="1:28" ht="20.25" customHeight="1">
      <c r="A16" s="1"/>
      <c r="B16" s="124">
        <v>3</v>
      </c>
      <c r="C16" s="130" t="s">
        <v>44</v>
      </c>
      <c r="D16" s="123" t="s">
        <v>45</v>
      </c>
      <c r="E16" s="38" t="s">
        <v>42</v>
      </c>
      <c r="F16" s="70" t="s">
        <v>46</v>
      </c>
      <c r="G16" s="37">
        <v>1</v>
      </c>
      <c r="H16" s="10">
        <v>3500</v>
      </c>
      <c r="I16" s="40">
        <v>2850</v>
      </c>
      <c r="J16" s="10">
        <f t="shared" si="1"/>
        <v>7394.5349999999999</v>
      </c>
      <c r="K16" s="43">
        <f t="shared" ref="K16:K30" si="7">AVERAGE(H16:J16)</f>
        <v>4581.5116666666663</v>
      </c>
      <c r="L16" s="43">
        <f t="shared" si="3"/>
        <v>2457.7327367735361</v>
      </c>
      <c r="M16" s="43">
        <f t="shared" si="4"/>
        <v>2123.7789298931302</v>
      </c>
      <c r="N16" s="43">
        <f t="shared" si="5"/>
        <v>7039.2444034402024</v>
      </c>
      <c r="O16" s="43">
        <f t="shared" si="6"/>
        <v>3175</v>
      </c>
      <c r="P16" s="120">
        <f>AVERAGE(O16:O18)</f>
        <v>3558.3333333333335</v>
      </c>
      <c r="Q16" s="120">
        <f t="shared" si="2"/>
        <v>3560</v>
      </c>
      <c r="R16" s="1"/>
      <c r="S16" s="1"/>
      <c r="T16" s="1"/>
    </row>
    <row r="17" spans="1:25" ht="20.25" customHeight="1">
      <c r="A17" s="1"/>
      <c r="B17" s="124"/>
      <c r="C17" s="130"/>
      <c r="D17" s="123"/>
      <c r="E17" s="38" t="s">
        <v>42</v>
      </c>
      <c r="F17" s="70" t="s">
        <v>47</v>
      </c>
      <c r="G17" s="37">
        <v>1</v>
      </c>
      <c r="H17" s="10">
        <v>3500</v>
      </c>
      <c r="I17" s="40">
        <v>3000</v>
      </c>
      <c r="J17" s="10">
        <f t="shared" si="1"/>
        <v>7394.5349999999999</v>
      </c>
      <c r="K17" s="43">
        <f t="shared" si="7"/>
        <v>4631.5116666666663</v>
      </c>
      <c r="L17" s="43">
        <f t="shared" si="3"/>
        <v>2405.8727014138412</v>
      </c>
      <c r="M17" s="43">
        <f t="shared" si="4"/>
        <v>2225.6389652528251</v>
      </c>
      <c r="N17" s="43">
        <f t="shared" si="5"/>
        <v>7037.3843680805076</v>
      </c>
      <c r="O17" s="43">
        <f t="shared" si="6"/>
        <v>3250</v>
      </c>
      <c r="P17" s="122"/>
      <c r="Q17" s="122"/>
      <c r="R17" s="1"/>
      <c r="S17" s="1"/>
      <c r="T17" s="1"/>
    </row>
    <row r="18" spans="1:25" ht="20.25" customHeight="1">
      <c r="A18" s="1"/>
      <c r="B18" s="124"/>
      <c r="C18" s="130"/>
      <c r="D18" s="123"/>
      <c r="E18" s="38" t="s">
        <v>42</v>
      </c>
      <c r="F18" s="70" t="s">
        <v>48</v>
      </c>
      <c r="G18" s="37">
        <v>1</v>
      </c>
      <c r="H18" s="10">
        <v>3500</v>
      </c>
      <c r="I18" s="40">
        <v>5000</v>
      </c>
      <c r="J18" s="10">
        <f t="shared" si="1"/>
        <v>7394.5349999999999</v>
      </c>
      <c r="K18" s="43">
        <f t="shared" si="7"/>
        <v>5298.1783333333333</v>
      </c>
      <c r="L18" s="43">
        <f t="shared" si="3"/>
        <v>1964.315009210166</v>
      </c>
      <c r="M18" s="43">
        <f t="shared" si="4"/>
        <v>3333.8633241231673</v>
      </c>
      <c r="N18" s="43">
        <f t="shared" si="5"/>
        <v>7262.4933425434992</v>
      </c>
      <c r="O18" s="43">
        <f t="shared" si="6"/>
        <v>4250</v>
      </c>
      <c r="P18" s="121"/>
      <c r="Q18" s="121"/>
      <c r="R18" s="1"/>
      <c r="S18" s="1"/>
      <c r="T18" s="1"/>
    </row>
    <row r="19" spans="1:25" ht="20.25" customHeight="1">
      <c r="A19" s="1"/>
      <c r="B19" s="124">
        <v>4</v>
      </c>
      <c r="C19" s="123" t="s">
        <v>49</v>
      </c>
      <c r="D19" s="123" t="s">
        <v>49</v>
      </c>
      <c r="E19" s="38" t="s">
        <v>50</v>
      </c>
      <c r="F19" s="72" t="s">
        <v>51</v>
      </c>
      <c r="G19" s="37">
        <v>1</v>
      </c>
      <c r="H19" s="10">
        <v>3500</v>
      </c>
      <c r="I19" s="40">
        <v>2700</v>
      </c>
      <c r="J19" s="10">
        <f t="shared" si="1"/>
        <v>7394.5349999999999</v>
      </c>
      <c r="K19" s="43">
        <f t="shared" si="7"/>
        <v>4531.5116666666663</v>
      </c>
      <c r="L19" s="43">
        <f t="shared" si="3"/>
        <v>2511.5089001252481</v>
      </c>
      <c r="M19" s="43">
        <f t="shared" si="4"/>
        <v>2020.0027665414182</v>
      </c>
      <c r="N19" s="43">
        <f t="shared" si="5"/>
        <v>7043.0205667919145</v>
      </c>
      <c r="O19" s="43">
        <f t="shared" si="6"/>
        <v>3100</v>
      </c>
      <c r="P19" s="120">
        <f>AVERAGE(O19:O21)</f>
        <v>4032.3333333333335</v>
      </c>
      <c r="Q19" s="120">
        <f t="shared" si="2"/>
        <v>4030</v>
      </c>
      <c r="R19" s="1"/>
      <c r="S19" s="1"/>
      <c r="T19" s="1"/>
    </row>
    <row r="20" spans="1:25" ht="20.25" customHeight="1">
      <c r="A20" s="1"/>
      <c r="B20" s="124"/>
      <c r="C20" s="123"/>
      <c r="D20" s="123"/>
      <c r="E20" s="38" t="s">
        <v>40</v>
      </c>
      <c r="F20" s="72" t="s">
        <v>52</v>
      </c>
      <c r="G20" s="37">
        <v>1</v>
      </c>
      <c r="H20" s="10">
        <v>3500</v>
      </c>
      <c r="I20" s="40">
        <v>6300</v>
      </c>
      <c r="J20" s="10">
        <f t="shared" si="1"/>
        <v>7394.5349999999999</v>
      </c>
      <c r="K20" s="43">
        <f>AVERAGE(H20:J20)</f>
        <v>5731.5116666666663</v>
      </c>
      <c r="L20" s="43">
        <f>STDEVA(H20:J20)</f>
        <v>2008.5405038007909</v>
      </c>
      <c r="M20" s="43">
        <f>+K20-L20</f>
        <v>3722.9711628658752</v>
      </c>
      <c r="N20" s="43">
        <f>+K20+L20</f>
        <v>7740.0521704674575</v>
      </c>
      <c r="O20" s="43">
        <f>ROUND(AVERAGEIFS(H20:J20,H20:J20, "&gt;= "&amp;M20,H20:J20, "&lt;= "&amp;N20),0)</f>
        <v>6847</v>
      </c>
      <c r="P20" s="122"/>
      <c r="Q20" s="122"/>
      <c r="R20" s="1"/>
      <c r="S20" s="1"/>
      <c r="T20" s="1"/>
    </row>
    <row r="21" spans="1:25" ht="20.25" customHeight="1">
      <c r="A21" s="1"/>
      <c r="B21" s="124"/>
      <c r="C21" s="123"/>
      <c r="D21" s="123"/>
      <c r="E21" s="38" t="s">
        <v>40</v>
      </c>
      <c r="F21" s="72" t="s">
        <v>53</v>
      </c>
      <c r="G21" s="37">
        <v>1</v>
      </c>
      <c r="H21" s="10">
        <v>3500</v>
      </c>
      <c r="I21" s="40">
        <v>800</v>
      </c>
      <c r="J21" s="10">
        <f t="shared" si="1"/>
        <v>7394.5349999999999</v>
      </c>
      <c r="K21" s="43">
        <f>AVERAGE(H21:J21)</f>
        <v>3898.1783333333333</v>
      </c>
      <c r="L21" s="43">
        <f>STDEVA(H21:J21)</f>
        <v>3315.2499838486292</v>
      </c>
      <c r="M21" s="43">
        <f>+K21-L21</f>
        <v>582.92834948470409</v>
      </c>
      <c r="N21" s="43">
        <f>+K21+L21</f>
        <v>7213.4283171819625</v>
      </c>
      <c r="O21" s="43">
        <f>ROUND(AVERAGEIFS(H21:J21,H21:J21, "&gt;= "&amp;M21,H21:J21, "&lt;= "&amp;N21),0)</f>
        <v>2150</v>
      </c>
      <c r="P21" s="121"/>
      <c r="Q21" s="121"/>
      <c r="R21" s="1"/>
      <c r="S21" s="1"/>
      <c r="T21" s="1"/>
    </row>
    <row r="22" spans="1:25" ht="20.25" customHeight="1">
      <c r="A22" s="1"/>
      <c r="B22" s="124">
        <v>5</v>
      </c>
      <c r="C22" s="130" t="s">
        <v>54</v>
      </c>
      <c r="D22" s="123" t="s">
        <v>55</v>
      </c>
      <c r="E22" s="38" t="s">
        <v>56</v>
      </c>
      <c r="F22" s="69" t="s">
        <v>57</v>
      </c>
      <c r="G22" s="37">
        <v>1</v>
      </c>
      <c r="H22" s="10">
        <v>3500</v>
      </c>
      <c r="I22" s="40">
        <v>3800</v>
      </c>
      <c r="J22" s="10">
        <f t="shared" si="1"/>
        <v>7394.5349999999999</v>
      </c>
      <c r="K22" s="43">
        <f t="shared" si="7"/>
        <v>4898.1783333333333</v>
      </c>
      <c r="L22" s="43">
        <f t="shared" si="3"/>
        <v>2167.1057785462008</v>
      </c>
      <c r="M22" s="43">
        <f t="shared" si="4"/>
        <v>2731.0725547871325</v>
      </c>
      <c r="N22" s="43">
        <f t="shared" si="5"/>
        <v>7065.2841118795341</v>
      </c>
      <c r="O22" s="43">
        <f t="shared" si="6"/>
        <v>3650</v>
      </c>
      <c r="P22" s="120">
        <f>AVERAGE(O22:O23)</f>
        <v>3175</v>
      </c>
      <c r="Q22" s="120">
        <f t="shared" si="2"/>
        <v>3180</v>
      </c>
      <c r="R22" s="1"/>
      <c r="S22" s="1"/>
      <c r="T22" s="1"/>
    </row>
    <row r="23" spans="1:25" ht="70.5" customHeight="1">
      <c r="A23" s="1"/>
      <c r="B23" s="124"/>
      <c r="C23" s="130"/>
      <c r="D23" s="123"/>
      <c r="E23" s="38" t="s">
        <v>58</v>
      </c>
      <c r="F23" s="69" t="s">
        <v>59</v>
      </c>
      <c r="G23" s="37">
        <v>1</v>
      </c>
      <c r="H23" s="10">
        <v>3500</v>
      </c>
      <c r="I23" s="40">
        <v>1900</v>
      </c>
      <c r="J23" s="10">
        <f t="shared" si="1"/>
        <v>7394.5349999999999</v>
      </c>
      <c r="K23" s="43">
        <f t="shared" si="7"/>
        <v>4264.8450000000003</v>
      </c>
      <c r="L23" s="43">
        <f t="shared" si="3"/>
        <v>2825.9900251195158</v>
      </c>
      <c r="M23" s="43">
        <f t="shared" si="4"/>
        <v>1438.8549748804844</v>
      </c>
      <c r="N23" s="43">
        <f t="shared" si="5"/>
        <v>7090.8350251195161</v>
      </c>
      <c r="O23" s="43">
        <f t="shared" si="6"/>
        <v>2700</v>
      </c>
      <c r="P23" s="121"/>
      <c r="Q23" s="121"/>
      <c r="R23" s="1"/>
      <c r="S23" s="1"/>
      <c r="T23" s="1"/>
    </row>
    <row r="24" spans="1:25" ht="20.25" customHeight="1">
      <c r="A24" s="1"/>
      <c r="B24" s="79">
        <v>6</v>
      </c>
      <c r="C24" s="38" t="s">
        <v>60</v>
      </c>
      <c r="D24" s="78" t="s">
        <v>60</v>
      </c>
      <c r="E24" s="38" t="s">
        <v>61</v>
      </c>
      <c r="F24" s="73" t="s">
        <v>60</v>
      </c>
      <c r="G24" s="37">
        <v>1</v>
      </c>
      <c r="H24" s="10">
        <v>3500</v>
      </c>
      <c r="I24" s="40">
        <v>3800</v>
      </c>
      <c r="J24" s="10">
        <f t="shared" si="1"/>
        <v>7394.5349999999999</v>
      </c>
      <c r="K24" s="43">
        <f t="shared" si="7"/>
        <v>4898.1783333333333</v>
      </c>
      <c r="L24" s="43">
        <f t="shared" si="3"/>
        <v>2167.1057785462008</v>
      </c>
      <c r="M24" s="43">
        <f t="shared" si="4"/>
        <v>2731.0725547871325</v>
      </c>
      <c r="N24" s="43">
        <f t="shared" si="5"/>
        <v>7065.2841118795341</v>
      </c>
      <c r="O24" s="43">
        <f t="shared" si="6"/>
        <v>3650</v>
      </c>
      <c r="P24" s="43">
        <f t="shared" ref="P24:P30" si="8">O24</f>
        <v>3650</v>
      </c>
      <c r="Q24" s="43">
        <f t="shared" si="2"/>
        <v>3650</v>
      </c>
      <c r="R24" s="1"/>
      <c r="S24" s="1"/>
      <c r="T24" s="1"/>
    </row>
    <row r="25" spans="1:25" ht="20.25" customHeight="1">
      <c r="A25" s="1"/>
      <c r="B25" s="79">
        <v>7</v>
      </c>
      <c r="C25" s="38" t="s">
        <v>62</v>
      </c>
      <c r="D25" s="78" t="s">
        <v>62</v>
      </c>
      <c r="E25" s="38" t="s">
        <v>63</v>
      </c>
      <c r="F25" s="77" t="s">
        <v>64</v>
      </c>
      <c r="G25" s="37">
        <v>1</v>
      </c>
      <c r="H25" s="10">
        <v>3500</v>
      </c>
      <c r="I25" s="40">
        <v>7500</v>
      </c>
      <c r="J25" s="10">
        <f t="shared" si="1"/>
        <v>7394.5349999999999</v>
      </c>
      <c r="K25" s="43">
        <f t="shared" si="7"/>
        <v>6131.5116666666663</v>
      </c>
      <c r="L25" s="43">
        <f t="shared" si="3"/>
        <v>2279.5659576788594</v>
      </c>
      <c r="M25" s="43">
        <f t="shared" si="4"/>
        <v>3851.9457089878069</v>
      </c>
      <c r="N25" s="43">
        <f t="shared" si="5"/>
        <v>8411.0776243455257</v>
      </c>
      <c r="O25" s="43">
        <f t="shared" si="6"/>
        <v>7447</v>
      </c>
      <c r="P25" s="43">
        <f t="shared" si="8"/>
        <v>7447</v>
      </c>
      <c r="Q25" s="43">
        <f t="shared" si="2"/>
        <v>7450</v>
      </c>
      <c r="R25" s="1"/>
      <c r="S25" s="1"/>
      <c r="T25" s="1"/>
    </row>
    <row r="26" spans="1:25" ht="26.25" customHeight="1">
      <c r="A26" s="1"/>
      <c r="B26" s="79">
        <v>8</v>
      </c>
      <c r="C26" s="38" t="s">
        <v>65</v>
      </c>
      <c r="D26" s="78" t="s">
        <v>65</v>
      </c>
      <c r="E26" s="38" t="s">
        <v>66</v>
      </c>
      <c r="F26" s="74" t="s">
        <v>67</v>
      </c>
      <c r="G26" s="37">
        <v>1</v>
      </c>
      <c r="H26" s="10">
        <v>3500</v>
      </c>
      <c r="I26" s="40">
        <v>2500</v>
      </c>
      <c r="J26" s="10">
        <f t="shared" si="1"/>
        <v>7394.5349999999999</v>
      </c>
      <c r="K26" s="43">
        <f t="shared" si="7"/>
        <v>4464.8450000000003</v>
      </c>
      <c r="L26" s="43">
        <f t="shared" si="3"/>
        <v>2585.9838789279029</v>
      </c>
      <c r="M26" s="43">
        <f t="shared" si="4"/>
        <v>1878.8611210720974</v>
      </c>
      <c r="N26" s="43">
        <f t="shared" si="5"/>
        <v>7050.8288789279031</v>
      </c>
      <c r="O26" s="43">
        <f t="shared" si="6"/>
        <v>3000</v>
      </c>
      <c r="P26" s="43">
        <f t="shared" si="8"/>
        <v>3000</v>
      </c>
      <c r="Q26" s="43">
        <f t="shared" si="2"/>
        <v>3000</v>
      </c>
      <c r="R26" s="1"/>
      <c r="S26" s="1"/>
      <c r="T26" s="1"/>
    </row>
    <row r="27" spans="1:25" ht="20.25" customHeight="1">
      <c r="A27" s="1"/>
      <c r="B27" s="79">
        <v>9</v>
      </c>
      <c r="C27" s="85" t="s">
        <v>68</v>
      </c>
      <c r="D27" s="86" t="s">
        <v>68</v>
      </c>
      <c r="E27" s="38" t="s">
        <v>40</v>
      </c>
      <c r="F27" s="75" t="s">
        <v>68</v>
      </c>
      <c r="G27" s="37">
        <v>1</v>
      </c>
      <c r="H27" s="10">
        <v>3500</v>
      </c>
      <c r="I27" s="40">
        <v>8345</v>
      </c>
      <c r="J27" s="10">
        <f t="shared" si="1"/>
        <v>7394.5349999999999</v>
      </c>
      <c r="K27" s="43">
        <f t="shared" si="7"/>
        <v>6413.1783333333333</v>
      </c>
      <c r="L27" s="43">
        <f t="shared" si="3"/>
        <v>2567.2557197147962</v>
      </c>
      <c r="M27" s="43">
        <f t="shared" si="4"/>
        <v>3845.9226136185371</v>
      </c>
      <c r="N27" s="43">
        <f t="shared" si="5"/>
        <v>8980.4340530481295</v>
      </c>
      <c r="O27" s="43">
        <f t="shared" si="6"/>
        <v>7870</v>
      </c>
      <c r="P27" s="43">
        <f t="shared" si="8"/>
        <v>7870</v>
      </c>
      <c r="Q27" s="43">
        <f t="shared" si="2"/>
        <v>7870</v>
      </c>
      <c r="R27" s="1"/>
      <c r="S27" s="1"/>
      <c r="T27" s="1"/>
    </row>
    <row r="28" spans="1:25" ht="62.25" customHeight="1">
      <c r="A28" s="1"/>
      <c r="B28" s="79">
        <v>10</v>
      </c>
      <c r="C28" s="44" t="s">
        <v>69</v>
      </c>
      <c r="D28" s="83" t="s">
        <v>70</v>
      </c>
      <c r="E28" s="44" t="s">
        <v>38</v>
      </c>
      <c r="F28" s="76" t="s">
        <v>71</v>
      </c>
      <c r="G28" s="37">
        <v>1</v>
      </c>
      <c r="H28" s="10">
        <v>3500</v>
      </c>
      <c r="I28" s="40">
        <v>3592</v>
      </c>
      <c r="J28" s="10">
        <f t="shared" si="1"/>
        <v>7394.5349999999999</v>
      </c>
      <c r="K28" s="43">
        <f t="shared" si="7"/>
        <v>4828.8450000000003</v>
      </c>
      <c r="L28" s="43">
        <f t="shared" si="3"/>
        <v>2222.4288249739302</v>
      </c>
      <c r="M28" s="43">
        <f t="shared" si="4"/>
        <v>2606.4161750260701</v>
      </c>
      <c r="N28" s="43">
        <f t="shared" si="5"/>
        <v>7051.2738249739305</v>
      </c>
      <c r="O28" s="43">
        <f t="shared" si="6"/>
        <v>3546</v>
      </c>
      <c r="P28" s="43">
        <f t="shared" si="8"/>
        <v>3546</v>
      </c>
      <c r="Q28" s="43">
        <f t="shared" si="2"/>
        <v>3550</v>
      </c>
      <c r="R28" s="1"/>
      <c r="S28" s="1"/>
      <c r="T28" s="1"/>
    </row>
    <row r="29" spans="1:25" ht="20.25" customHeight="1">
      <c r="A29" s="1"/>
      <c r="B29" s="79">
        <v>11</v>
      </c>
      <c r="C29" s="38" t="s">
        <v>72</v>
      </c>
      <c r="D29" s="78" t="s">
        <v>72</v>
      </c>
      <c r="E29" s="38" t="s">
        <v>38</v>
      </c>
      <c r="F29" s="80" t="s">
        <v>73</v>
      </c>
      <c r="G29" s="37">
        <v>1</v>
      </c>
      <c r="H29" s="10"/>
      <c r="I29" s="40"/>
      <c r="J29" s="10">
        <f>(8883*9.5%)+8883</f>
        <v>9726.8850000000002</v>
      </c>
      <c r="K29" s="43">
        <f t="shared" si="7"/>
        <v>9726.8850000000002</v>
      </c>
      <c r="L29" s="43">
        <v>0</v>
      </c>
      <c r="M29" s="43">
        <f t="shared" si="4"/>
        <v>9726.8850000000002</v>
      </c>
      <c r="N29" s="43">
        <f t="shared" si="5"/>
        <v>9726.8850000000002</v>
      </c>
      <c r="O29" s="43">
        <f t="shared" si="6"/>
        <v>9727</v>
      </c>
      <c r="P29" s="43">
        <f t="shared" si="8"/>
        <v>9727</v>
      </c>
      <c r="Q29" s="43">
        <f t="shared" si="2"/>
        <v>9730</v>
      </c>
      <c r="R29" s="1"/>
      <c r="S29" s="1"/>
      <c r="T29" s="1"/>
    </row>
    <row r="30" spans="1:25" ht="20.25" customHeight="1">
      <c r="A30" s="1"/>
      <c r="B30" s="79">
        <v>12</v>
      </c>
      <c r="C30" s="38" t="s">
        <v>74</v>
      </c>
      <c r="D30" s="78" t="s">
        <v>74</v>
      </c>
      <c r="E30" s="38" t="s">
        <v>38</v>
      </c>
      <c r="F30" s="81" t="s">
        <v>74</v>
      </c>
      <c r="G30" s="37">
        <v>1</v>
      </c>
      <c r="H30" s="10"/>
      <c r="I30" s="40"/>
      <c r="J30" s="10">
        <f t="shared" si="1"/>
        <v>7394.5349999999999</v>
      </c>
      <c r="K30" s="43">
        <f t="shared" si="7"/>
        <v>7394.5349999999999</v>
      </c>
      <c r="L30" s="43">
        <v>0</v>
      </c>
      <c r="M30" s="43">
        <f t="shared" si="4"/>
        <v>7394.5349999999999</v>
      </c>
      <c r="N30" s="43">
        <f t="shared" si="5"/>
        <v>7394.5349999999999</v>
      </c>
      <c r="O30" s="43">
        <f t="shared" si="6"/>
        <v>7395</v>
      </c>
      <c r="P30" s="43">
        <f t="shared" si="8"/>
        <v>7395</v>
      </c>
      <c r="Q30" s="43">
        <f t="shared" si="2"/>
        <v>7400</v>
      </c>
      <c r="R30" s="1"/>
      <c r="S30" s="1"/>
      <c r="T30" s="1"/>
    </row>
    <row r="31" spans="1:25" ht="20.25" customHeight="1">
      <c r="A31" s="1"/>
      <c r="B31" s="89" t="s">
        <v>75</v>
      </c>
      <c r="C31" s="90"/>
      <c r="D31" s="90"/>
      <c r="E31" s="87">
        <f>MROUND((AVERAGE(O10:O30)),100)</f>
        <v>4500</v>
      </c>
      <c r="F31" s="45"/>
      <c r="G31" s="45"/>
      <c r="H31" s="1"/>
      <c r="I31" s="1"/>
      <c r="J31" s="1"/>
      <c r="O31" s="1"/>
      <c r="P31" s="1"/>
      <c r="Q31" s="1"/>
      <c r="R31" s="1"/>
      <c r="S31" s="1"/>
      <c r="T31" s="1"/>
      <c r="U31" s="1"/>
      <c r="Y31" s="114"/>
    </row>
    <row r="32" spans="1:25">
      <c r="A32" s="1"/>
      <c r="B32" s="92" t="s">
        <v>76</v>
      </c>
      <c r="C32" s="93"/>
      <c r="D32" s="93"/>
      <c r="E32" s="84">
        <f>'R. Caribe'!L17</f>
        <v>2006.21</v>
      </c>
      <c r="F32" s="1"/>
      <c r="G32" s="1"/>
      <c r="H32" s="1"/>
      <c r="I32" s="1"/>
      <c r="J32" s="1"/>
      <c r="O32" s="1"/>
      <c r="P32" s="1"/>
      <c r="Q32" s="1"/>
      <c r="R32" s="1"/>
      <c r="S32" s="1"/>
      <c r="T32" s="1"/>
      <c r="U32" s="1"/>
    </row>
    <row r="33" spans="1:27">
      <c r="A33" s="1"/>
      <c r="B33" s="94" t="s">
        <v>77</v>
      </c>
      <c r="C33" s="95"/>
      <c r="D33" s="95"/>
      <c r="E33" s="36">
        <v>200</v>
      </c>
      <c r="F33" s="1"/>
      <c r="G33" s="1"/>
      <c r="H33" s="1"/>
      <c r="I33" s="1"/>
      <c r="J33" s="1"/>
      <c r="O33" s="1"/>
      <c r="P33" s="1"/>
      <c r="Q33" s="1"/>
      <c r="R33" s="1"/>
      <c r="S33" s="1"/>
      <c r="T33" s="1"/>
      <c r="U33" s="1"/>
      <c r="Z33" s="115"/>
      <c r="AA33" s="114"/>
    </row>
    <row r="34" spans="1:27">
      <c r="A34" s="1"/>
      <c r="B34" s="94" t="s">
        <v>78</v>
      </c>
      <c r="C34" s="95"/>
      <c r="D34" s="95"/>
      <c r="E34" s="36">
        <f>'sedes de recoleccion'!B5</f>
        <v>7</v>
      </c>
      <c r="F34" s="1"/>
      <c r="G34" s="1"/>
      <c r="H34" s="1"/>
      <c r="I34" s="1"/>
      <c r="J34" s="1"/>
      <c r="O34" s="1"/>
      <c r="P34" s="1"/>
      <c r="Q34" s="1"/>
      <c r="R34" s="1"/>
      <c r="S34" s="1"/>
      <c r="T34" s="1"/>
      <c r="U34" s="1"/>
    </row>
    <row r="35" spans="1:27">
      <c r="A35" s="1"/>
      <c r="B35" s="94" t="s">
        <v>79</v>
      </c>
      <c r="C35" s="95"/>
      <c r="D35" s="95"/>
      <c r="E35" s="36">
        <f>(E34*E33)+E32</f>
        <v>3406.21</v>
      </c>
      <c r="F35" s="1"/>
      <c r="G35" s="1"/>
      <c r="H35" s="1"/>
      <c r="I35" s="1"/>
      <c r="J35" s="1"/>
      <c r="O35" s="1"/>
      <c r="P35" s="1"/>
      <c r="Q35" s="1"/>
      <c r="R35" s="1"/>
      <c r="S35" s="1"/>
      <c r="T35" s="1"/>
      <c r="U35" s="1"/>
    </row>
    <row r="36" spans="1:27" ht="15.75" thickBot="1">
      <c r="A36" s="1"/>
      <c r="B36" s="96" t="s">
        <v>80</v>
      </c>
      <c r="C36" s="97"/>
      <c r="D36" s="97"/>
      <c r="E36" s="46">
        <f>+E35*E31</f>
        <v>15327945</v>
      </c>
      <c r="F36" s="1"/>
      <c r="G36" s="82"/>
      <c r="H36" s="1"/>
      <c r="I36" s="1"/>
      <c r="J36" s="1"/>
      <c r="O36" s="1"/>
      <c r="P36" s="1"/>
      <c r="Q36" s="1"/>
      <c r="R36" s="1"/>
      <c r="S36" s="1"/>
      <c r="T36" s="1"/>
      <c r="U36" s="1"/>
    </row>
    <row r="37" spans="1:2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7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7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7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7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7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7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7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7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7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7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</sheetData>
  <mergeCells count="28">
    <mergeCell ref="K8:O8"/>
    <mergeCell ref="B7:O7"/>
    <mergeCell ref="H8:J8"/>
    <mergeCell ref="C22:C23"/>
    <mergeCell ref="C16:C18"/>
    <mergeCell ref="D10:D11"/>
    <mergeCell ref="C10:C11"/>
    <mergeCell ref="B10:B11"/>
    <mergeCell ref="P16:P18"/>
    <mergeCell ref="P19:P21"/>
    <mergeCell ref="P22:P23"/>
    <mergeCell ref="B22:B23"/>
    <mergeCell ref="C19:C21"/>
    <mergeCell ref="B19:B21"/>
    <mergeCell ref="D16:D18"/>
    <mergeCell ref="D19:D21"/>
    <mergeCell ref="D22:D23"/>
    <mergeCell ref="B16:B18"/>
    <mergeCell ref="P10:P11"/>
    <mergeCell ref="P12:P15"/>
    <mergeCell ref="D12:D15"/>
    <mergeCell ref="C12:C15"/>
    <mergeCell ref="B12:B15"/>
    <mergeCell ref="Q10:Q11"/>
    <mergeCell ref="Q12:Q15"/>
    <mergeCell ref="Q16:Q18"/>
    <mergeCell ref="Q19:Q21"/>
    <mergeCell ref="Q22:Q23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973D0-1668-40F7-BC8C-62188D573F7A}">
  <sheetPr>
    <tabColor theme="7" tint="0.39997558519241921"/>
  </sheetPr>
  <dimension ref="A1:AB59"/>
  <sheetViews>
    <sheetView topLeftCell="D16" zoomScale="85" zoomScaleNormal="85" workbookViewId="0">
      <selection activeCell="D34" sqref="D34"/>
    </sheetView>
  </sheetViews>
  <sheetFormatPr defaultColWidth="11.42578125" defaultRowHeight="15"/>
  <cols>
    <col min="3" max="3" width="29" customWidth="1"/>
    <col min="4" max="4" width="31.140625" customWidth="1"/>
    <col min="5" max="5" width="26.7109375" customWidth="1"/>
    <col min="6" max="6" width="74.85546875" hidden="1" customWidth="1"/>
    <col min="7" max="7" width="11.42578125" hidden="1" customWidth="1"/>
    <col min="8" max="8" width="14.28515625" hidden="1" customWidth="1"/>
    <col min="9" max="9" width="16.140625" hidden="1" customWidth="1"/>
    <col min="10" max="10" width="14.7109375" hidden="1" customWidth="1"/>
    <col min="11" max="11" width="15.85546875" hidden="1" customWidth="1"/>
    <col min="12" max="12" width="20" hidden="1" customWidth="1"/>
    <col min="13" max="13" width="14.140625" hidden="1" customWidth="1"/>
    <col min="14" max="14" width="28.140625" hidden="1" customWidth="1"/>
    <col min="15" max="15" width="16.28515625" customWidth="1"/>
    <col min="16" max="16" width="15.5703125" customWidth="1"/>
    <col min="17" max="17" width="14.5703125" customWidth="1"/>
  </cols>
  <sheetData>
    <row r="1" spans="1:28">
      <c r="A1" s="1"/>
      <c r="B1" s="1"/>
      <c r="C1" s="8"/>
      <c r="D1" s="8"/>
      <c r="E1" s="8"/>
      <c r="F1" s="8"/>
      <c r="G1" s="8"/>
      <c r="H1" s="8"/>
      <c r="I1" s="8"/>
      <c r="J1" s="8"/>
      <c r="K1" s="8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8">
      <c r="A2" s="1"/>
      <c r="B2" s="1"/>
      <c r="C2" s="8"/>
      <c r="D2" s="8"/>
      <c r="E2" s="8"/>
      <c r="F2" s="8"/>
      <c r="G2" s="8"/>
      <c r="H2" s="8"/>
      <c r="I2" s="8"/>
      <c r="J2" s="8"/>
      <c r="K2" s="8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8">
      <c r="A3" s="1"/>
      <c r="B3" s="1"/>
      <c r="C3" s="8"/>
      <c r="D3" s="8"/>
      <c r="E3" s="8"/>
      <c r="F3" s="8"/>
      <c r="G3" s="8"/>
      <c r="H3" s="8"/>
      <c r="I3" s="8"/>
      <c r="J3" s="8"/>
      <c r="K3" s="8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8">
      <c r="A4" s="1"/>
      <c r="B4" s="1"/>
      <c r="C4" s="8"/>
      <c r="D4" s="8"/>
      <c r="E4" s="8"/>
      <c r="F4" s="8"/>
      <c r="G4" s="8"/>
      <c r="H4" s="8"/>
      <c r="I4" s="8"/>
      <c r="J4" s="8"/>
      <c r="K4" s="8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8">
      <c r="A5" s="1"/>
      <c r="B5" s="1"/>
      <c r="C5" s="8"/>
      <c r="D5" s="8"/>
      <c r="E5" s="8"/>
      <c r="F5" s="8"/>
      <c r="G5" s="8"/>
      <c r="H5" s="8"/>
      <c r="I5" s="8"/>
      <c r="J5" s="8"/>
      <c r="K5" s="8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8" ht="15.75" thickBot="1">
      <c r="A6" s="2"/>
      <c r="B6" s="3"/>
      <c r="C6" s="3"/>
      <c r="D6" s="3"/>
      <c r="E6" s="3"/>
      <c r="F6" s="3"/>
      <c r="G6" s="1"/>
      <c r="H6" s="1"/>
      <c r="I6" s="8"/>
      <c r="J6" s="8"/>
      <c r="K6" s="8"/>
      <c r="L6" s="8"/>
      <c r="M6" s="8"/>
      <c r="N6" s="8"/>
      <c r="O6" s="8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26.25" customHeight="1" thickBot="1">
      <c r="A7" s="1"/>
      <c r="B7" s="128" t="s">
        <v>12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42"/>
      <c r="Q7" s="42"/>
      <c r="R7" s="1"/>
      <c r="S7" s="1"/>
      <c r="T7" s="1"/>
    </row>
    <row r="8" spans="1:28" ht="32.25" customHeight="1" thickBot="1">
      <c r="A8" s="1"/>
      <c r="B8" s="7" t="s">
        <v>13</v>
      </c>
      <c r="C8" s="4" t="s">
        <v>14</v>
      </c>
      <c r="D8" s="4" t="s">
        <v>15</v>
      </c>
      <c r="E8" s="5" t="s">
        <v>16</v>
      </c>
      <c r="F8" s="4" t="s">
        <v>17</v>
      </c>
      <c r="G8" s="6" t="s">
        <v>18</v>
      </c>
      <c r="H8" s="125" t="s">
        <v>19</v>
      </c>
      <c r="I8" s="126"/>
      <c r="J8" s="127"/>
      <c r="K8" s="125" t="s">
        <v>20</v>
      </c>
      <c r="L8" s="126"/>
      <c r="M8" s="126"/>
      <c r="N8" s="126"/>
      <c r="O8" s="127"/>
      <c r="P8" s="42"/>
      <c r="Q8" s="42"/>
      <c r="R8" s="1"/>
      <c r="S8" s="1"/>
      <c r="T8" s="1"/>
    </row>
    <row r="9" spans="1:28" ht="38.25" customHeight="1" thickBot="1">
      <c r="A9" s="1"/>
      <c r="B9" s="12"/>
      <c r="C9" s="4"/>
      <c r="D9" s="4"/>
      <c r="E9" s="4"/>
      <c r="F9" s="4"/>
      <c r="G9" s="4"/>
      <c r="H9" s="4" t="s">
        <v>21</v>
      </c>
      <c r="I9" s="13" t="s">
        <v>22</v>
      </c>
      <c r="J9" s="42" t="s">
        <v>23</v>
      </c>
      <c r="K9" s="42" t="s">
        <v>24</v>
      </c>
      <c r="L9" s="42" t="s">
        <v>25</v>
      </c>
      <c r="M9" s="42" t="s">
        <v>26</v>
      </c>
      <c r="N9" s="42" t="s">
        <v>27</v>
      </c>
      <c r="O9" s="42" t="s">
        <v>28</v>
      </c>
      <c r="P9" s="42" t="s">
        <v>29</v>
      </c>
      <c r="Q9" s="42" t="s">
        <v>6</v>
      </c>
      <c r="R9" s="1"/>
      <c r="S9" s="1"/>
      <c r="T9" s="1"/>
    </row>
    <row r="10" spans="1:28" ht="20.25" customHeight="1">
      <c r="A10" s="1"/>
      <c r="B10" s="135">
        <v>1</v>
      </c>
      <c r="C10" s="133" t="s">
        <v>30</v>
      </c>
      <c r="D10" s="131" t="s">
        <v>31</v>
      </c>
      <c r="E10" s="38" t="s">
        <v>32</v>
      </c>
      <c r="F10" s="68" t="s">
        <v>33</v>
      </c>
      <c r="G10" s="37">
        <v>1</v>
      </c>
      <c r="H10" s="10"/>
      <c r="I10" s="39">
        <v>2800</v>
      </c>
      <c r="J10" s="9">
        <f>(6586*9.5%)+6586</f>
        <v>7211.67</v>
      </c>
      <c r="K10" s="43">
        <f t="shared" ref="K10:K15" si="0">AVERAGE(H10:J10)</f>
        <v>5005.835</v>
      </c>
      <c r="L10" s="43">
        <f>STDEVA(H10:J10)</f>
        <v>3119.5217733572558</v>
      </c>
      <c r="M10" s="43">
        <f>+K10-L10</f>
        <v>1886.3132266427442</v>
      </c>
      <c r="N10" s="43">
        <f>+K10+L10</f>
        <v>8125.3567733572563</v>
      </c>
      <c r="O10" s="43">
        <f>ROUND(AVERAGEIFS(H10:J10,H10:J10, "&gt;= "&amp;M10,H10:J10, "&lt;= "&amp;N10),0)</f>
        <v>5006</v>
      </c>
      <c r="P10" s="120">
        <f>AVERAGE(O10:O11)</f>
        <v>5051.5</v>
      </c>
      <c r="Q10" s="120">
        <f>MROUND(P10,10)</f>
        <v>5050</v>
      </c>
      <c r="R10" s="1"/>
      <c r="S10" s="1"/>
      <c r="T10" s="1"/>
    </row>
    <row r="11" spans="1:28" ht="20.25" customHeight="1">
      <c r="A11" s="1"/>
      <c r="B11" s="136"/>
      <c r="C11" s="134"/>
      <c r="D11" s="132"/>
      <c r="E11" s="38" t="s">
        <v>34</v>
      </c>
      <c r="F11" s="68" t="s">
        <v>35</v>
      </c>
      <c r="G11" s="37">
        <v>1</v>
      </c>
      <c r="H11" s="10"/>
      <c r="I11" s="40">
        <v>2800</v>
      </c>
      <c r="J11" s="10">
        <f t="shared" ref="J11" si="1">(6753*9.5%)+6753</f>
        <v>7394.5349999999999</v>
      </c>
      <c r="K11" s="43">
        <f t="shared" si="0"/>
        <v>5097.2674999999999</v>
      </c>
      <c r="L11" s="43">
        <f>STDEVA(H11:J11)</f>
        <v>3248.8268548989331</v>
      </c>
      <c r="M11" s="43">
        <f>+K11-L11</f>
        <v>1848.4406451010668</v>
      </c>
      <c r="N11" s="43">
        <f>+K11+L11</f>
        <v>8346.0943548989326</v>
      </c>
      <c r="O11" s="43">
        <f>ROUND(AVERAGEIFS(H11:J11,H11:J11, "&gt;= "&amp;M11,H11:J11, "&lt;= "&amp;N11),0)</f>
        <v>5097</v>
      </c>
      <c r="P11" s="121"/>
      <c r="Q11" s="121"/>
      <c r="R11" s="1"/>
      <c r="S11" s="1"/>
      <c r="T11" s="1"/>
    </row>
    <row r="12" spans="1:28" ht="20.25" customHeight="1">
      <c r="A12" s="1"/>
      <c r="B12" s="124">
        <v>2</v>
      </c>
      <c r="C12" s="123" t="s">
        <v>36</v>
      </c>
      <c r="D12" s="123" t="s">
        <v>36</v>
      </c>
      <c r="E12" s="38" t="s">
        <v>34</v>
      </c>
      <c r="F12" s="71" t="s">
        <v>37</v>
      </c>
      <c r="G12" s="37">
        <v>1</v>
      </c>
      <c r="H12" s="10"/>
      <c r="I12" s="40">
        <v>8000</v>
      </c>
      <c r="J12" s="10">
        <f t="shared" ref="J12" si="2">(6586*9.5%)+6586</f>
        <v>7211.67</v>
      </c>
      <c r="K12" s="43">
        <f t="shared" si="0"/>
        <v>7605.835</v>
      </c>
      <c r="L12" s="43">
        <f>STDEVA(H12:J12)</f>
        <v>557.43348881279098</v>
      </c>
      <c r="M12" s="43">
        <f>+K12-L12</f>
        <v>7048.4015111872086</v>
      </c>
      <c r="N12" s="43">
        <f>+K12+L12</f>
        <v>8163.2684888127915</v>
      </c>
      <c r="O12" s="43">
        <f>ROUND(AVERAGEIFS(H12:J12,H12:J12, "&gt;= "&amp;M12,H12:J12, "&lt;= "&amp;N12),0)</f>
        <v>7606</v>
      </c>
      <c r="P12" s="120">
        <f>ROUND(AVERAGE(O12:O15),100)</f>
        <v>5231</v>
      </c>
      <c r="Q12" s="120">
        <f t="shared" ref="Q12:Q30" si="3">MROUND(P12,10)</f>
        <v>5230</v>
      </c>
      <c r="R12" s="1"/>
      <c r="S12" s="1"/>
      <c r="T12" s="1"/>
    </row>
    <row r="13" spans="1:28" ht="20.25" customHeight="1" thickBot="1">
      <c r="A13" s="1"/>
      <c r="B13" s="124"/>
      <c r="C13" s="123"/>
      <c r="D13" s="123"/>
      <c r="E13" s="38" t="s">
        <v>38</v>
      </c>
      <c r="F13" s="71" t="s">
        <v>39</v>
      </c>
      <c r="G13" s="37">
        <v>1</v>
      </c>
      <c r="H13" s="10"/>
      <c r="I13" s="41">
        <v>1000</v>
      </c>
      <c r="J13" s="11">
        <f t="shared" ref="J13" si="4">(6586*9.5%)+6586</f>
        <v>7211.67</v>
      </c>
      <c r="K13" s="43">
        <f t="shared" si="0"/>
        <v>4105.835</v>
      </c>
      <c r="L13" s="43">
        <f>STDEVA(H13:J13)</f>
        <v>4392.3139794930421</v>
      </c>
      <c r="M13" s="43">
        <f>+K13-L13</f>
        <v>-286.47897949304206</v>
      </c>
      <c r="N13" s="43">
        <f>+K13+L13</f>
        <v>8498.1489794930421</v>
      </c>
      <c r="O13" s="43">
        <f>ROUND(AVERAGEIFS(H13:J13,H13:J13, "&gt;= "&amp;M13,H13:J13, "&lt;= "&amp;N13),0)</f>
        <v>4106</v>
      </c>
      <c r="P13" s="122"/>
      <c r="Q13" s="122"/>
      <c r="R13" s="1"/>
      <c r="S13" s="1"/>
      <c r="T13" s="1"/>
    </row>
    <row r="14" spans="1:28" ht="20.25" customHeight="1">
      <c r="A14" s="1"/>
      <c r="B14" s="124"/>
      <c r="C14" s="123"/>
      <c r="D14" s="123"/>
      <c r="E14" s="38" t="s">
        <v>40</v>
      </c>
      <c r="F14" s="71" t="s">
        <v>41</v>
      </c>
      <c r="G14" s="37">
        <v>1</v>
      </c>
      <c r="H14" s="10"/>
      <c r="I14" s="40">
        <v>1000</v>
      </c>
      <c r="J14" s="10">
        <f t="shared" ref="J14" si="5">(6586*9.5%)+6586</f>
        <v>7211.67</v>
      </c>
      <c r="K14" s="43">
        <f t="shared" si="0"/>
        <v>4105.835</v>
      </c>
      <c r="L14" s="43">
        <f>STDEVA(H14:J14)</f>
        <v>4392.3139794930421</v>
      </c>
      <c r="M14" s="43">
        <f>+K14-L14</f>
        <v>-286.47897949304206</v>
      </c>
      <c r="N14" s="43">
        <f>+K14+L14</f>
        <v>8498.1489794930421</v>
      </c>
      <c r="O14" s="43">
        <f>ROUND(AVERAGEIFS(H14:J14,H14:J14, "&gt;= "&amp;M14,H14:J14, "&lt;= "&amp;N14),0)</f>
        <v>4106</v>
      </c>
      <c r="P14" s="122"/>
      <c r="Q14" s="122"/>
      <c r="R14" s="1"/>
      <c r="S14" s="1"/>
      <c r="T14" s="1"/>
    </row>
    <row r="15" spans="1:28" ht="18.75" customHeight="1">
      <c r="A15" s="1"/>
      <c r="B15" s="124"/>
      <c r="C15" s="123"/>
      <c r="D15" s="123"/>
      <c r="E15" s="38" t="s">
        <v>42</v>
      </c>
      <c r="F15" s="71" t="s">
        <v>43</v>
      </c>
      <c r="G15" s="37">
        <v>1</v>
      </c>
      <c r="H15" s="10"/>
      <c r="I15" s="40">
        <v>3000</v>
      </c>
      <c r="J15" s="10">
        <f>(6586*9.5%)+6586</f>
        <v>7211.67</v>
      </c>
      <c r="K15" s="43">
        <f t="shared" si="0"/>
        <v>5105.835</v>
      </c>
      <c r="L15" s="43">
        <f t="shared" ref="L15:L28" si="6">STDEVA(H15:J15)</f>
        <v>2978.1004171199461</v>
      </c>
      <c r="M15" s="43">
        <f t="shared" ref="M15:M30" si="7">+K15-L15</f>
        <v>2127.7345828800539</v>
      </c>
      <c r="N15" s="43">
        <f t="shared" ref="N15:N30" si="8">+K15+L15</f>
        <v>8083.9354171199466</v>
      </c>
      <c r="O15" s="43">
        <f t="shared" ref="O15:O30" si="9">ROUND(AVERAGEIFS(H15:J15,H15:J15, "&gt;= "&amp;M15,H15:J15, "&lt;= "&amp;N15),0)</f>
        <v>5106</v>
      </c>
      <c r="P15" s="121"/>
      <c r="Q15" s="121"/>
      <c r="R15" s="1"/>
      <c r="S15" s="1"/>
      <c r="T15" s="1"/>
    </row>
    <row r="16" spans="1:28" ht="20.25" customHeight="1">
      <c r="A16" s="1"/>
      <c r="B16" s="124">
        <v>3</v>
      </c>
      <c r="C16" s="130" t="s">
        <v>44</v>
      </c>
      <c r="D16" s="123" t="s">
        <v>45</v>
      </c>
      <c r="E16" s="38" t="s">
        <v>42</v>
      </c>
      <c r="F16" s="70" t="s">
        <v>46</v>
      </c>
      <c r="G16" s="37">
        <v>1</v>
      </c>
      <c r="H16" s="10"/>
      <c r="I16" s="40">
        <v>2850</v>
      </c>
      <c r="J16" s="10">
        <f t="shared" ref="J16:J18" si="10">(6586*9.5%)+6586</f>
        <v>7211.67</v>
      </c>
      <c r="K16" s="43">
        <f t="shared" ref="K16:K30" si="11">AVERAGE(H16:J16)</f>
        <v>5030.835</v>
      </c>
      <c r="L16" s="43">
        <f t="shared" si="6"/>
        <v>3084.1664342979284</v>
      </c>
      <c r="M16" s="43">
        <f t="shared" si="7"/>
        <v>1946.6685657020716</v>
      </c>
      <c r="N16" s="43">
        <f t="shared" si="8"/>
        <v>8115.0014342979284</v>
      </c>
      <c r="O16" s="43">
        <f t="shared" si="9"/>
        <v>5031</v>
      </c>
      <c r="P16" s="120">
        <f>AVERAGE(O16:O18)</f>
        <v>5414.333333333333</v>
      </c>
      <c r="Q16" s="120">
        <f t="shared" si="3"/>
        <v>5410</v>
      </c>
      <c r="R16" s="1"/>
      <c r="S16" s="1"/>
      <c r="T16" s="1"/>
    </row>
    <row r="17" spans="1:20" ht="20.25" customHeight="1">
      <c r="A17" s="1"/>
      <c r="B17" s="124"/>
      <c r="C17" s="130"/>
      <c r="D17" s="123"/>
      <c r="E17" s="38" t="s">
        <v>42</v>
      </c>
      <c r="F17" s="70" t="s">
        <v>47</v>
      </c>
      <c r="G17" s="37">
        <v>1</v>
      </c>
      <c r="H17" s="10"/>
      <c r="I17" s="40">
        <v>3000</v>
      </c>
      <c r="J17" s="10">
        <f t="shared" si="10"/>
        <v>7211.67</v>
      </c>
      <c r="K17" s="43">
        <f t="shared" si="11"/>
        <v>5105.835</v>
      </c>
      <c r="L17" s="43">
        <f t="shared" si="6"/>
        <v>2978.1004171199461</v>
      </c>
      <c r="M17" s="43">
        <f t="shared" si="7"/>
        <v>2127.7345828800539</v>
      </c>
      <c r="N17" s="43">
        <f t="shared" si="8"/>
        <v>8083.9354171199466</v>
      </c>
      <c r="O17" s="43">
        <f t="shared" si="9"/>
        <v>5106</v>
      </c>
      <c r="P17" s="122"/>
      <c r="Q17" s="122"/>
      <c r="R17" s="1"/>
      <c r="S17" s="1"/>
      <c r="T17" s="1"/>
    </row>
    <row r="18" spans="1:20" ht="20.25" customHeight="1">
      <c r="A18" s="1"/>
      <c r="B18" s="124"/>
      <c r="C18" s="130"/>
      <c r="D18" s="123"/>
      <c r="E18" s="38" t="s">
        <v>42</v>
      </c>
      <c r="F18" s="70" t="s">
        <v>48</v>
      </c>
      <c r="G18" s="37">
        <v>1</v>
      </c>
      <c r="H18" s="10"/>
      <c r="I18" s="40">
        <v>5000</v>
      </c>
      <c r="J18" s="10">
        <f t="shared" si="10"/>
        <v>7211.67</v>
      </c>
      <c r="K18" s="43">
        <f t="shared" si="11"/>
        <v>6105.835</v>
      </c>
      <c r="L18" s="43">
        <f t="shared" si="6"/>
        <v>1563.8868547468505</v>
      </c>
      <c r="M18" s="43">
        <f t="shared" si="7"/>
        <v>4541.9481452531491</v>
      </c>
      <c r="N18" s="43">
        <f t="shared" si="8"/>
        <v>7669.721854746851</v>
      </c>
      <c r="O18" s="43">
        <f t="shared" si="9"/>
        <v>6106</v>
      </c>
      <c r="P18" s="121"/>
      <c r="Q18" s="121"/>
      <c r="R18" s="1"/>
      <c r="S18" s="1"/>
      <c r="T18" s="1"/>
    </row>
    <row r="19" spans="1:20" ht="20.25" customHeight="1">
      <c r="A19" s="1"/>
      <c r="B19" s="124">
        <v>4</v>
      </c>
      <c r="C19" s="123" t="s">
        <v>49</v>
      </c>
      <c r="D19" s="123" t="s">
        <v>49</v>
      </c>
      <c r="E19" s="38" t="s">
        <v>50</v>
      </c>
      <c r="F19" s="72" t="s">
        <v>51</v>
      </c>
      <c r="G19" s="37">
        <v>1</v>
      </c>
      <c r="H19" s="10"/>
      <c r="I19" s="40">
        <v>2700</v>
      </c>
      <c r="J19" s="10">
        <f t="shared" ref="J19:J21" si="12">(6586*9.5%)+6586</f>
        <v>7211.67</v>
      </c>
      <c r="K19" s="43">
        <f t="shared" si="11"/>
        <v>4955.835</v>
      </c>
      <c r="L19" s="43">
        <f t="shared" si="6"/>
        <v>3190.2324514759102</v>
      </c>
      <c r="M19" s="43">
        <f t="shared" si="7"/>
        <v>1765.6025485240898</v>
      </c>
      <c r="N19" s="43">
        <f t="shared" si="8"/>
        <v>8146.0674514759103</v>
      </c>
      <c r="O19" s="43">
        <f t="shared" si="9"/>
        <v>4956</v>
      </c>
      <c r="P19" s="120">
        <f>AVERAGE(O19:O21)</f>
        <v>5239.333333333333</v>
      </c>
      <c r="Q19" s="120">
        <f t="shared" si="3"/>
        <v>5240</v>
      </c>
      <c r="R19" s="1"/>
      <c r="S19" s="1"/>
      <c r="T19" s="1"/>
    </row>
    <row r="20" spans="1:20" ht="20.25" customHeight="1">
      <c r="A20" s="1"/>
      <c r="B20" s="124"/>
      <c r="C20" s="123"/>
      <c r="D20" s="123"/>
      <c r="E20" s="38" t="s">
        <v>40</v>
      </c>
      <c r="F20" s="72" t="s">
        <v>52</v>
      </c>
      <c r="G20" s="37">
        <v>1</v>
      </c>
      <c r="H20" s="10"/>
      <c r="I20" s="40">
        <v>6300</v>
      </c>
      <c r="J20" s="10">
        <f t="shared" si="12"/>
        <v>7211.67</v>
      </c>
      <c r="K20" s="43">
        <f>AVERAGE(H20:J20)</f>
        <v>6755.835</v>
      </c>
      <c r="L20" s="43">
        <f>STDEVA(H20:J20)</f>
        <v>644.64803920433985</v>
      </c>
      <c r="M20" s="43">
        <f>+K20-L20</f>
        <v>6111.1869607956605</v>
      </c>
      <c r="N20" s="43">
        <f>+K20+L20</f>
        <v>7400.4830392043395</v>
      </c>
      <c r="O20" s="43">
        <f>ROUND(AVERAGEIFS(H20:J20,H20:J20, "&gt;= "&amp;M20,H20:J20, "&lt;= "&amp;N20),0)</f>
        <v>6756</v>
      </c>
      <c r="P20" s="122"/>
      <c r="Q20" s="122"/>
      <c r="R20" s="1"/>
      <c r="S20" s="1"/>
      <c r="T20" s="1"/>
    </row>
    <row r="21" spans="1:20" ht="20.25" customHeight="1">
      <c r="A21" s="1"/>
      <c r="B21" s="124"/>
      <c r="C21" s="123"/>
      <c r="D21" s="123"/>
      <c r="E21" s="38" t="s">
        <v>40</v>
      </c>
      <c r="F21" s="72" t="s">
        <v>53</v>
      </c>
      <c r="G21" s="37">
        <v>1</v>
      </c>
      <c r="H21" s="10"/>
      <c r="I21" s="40">
        <v>800</v>
      </c>
      <c r="J21" s="10">
        <f t="shared" si="12"/>
        <v>7211.67</v>
      </c>
      <c r="K21" s="43">
        <f>AVERAGE(H21:J21)</f>
        <v>4005.835</v>
      </c>
      <c r="L21" s="43">
        <f>STDEVA(H21:J21)</f>
        <v>4533.7353357303509</v>
      </c>
      <c r="M21" s="43">
        <f>+K21-L21</f>
        <v>-527.90033573035089</v>
      </c>
      <c r="N21" s="43">
        <f>+K21+L21</f>
        <v>8539.5703357303501</v>
      </c>
      <c r="O21" s="43">
        <f>ROUND(AVERAGEIFS(H21:J21,H21:J21, "&gt;= "&amp;M21,H21:J21, "&lt;= "&amp;N21),0)</f>
        <v>4006</v>
      </c>
      <c r="P21" s="121"/>
      <c r="Q21" s="121"/>
      <c r="R21" s="1"/>
      <c r="S21" s="1"/>
      <c r="T21" s="1"/>
    </row>
    <row r="22" spans="1:20" ht="20.25" customHeight="1">
      <c r="A22" s="1"/>
      <c r="B22" s="124">
        <v>5</v>
      </c>
      <c r="C22" s="130" t="s">
        <v>54</v>
      </c>
      <c r="D22" s="123" t="s">
        <v>55</v>
      </c>
      <c r="E22" s="38" t="s">
        <v>56</v>
      </c>
      <c r="F22" s="69" t="s">
        <v>57</v>
      </c>
      <c r="G22" s="37">
        <v>1</v>
      </c>
      <c r="H22" s="10"/>
      <c r="I22" s="40">
        <v>3800</v>
      </c>
      <c r="J22" s="10">
        <f t="shared" ref="J22:J23" si="13">(6586*9.5%)+6586</f>
        <v>7211.67</v>
      </c>
      <c r="K22" s="43">
        <f t="shared" si="11"/>
        <v>5505.835</v>
      </c>
      <c r="L22" s="43">
        <f t="shared" si="6"/>
        <v>2412.414992170708</v>
      </c>
      <c r="M22" s="43">
        <f t="shared" si="7"/>
        <v>3093.420007829292</v>
      </c>
      <c r="N22" s="43">
        <f t="shared" si="8"/>
        <v>7918.2499921707076</v>
      </c>
      <c r="O22" s="43">
        <f t="shared" si="9"/>
        <v>5506</v>
      </c>
      <c r="P22" s="120">
        <f>AVERAGE(O22:O23)</f>
        <v>5031</v>
      </c>
      <c r="Q22" s="120">
        <f t="shared" si="3"/>
        <v>5030</v>
      </c>
      <c r="R22" s="1"/>
      <c r="S22" s="1"/>
      <c r="T22" s="1"/>
    </row>
    <row r="23" spans="1:20" ht="70.5" customHeight="1">
      <c r="A23" s="1"/>
      <c r="B23" s="124"/>
      <c r="C23" s="130"/>
      <c r="D23" s="123"/>
      <c r="E23" s="38" t="s">
        <v>58</v>
      </c>
      <c r="F23" s="69" t="s">
        <v>59</v>
      </c>
      <c r="G23" s="37">
        <v>1</v>
      </c>
      <c r="H23" s="10"/>
      <c r="I23" s="40">
        <v>1900</v>
      </c>
      <c r="J23" s="10">
        <f t="shared" si="13"/>
        <v>7211.67</v>
      </c>
      <c r="K23" s="43">
        <f t="shared" si="11"/>
        <v>4555.835</v>
      </c>
      <c r="L23" s="43">
        <f t="shared" si="6"/>
        <v>3755.9178764251496</v>
      </c>
      <c r="M23" s="43">
        <f t="shared" si="7"/>
        <v>799.91712357485039</v>
      </c>
      <c r="N23" s="43">
        <f t="shared" si="8"/>
        <v>8311.7528764251492</v>
      </c>
      <c r="O23" s="43">
        <f t="shared" si="9"/>
        <v>4556</v>
      </c>
      <c r="P23" s="121"/>
      <c r="Q23" s="121"/>
      <c r="R23" s="1"/>
      <c r="S23" s="1"/>
      <c r="T23" s="1"/>
    </row>
    <row r="24" spans="1:20" ht="20.25" customHeight="1">
      <c r="A24" s="1"/>
      <c r="B24" s="79">
        <v>6</v>
      </c>
      <c r="C24" s="38" t="s">
        <v>60</v>
      </c>
      <c r="D24" s="78" t="s">
        <v>60</v>
      </c>
      <c r="E24" s="38" t="s">
        <v>61</v>
      </c>
      <c r="F24" s="73" t="s">
        <v>60</v>
      </c>
      <c r="G24" s="37">
        <v>1</v>
      </c>
      <c r="H24" s="10"/>
      <c r="I24" s="40">
        <v>3800</v>
      </c>
      <c r="J24" s="10">
        <f t="shared" ref="J24" si="14">(6586*9.5%)+6586</f>
        <v>7211.67</v>
      </c>
      <c r="K24" s="43">
        <f t="shared" si="11"/>
        <v>5505.835</v>
      </c>
      <c r="L24" s="43">
        <f t="shared" si="6"/>
        <v>2412.414992170708</v>
      </c>
      <c r="M24" s="43">
        <f t="shared" si="7"/>
        <v>3093.420007829292</v>
      </c>
      <c r="N24" s="43">
        <f t="shared" si="8"/>
        <v>7918.2499921707076</v>
      </c>
      <c r="O24" s="43">
        <f t="shared" si="9"/>
        <v>5506</v>
      </c>
      <c r="P24" s="43">
        <f t="shared" ref="P24:P30" si="15">O24</f>
        <v>5506</v>
      </c>
      <c r="Q24" s="43">
        <f t="shared" si="3"/>
        <v>5510</v>
      </c>
      <c r="R24" s="1"/>
      <c r="S24" s="1"/>
      <c r="T24" s="1"/>
    </row>
    <row r="25" spans="1:20" ht="20.25" customHeight="1">
      <c r="A25" s="1"/>
      <c r="B25" s="79">
        <v>7</v>
      </c>
      <c r="C25" s="38" t="s">
        <v>62</v>
      </c>
      <c r="D25" s="78" t="s">
        <v>62</v>
      </c>
      <c r="E25" s="38" t="s">
        <v>63</v>
      </c>
      <c r="F25" s="77" t="s">
        <v>64</v>
      </c>
      <c r="G25" s="37">
        <v>1</v>
      </c>
      <c r="H25" s="10"/>
      <c r="I25" s="40">
        <v>7500</v>
      </c>
      <c r="J25" s="10">
        <f t="shared" ref="J25" si="16">(6586*9.5%)+6586</f>
        <v>7211.67</v>
      </c>
      <c r="K25" s="43">
        <f t="shared" si="11"/>
        <v>7355.835</v>
      </c>
      <c r="L25" s="43">
        <f t="shared" si="6"/>
        <v>203.88009821951721</v>
      </c>
      <c r="M25" s="43">
        <f t="shared" si="7"/>
        <v>7151.9549017804829</v>
      </c>
      <c r="N25" s="43">
        <f t="shared" si="8"/>
        <v>7559.7150982195171</v>
      </c>
      <c r="O25" s="43">
        <f t="shared" si="9"/>
        <v>7356</v>
      </c>
      <c r="P25" s="43">
        <f t="shared" si="15"/>
        <v>7356</v>
      </c>
      <c r="Q25" s="43">
        <f t="shared" si="3"/>
        <v>7360</v>
      </c>
      <c r="R25" s="1"/>
      <c r="S25" s="1"/>
      <c r="T25" s="1"/>
    </row>
    <row r="26" spans="1:20" ht="26.25" customHeight="1">
      <c r="A26" s="1"/>
      <c r="B26" s="79">
        <v>8</v>
      </c>
      <c r="C26" s="38" t="s">
        <v>65</v>
      </c>
      <c r="D26" s="78" t="s">
        <v>65</v>
      </c>
      <c r="E26" s="38" t="s">
        <v>66</v>
      </c>
      <c r="F26" s="74" t="s">
        <v>67</v>
      </c>
      <c r="G26" s="37">
        <v>1</v>
      </c>
      <c r="H26" s="10"/>
      <c r="I26" s="40">
        <v>2500</v>
      </c>
      <c r="J26" s="10">
        <f t="shared" ref="J26" si="17">(6586*9.5%)+6586</f>
        <v>7211.67</v>
      </c>
      <c r="K26" s="43">
        <f t="shared" si="11"/>
        <v>4855.835</v>
      </c>
      <c r="L26" s="43">
        <f t="shared" si="6"/>
        <v>3331.65380771322</v>
      </c>
      <c r="M26" s="43">
        <f t="shared" si="7"/>
        <v>1524.1811922867801</v>
      </c>
      <c r="N26" s="43">
        <f t="shared" si="8"/>
        <v>8187.48880771322</v>
      </c>
      <c r="O26" s="43">
        <f t="shared" si="9"/>
        <v>4856</v>
      </c>
      <c r="P26" s="43">
        <f t="shared" si="15"/>
        <v>4856</v>
      </c>
      <c r="Q26" s="43">
        <f t="shared" si="3"/>
        <v>4860</v>
      </c>
      <c r="R26" s="1"/>
      <c r="S26" s="1"/>
      <c r="T26" s="1"/>
    </row>
    <row r="27" spans="1:20" ht="20.25" customHeight="1">
      <c r="A27" s="1"/>
      <c r="B27" s="79">
        <v>9</v>
      </c>
      <c r="C27" s="85" t="s">
        <v>68</v>
      </c>
      <c r="D27" s="86" t="s">
        <v>68</v>
      </c>
      <c r="E27" s="38" t="s">
        <v>40</v>
      </c>
      <c r="F27" s="75" t="s">
        <v>68</v>
      </c>
      <c r="G27" s="37">
        <v>1</v>
      </c>
      <c r="H27" s="10"/>
      <c r="I27" s="40">
        <v>8345</v>
      </c>
      <c r="J27" s="10">
        <f t="shared" ref="J27" si="18">(6586*9.5%)+6586</f>
        <v>7211.67</v>
      </c>
      <c r="K27" s="43">
        <f t="shared" si="11"/>
        <v>7778.335</v>
      </c>
      <c r="L27" s="43">
        <f t="shared" si="6"/>
        <v>801.38532832214992</v>
      </c>
      <c r="M27" s="43">
        <f t="shared" si="7"/>
        <v>6976.9496716778503</v>
      </c>
      <c r="N27" s="43">
        <f t="shared" si="8"/>
        <v>8579.7203283221497</v>
      </c>
      <c r="O27" s="43">
        <f t="shared" si="9"/>
        <v>7778</v>
      </c>
      <c r="P27" s="43">
        <f t="shared" si="15"/>
        <v>7778</v>
      </c>
      <c r="Q27" s="43">
        <f t="shared" si="3"/>
        <v>7780</v>
      </c>
      <c r="R27" s="1"/>
      <c r="S27" s="1"/>
      <c r="T27" s="1"/>
    </row>
    <row r="28" spans="1:20" ht="62.25" customHeight="1">
      <c r="A28" s="1"/>
      <c r="B28" s="79">
        <v>10</v>
      </c>
      <c r="C28" s="44" t="s">
        <v>69</v>
      </c>
      <c r="D28" s="83" t="s">
        <v>70</v>
      </c>
      <c r="E28" s="44" t="s">
        <v>38</v>
      </c>
      <c r="F28" s="76" t="s">
        <v>71</v>
      </c>
      <c r="G28" s="37">
        <v>1</v>
      </c>
      <c r="H28" s="10"/>
      <c r="I28" s="40">
        <v>3592</v>
      </c>
      <c r="J28" s="10">
        <f t="shared" ref="J28" si="19">(6586*9.5%)+6586</f>
        <v>7211.67</v>
      </c>
      <c r="K28" s="43">
        <f t="shared" si="11"/>
        <v>5401.835</v>
      </c>
      <c r="L28" s="43">
        <f t="shared" si="6"/>
        <v>2559.4932026575111</v>
      </c>
      <c r="M28" s="43">
        <f t="shared" si="7"/>
        <v>2842.3417973424889</v>
      </c>
      <c r="N28" s="43">
        <f t="shared" si="8"/>
        <v>7961.3282026575107</v>
      </c>
      <c r="O28" s="43">
        <f t="shared" si="9"/>
        <v>5402</v>
      </c>
      <c r="P28" s="43">
        <f t="shared" si="15"/>
        <v>5402</v>
      </c>
      <c r="Q28" s="43">
        <f t="shared" si="3"/>
        <v>5400</v>
      </c>
      <c r="R28" s="1"/>
      <c r="S28" s="1"/>
      <c r="T28" s="1"/>
    </row>
    <row r="29" spans="1:20" ht="20.25" customHeight="1">
      <c r="A29" s="1"/>
      <c r="B29" s="79">
        <v>11</v>
      </c>
      <c r="C29" s="38" t="s">
        <v>72</v>
      </c>
      <c r="D29" s="78" t="s">
        <v>72</v>
      </c>
      <c r="E29" s="38" t="s">
        <v>38</v>
      </c>
      <c r="F29" s="80" t="s">
        <v>73</v>
      </c>
      <c r="G29" s="37">
        <v>1</v>
      </c>
      <c r="H29" s="10"/>
      <c r="I29" s="40"/>
      <c r="J29" s="10">
        <f>(8500*9.5%)+8500</f>
        <v>9307.5</v>
      </c>
      <c r="K29" s="43">
        <f t="shared" si="11"/>
        <v>9307.5</v>
      </c>
      <c r="L29" s="43">
        <v>0</v>
      </c>
      <c r="M29" s="43">
        <f t="shared" si="7"/>
        <v>9307.5</v>
      </c>
      <c r="N29" s="43">
        <f t="shared" si="8"/>
        <v>9307.5</v>
      </c>
      <c r="O29" s="43">
        <f t="shared" si="9"/>
        <v>9308</v>
      </c>
      <c r="P29" s="43">
        <f t="shared" si="15"/>
        <v>9308</v>
      </c>
      <c r="Q29" s="43">
        <f t="shared" si="3"/>
        <v>9310</v>
      </c>
      <c r="R29" s="1"/>
      <c r="S29" s="1"/>
      <c r="T29" s="1"/>
    </row>
    <row r="30" spans="1:20" ht="20.25" customHeight="1">
      <c r="A30" s="1"/>
      <c r="B30" s="79">
        <v>12</v>
      </c>
      <c r="C30" s="38" t="s">
        <v>74</v>
      </c>
      <c r="D30" s="78" t="s">
        <v>74</v>
      </c>
      <c r="E30" s="38" t="s">
        <v>38</v>
      </c>
      <c r="F30" s="81" t="s">
        <v>74</v>
      </c>
      <c r="G30" s="37">
        <v>1</v>
      </c>
      <c r="H30" s="10"/>
      <c r="I30" s="40"/>
      <c r="J30" s="10">
        <f>(6580*9.5%)+6580</f>
        <v>7205.1</v>
      </c>
      <c r="K30" s="43">
        <f t="shared" si="11"/>
        <v>7205.1</v>
      </c>
      <c r="L30" s="43">
        <v>0</v>
      </c>
      <c r="M30" s="43">
        <f t="shared" si="7"/>
        <v>7205.1</v>
      </c>
      <c r="N30" s="43">
        <f t="shared" si="8"/>
        <v>7205.1</v>
      </c>
      <c r="O30" s="43">
        <f t="shared" si="9"/>
        <v>7205</v>
      </c>
      <c r="P30" s="43">
        <f t="shared" si="15"/>
        <v>7205</v>
      </c>
      <c r="Q30" s="43">
        <f t="shared" si="3"/>
        <v>7210</v>
      </c>
      <c r="R30" s="1"/>
      <c r="S30" s="1"/>
      <c r="T30" s="1"/>
    </row>
    <row r="31" spans="1:20" ht="20.25" customHeight="1">
      <c r="A31" s="1"/>
      <c r="B31" s="89" t="s">
        <v>75</v>
      </c>
      <c r="C31" s="90"/>
      <c r="D31" s="91"/>
      <c r="E31" s="87">
        <f>MROUND((AVERAGE(O10:O30)),100)</f>
        <v>5700</v>
      </c>
      <c r="F31" s="45"/>
      <c r="G31" s="1"/>
      <c r="H31" s="1"/>
      <c r="I31" s="1"/>
      <c r="J31" s="1"/>
      <c r="O31" s="1"/>
      <c r="P31" s="1"/>
      <c r="Q31" s="1"/>
      <c r="R31" s="1"/>
      <c r="S31" s="1"/>
      <c r="T31" s="1"/>
    </row>
    <row r="32" spans="1:20">
      <c r="A32" s="1"/>
      <c r="B32" s="1"/>
      <c r="C32" s="1"/>
      <c r="D32" s="92" t="s">
        <v>76</v>
      </c>
      <c r="E32" s="84">
        <f>'R. Pacífico'!J17</f>
        <v>1841.5600000000002</v>
      </c>
      <c r="F32" s="1"/>
      <c r="G32" s="1"/>
      <c r="H32" s="1"/>
      <c r="I32" s="1"/>
      <c r="J32" s="1"/>
      <c r="O32" s="1"/>
      <c r="P32" s="1"/>
      <c r="Q32" s="1"/>
      <c r="R32" s="1"/>
      <c r="S32" s="1"/>
      <c r="T32" s="1"/>
    </row>
    <row r="33" spans="1:20">
      <c r="A33" s="1"/>
      <c r="B33" s="1"/>
      <c r="C33" s="1"/>
      <c r="D33" s="94" t="s">
        <v>77</v>
      </c>
      <c r="E33" s="36">
        <v>200</v>
      </c>
      <c r="F33" s="1"/>
      <c r="G33" s="1"/>
      <c r="H33" s="1"/>
      <c r="I33" s="1"/>
      <c r="J33" s="1"/>
      <c r="O33" s="1"/>
      <c r="P33" s="1"/>
      <c r="Q33" s="1"/>
      <c r="R33" s="1"/>
      <c r="S33" s="1"/>
      <c r="T33" s="1"/>
    </row>
    <row r="34" spans="1:20" ht="30">
      <c r="A34" s="1"/>
      <c r="B34" s="1"/>
      <c r="C34" s="1"/>
      <c r="D34" s="116" t="s">
        <v>78</v>
      </c>
      <c r="E34" s="36">
        <f>'sedes de recoleccion'!B13</f>
        <v>7</v>
      </c>
      <c r="F34" s="1"/>
      <c r="G34" s="1"/>
      <c r="H34" s="1"/>
      <c r="I34" s="1"/>
      <c r="J34" s="1"/>
      <c r="O34" s="1"/>
      <c r="P34" s="1"/>
      <c r="Q34" s="1"/>
      <c r="R34" s="1"/>
      <c r="S34" s="1"/>
      <c r="T34" s="1"/>
    </row>
    <row r="35" spans="1:20">
      <c r="A35" s="1"/>
      <c r="B35" s="1"/>
      <c r="C35" s="1"/>
      <c r="D35" s="94" t="s">
        <v>79</v>
      </c>
      <c r="E35" s="36">
        <f>(E34*E33)+E32</f>
        <v>3241.5600000000004</v>
      </c>
      <c r="F35" s="1"/>
      <c r="G35" s="1"/>
      <c r="H35" s="1"/>
      <c r="I35" s="1"/>
      <c r="J35" s="1"/>
      <c r="O35" s="1"/>
      <c r="P35" s="1"/>
      <c r="Q35" s="1"/>
      <c r="R35" s="1"/>
      <c r="S35" s="1"/>
      <c r="T35" s="1"/>
    </row>
    <row r="36" spans="1:20" ht="15.75" thickBot="1">
      <c r="A36" s="1"/>
      <c r="B36" s="1"/>
      <c r="C36" s="1"/>
      <c r="D36" s="96" t="s">
        <v>80</v>
      </c>
      <c r="E36" s="46">
        <f>+E35*E31</f>
        <v>18476892.000000004</v>
      </c>
      <c r="F36" s="1"/>
      <c r="G36" s="82"/>
      <c r="H36" s="1"/>
      <c r="I36" s="1"/>
      <c r="J36" s="1"/>
      <c r="O36" s="1"/>
      <c r="P36" s="1"/>
      <c r="Q36" s="1"/>
      <c r="R36" s="1"/>
      <c r="S36" s="1"/>
      <c r="T36" s="1"/>
    </row>
    <row r="37" spans="1:20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R58" s="1"/>
      <c r="S58" s="1"/>
      <c r="T58" s="1"/>
    </row>
    <row r="59" spans="1:20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</sheetData>
  <mergeCells count="28">
    <mergeCell ref="B7:O7"/>
    <mergeCell ref="H8:J8"/>
    <mergeCell ref="K8:O8"/>
    <mergeCell ref="D10:D11"/>
    <mergeCell ref="C10:C11"/>
    <mergeCell ref="B10:B11"/>
    <mergeCell ref="B22:B23"/>
    <mergeCell ref="C22:C23"/>
    <mergeCell ref="D22:D23"/>
    <mergeCell ref="B16:B18"/>
    <mergeCell ref="C16:C18"/>
    <mergeCell ref="D16:D18"/>
    <mergeCell ref="B12:B15"/>
    <mergeCell ref="C12:C15"/>
    <mergeCell ref="D12:D15"/>
    <mergeCell ref="B19:B21"/>
    <mergeCell ref="C19:C21"/>
    <mergeCell ref="D19:D21"/>
    <mergeCell ref="P19:P21"/>
    <mergeCell ref="P22:P23"/>
    <mergeCell ref="Q10:Q11"/>
    <mergeCell ref="Q12:Q15"/>
    <mergeCell ref="Q16:Q18"/>
    <mergeCell ref="Q19:Q21"/>
    <mergeCell ref="Q22:Q23"/>
    <mergeCell ref="P16:P18"/>
    <mergeCell ref="P10:P11"/>
    <mergeCell ref="P12:P1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ABC80-8795-4F9F-8BA9-362D39C26FDC}">
  <sheetPr>
    <tabColor theme="5" tint="-0.249977111117893"/>
  </sheetPr>
  <dimension ref="A1:AB59"/>
  <sheetViews>
    <sheetView topLeftCell="A17" workbookViewId="0">
      <selection activeCell="C41" sqref="C41"/>
    </sheetView>
  </sheetViews>
  <sheetFormatPr defaultColWidth="11.42578125" defaultRowHeight="15"/>
  <cols>
    <col min="3" max="3" width="29" customWidth="1"/>
    <col min="4" max="4" width="31.140625" customWidth="1"/>
    <col min="5" max="5" width="26.7109375" customWidth="1"/>
    <col min="6" max="6" width="74.85546875" hidden="1" customWidth="1"/>
    <col min="7" max="7" width="0" hidden="1" customWidth="1"/>
    <col min="8" max="8" width="14.28515625" hidden="1" customWidth="1"/>
    <col min="9" max="9" width="16.140625" hidden="1" customWidth="1"/>
    <col min="10" max="10" width="14.7109375" hidden="1" customWidth="1"/>
    <col min="11" max="11" width="15.85546875" hidden="1" customWidth="1"/>
    <col min="12" max="12" width="20" hidden="1" customWidth="1"/>
    <col min="13" max="13" width="14.140625" hidden="1" customWidth="1"/>
    <col min="14" max="14" width="28.140625" hidden="1" customWidth="1"/>
    <col min="15" max="15" width="16.28515625" customWidth="1"/>
    <col min="16" max="16" width="15.5703125" customWidth="1"/>
    <col min="17" max="17" width="15.5703125" bestFit="1" customWidth="1"/>
  </cols>
  <sheetData>
    <row r="1" spans="1:28">
      <c r="A1" s="1"/>
      <c r="B1" s="1"/>
      <c r="C1" s="8"/>
      <c r="D1" s="8"/>
      <c r="E1" s="8"/>
      <c r="F1" s="8"/>
      <c r="G1" s="8"/>
      <c r="H1" s="8"/>
      <c r="I1" s="8"/>
      <c r="J1" s="8"/>
      <c r="K1" s="8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8">
      <c r="A2" s="1"/>
      <c r="B2" s="1"/>
      <c r="C2" s="8"/>
      <c r="D2" s="8"/>
      <c r="E2" s="8"/>
      <c r="F2" s="8"/>
      <c r="G2" s="8"/>
      <c r="H2" s="8"/>
      <c r="I2" s="8"/>
      <c r="J2" s="8"/>
      <c r="K2" s="8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8">
      <c r="A3" s="1"/>
      <c r="B3" s="1"/>
      <c r="C3" s="8"/>
      <c r="D3" s="8"/>
      <c r="E3" s="8"/>
      <c r="F3" s="8"/>
      <c r="G3" s="8"/>
      <c r="H3" s="8"/>
      <c r="I3" s="8"/>
      <c r="J3" s="8"/>
      <c r="K3" s="8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8">
      <c r="A4" s="1"/>
      <c r="B4" s="1"/>
      <c r="C4" s="8"/>
      <c r="D4" s="8"/>
      <c r="E4" s="8"/>
      <c r="F4" s="8"/>
      <c r="G4" s="8"/>
      <c r="H4" s="8"/>
      <c r="I4" s="8"/>
      <c r="J4" s="8"/>
      <c r="K4" s="8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8">
      <c r="A5" s="1"/>
      <c r="B5" s="1"/>
      <c r="C5" s="8"/>
      <c r="D5" s="8"/>
      <c r="E5" s="8"/>
      <c r="F5" s="8"/>
      <c r="G5" s="8"/>
      <c r="H5" s="8"/>
      <c r="I5" s="8"/>
      <c r="J5" s="8"/>
      <c r="K5" s="8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8" ht="15.75" thickBot="1">
      <c r="A6" s="2"/>
      <c r="B6" s="3"/>
      <c r="C6" s="3"/>
      <c r="D6" s="3"/>
      <c r="E6" s="3"/>
      <c r="F6" s="3"/>
      <c r="G6" s="1"/>
      <c r="H6" s="1"/>
      <c r="I6" s="8"/>
      <c r="J6" s="8"/>
      <c r="K6" s="8"/>
      <c r="L6" s="8"/>
      <c r="M6" s="8"/>
      <c r="N6" s="8"/>
      <c r="O6" s="8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26.25" customHeight="1" thickBot="1">
      <c r="A7" s="1"/>
      <c r="B7" s="128" t="s">
        <v>12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42"/>
      <c r="Q7" s="42"/>
      <c r="R7" s="1"/>
      <c r="S7" s="1"/>
      <c r="T7" s="1"/>
    </row>
    <row r="8" spans="1:28" ht="33" customHeight="1" thickBot="1">
      <c r="A8" s="1"/>
      <c r="B8" s="7" t="s">
        <v>13</v>
      </c>
      <c r="C8" s="4" t="s">
        <v>14</v>
      </c>
      <c r="D8" s="4" t="s">
        <v>15</v>
      </c>
      <c r="E8" s="5" t="s">
        <v>16</v>
      </c>
      <c r="F8" s="4" t="s">
        <v>17</v>
      </c>
      <c r="G8" s="6" t="s">
        <v>18</v>
      </c>
      <c r="H8" s="125" t="s">
        <v>19</v>
      </c>
      <c r="I8" s="126"/>
      <c r="J8" s="127"/>
      <c r="K8" s="125" t="s">
        <v>20</v>
      </c>
      <c r="L8" s="126"/>
      <c r="M8" s="126"/>
      <c r="N8" s="126"/>
      <c r="O8" s="127"/>
      <c r="P8" s="42"/>
      <c r="Q8" s="42"/>
      <c r="R8" s="1"/>
      <c r="S8" s="1"/>
      <c r="T8" s="1"/>
    </row>
    <row r="9" spans="1:28" ht="38.25" customHeight="1" thickBot="1">
      <c r="A9" s="1"/>
      <c r="B9" s="12"/>
      <c r="C9" s="4"/>
      <c r="D9" s="4"/>
      <c r="E9" s="4"/>
      <c r="F9" s="4"/>
      <c r="G9" s="4"/>
      <c r="H9" s="4" t="s">
        <v>21</v>
      </c>
      <c r="I9" s="13" t="s">
        <v>22</v>
      </c>
      <c r="J9" s="42" t="s">
        <v>23</v>
      </c>
      <c r="K9" s="42" t="s">
        <v>24</v>
      </c>
      <c r="L9" s="42" t="s">
        <v>25</v>
      </c>
      <c r="M9" s="42" t="s">
        <v>26</v>
      </c>
      <c r="N9" s="42" t="s">
        <v>27</v>
      </c>
      <c r="O9" s="42" t="s">
        <v>28</v>
      </c>
      <c r="P9" s="42" t="s">
        <v>29</v>
      </c>
      <c r="Q9" s="42" t="s">
        <v>6</v>
      </c>
      <c r="R9" s="1"/>
      <c r="S9" s="1"/>
      <c r="T9" s="1"/>
    </row>
    <row r="10" spans="1:28" ht="20.25" customHeight="1">
      <c r="A10" s="1"/>
      <c r="B10" s="135">
        <v>1</v>
      </c>
      <c r="C10" s="133" t="s">
        <v>30</v>
      </c>
      <c r="D10" s="131" t="s">
        <v>31</v>
      </c>
      <c r="E10" s="38" t="s">
        <v>32</v>
      </c>
      <c r="F10" s="68" t="s">
        <v>33</v>
      </c>
      <c r="G10" s="37">
        <v>1</v>
      </c>
      <c r="H10" s="9">
        <v>3500</v>
      </c>
      <c r="I10" s="39">
        <v>2800</v>
      </c>
      <c r="J10" s="9">
        <f>(6336*9.5%)+6336</f>
        <v>6937.92</v>
      </c>
      <c r="K10" s="43">
        <f t="shared" ref="K10:K15" si="0">AVERAGE(H10:J10)</f>
        <v>4412.6400000000003</v>
      </c>
      <c r="L10" s="43">
        <f>STDEVA(H10:J10)</f>
        <v>2214.7865154005253</v>
      </c>
      <c r="M10" s="43">
        <f>+K10-L10</f>
        <v>2197.853484599475</v>
      </c>
      <c r="N10" s="43">
        <f>+K10+L10</f>
        <v>6627.4265154005261</v>
      </c>
      <c r="O10" s="43">
        <f>ROUND(AVERAGEIFS(H10:J10,H10:J10, "&gt;= "&amp;M10,H10:J10, "&lt;= "&amp;N10),0)</f>
        <v>3150</v>
      </c>
      <c r="P10" s="120">
        <f>AVERAGE(O10:O11)</f>
        <v>3150</v>
      </c>
      <c r="Q10" s="120">
        <f>MROUND(P10,10)</f>
        <v>3150</v>
      </c>
      <c r="R10" s="1"/>
      <c r="S10" s="1"/>
      <c r="T10" s="1"/>
    </row>
    <row r="11" spans="1:28" ht="20.25" customHeight="1">
      <c r="A11" s="1"/>
      <c r="B11" s="136"/>
      <c r="C11" s="134"/>
      <c r="D11" s="132"/>
      <c r="E11" s="38" t="s">
        <v>34</v>
      </c>
      <c r="F11" s="68" t="s">
        <v>35</v>
      </c>
      <c r="G11" s="37">
        <v>1</v>
      </c>
      <c r="H11" s="10">
        <v>3500</v>
      </c>
      <c r="I11" s="40">
        <v>2800</v>
      </c>
      <c r="J11" s="10">
        <f t="shared" ref="J11" si="1">(6336*9.5%)+6336</f>
        <v>6937.92</v>
      </c>
      <c r="K11" s="43">
        <f t="shared" si="0"/>
        <v>4412.6400000000003</v>
      </c>
      <c r="L11" s="43">
        <f>STDEVA(H11:J11)</f>
        <v>2214.7865154005253</v>
      </c>
      <c r="M11" s="43">
        <f>+K11-L11</f>
        <v>2197.853484599475</v>
      </c>
      <c r="N11" s="43">
        <f>+K11+L11</f>
        <v>6627.4265154005261</v>
      </c>
      <c r="O11" s="43">
        <f>ROUND(AVERAGEIFS(H11:J11,H11:J11, "&gt;= "&amp;M11,H11:J11, "&lt;= "&amp;N11),0)</f>
        <v>3150</v>
      </c>
      <c r="P11" s="121"/>
      <c r="Q11" s="121"/>
      <c r="R11" s="1"/>
      <c r="S11" s="1"/>
      <c r="T11" s="1"/>
    </row>
    <row r="12" spans="1:28" ht="20.25" customHeight="1">
      <c r="A12" s="1"/>
      <c r="B12" s="124">
        <v>2</v>
      </c>
      <c r="C12" s="123" t="s">
        <v>36</v>
      </c>
      <c r="D12" s="123" t="s">
        <v>36</v>
      </c>
      <c r="E12" s="38" t="s">
        <v>34</v>
      </c>
      <c r="F12" s="71" t="s">
        <v>37</v>
      </c>
      <c r="G12" s="37">
        <v>1</v>
      </c>
      <c r="H12" s="10">
        <v>3500</v>
      </c>
      <c r="I12" s="40">
        <v>8000</v>
      </c>
      <c r="J12" s="10">
        <f t="shared" ref="J12:J15" si="2">(6336*9.5%)+6336</f>
        <v>6937.92</v>
      </c>
      <c r="K12" s="43">
        <f t="shared" si="0"/>
        <v>6145.9733333333324</v>
      </c>
      <c r="L12" s="43">
        <f>STDEVA(H12:J12)</f>
        <v>2352.2084606032154</v>
      </c>
      <c r="M12" s="43">
        <f>+K12-L12</f>
        <v>3793.7648727301171</v>
      </c>
      <c r="N12" s="43">
        <f>+K12+L12</f>
        <v>8498.1817939365483</v>
      </c>
      <c r="O12" s="43">
        <f>ROUND(AVERAGEIFS(H12:J12,H12:J12, "&gt;= "&amp;M12,H12:J12, "&lt;= "&amp;N12),0)</f>
        <v>7469</v>
      </c>
      <c r="P12" s="120">
        <f>AVERAGE(O12:O15)</f>
        <v>3829.75</v>
      </c>
      <c r="Q12" s="120">
        <f t="shared" ref="Q12:Q30" si="3">MROUND(P12,10)</f>
        <v>3830</v>
      </c>
      <c r="R12" s="1"/>
      <c r="S12" s="1"/>
      <c r="T12" s="1"/>
    </row>
    <row r="13" spans="1:28" ht="20.25" customHeight="1" thickBot="1">
      <c r="A13" s="1"/>
      <c r="B13" s="124"/>
      <c r="C13" s="123"/>
      <c r="D13" s="123"/>
      <c r="E13" s="38" t="s">
        <v>38</v>
      </c>
      <c r="F13" s="71" t="s">
        <v>39</v>
      </c>
      <c r="G13" s="37">
        <v>1</v>
      </c>
      <c r="H13" s="11">
        <v>3500</v>
      </c>
      <c r="I13" s="41">
        <v>1000</v>
      </c>
      <c r="J13" s="11">
        <f t="shared" si="2"/>
        <v>6937.92</v>
      </c>
      <c r="K13" s="43">
        <f t="shared" si="0"/>
        <v>3812.64</v>
      </c>
      <c r="L13" s="43">
        <f>STDEVA(H13:J13)</f>
        <v>2981.2801459775628</v>
      </c>
      <c r="M13" s="43">
        <f>+K13-L13</f>
        <v>831.35985402243705</v>
      </c>
      <c r="N13" s="43">
        <f>+K13+L13</f>
        <v>6793.9201459775632</v>
      </c>
      <c r="O13" s="43">
        <f>ROUND(AVERAGEIFS(H13:J13,H13:J13, "&gt;= "&amp;M13,H13:J13, "&lt;= "&amp;N13),0)</f>
        <v>2250</v>
      </c>
      <c r="P13" s="122"/>
      <c r="Q13" s="122"/>
      <c r="R13" s="1"/>
      <c r="S13" s="1"/>
      <c r="T13" s="1"/>
    </row>
    <row r="14" spans="1:28" ht="20.25" customHeight="1">
      <c r="A14" s="1"/>
      <c r="B14" s="124"/>
      <c r="C14" s="123"/>
      <c r="D14" s="123"/>
      <c r="E14" s="38" t="s">
        <v>40</v>
      </c>
      <c r="F14" s="71" t="s">
        <v>41</v>
      </c>
      <c r="G14" s="37">
        <v>1</v>
      </c>
      <c r="H14" s="10">
        <v>3500</v>
      </c>
      <c r="I14" s="40">
        <v>1000</v>
      </c>
      <c r="J14" s="10">
        <f t="shared" si="2"/>
        <v>6937.92</v>
      </c>
      <c r="K14" s="43">
        <f t="shared" si="0"/>
        <v>3812.64</v>
      </c>
      <c r="L14" s="43">
        <f>STDEVA(H14:J14)</f>
        <v>2981.2801459775628</v>
      </c>
      <c r="M14" s="43">
        <f>+K14-L14</f>
        <v>831.35985402243705</v>
      </c>
      <c r="N14" s="43">
        <f>+K14+L14</f>
        <v>6793.9201459775632</v>
      </c>
      <c r="O14" s="43">
        <f>ROUND(AVERAGEIFS(H14:J14,H14:J14, "&gt;= "&amp;M14,H14:J14, "&lt;= "&amp;N14),0)</f>
        <v>2250</v>
      </c>
      <c r="P14" s="122"/>
      <c r="Q14" s="122"/>
      <c r="R14" s="1"/>
      <c r="S14" s="1"/>
      <c r="T14" s="1"/>
    </row>
    <row r="15" spans="1:28" ht="18.75" customHeight="1">
      <c r="A15" s="1"/>
      <c r="B15" s="124"/>
      <c r="C15" s="123"/>
      <c r="D15" s="123"/>
      <c r="E15" s="38" t="s">
        <v>42</v>
      </c>
      <c r="F15" s="71" t="s">
        <v>43</v>
      </c>
      <c r="G15" s="37">
        <v>1</v>
      </c>
      <c r="H15" s="10">
        <v>3500</v>
      </c>
      <c r="I15" s="40">
        <v>3200</v>
      </c>
      <c r="J15" s="10">
        <f t="shared" si="2"/>
        <v>6937.92</v>
      </c>
      <c r="K15" s="43">
        <f t="shared" si="0"/>
        <v>4545.9733333333334</v>
      </c>
      <c r="L15" s="43">
        <f t="shared" ref="L15:L28" si="4">STDEVA(H15:J15)</f>
        <v>2076.9103596769255</v>
      </c>
      <c r="M15" s="43">
        <f t="shared" ref="M15:M30" si="5">+K15-L15</f>
        <v>2469.0629736564078</v>
      </c>
      <c r="N15" s="43">
        <f t="shared" ref="N15:N30" si="6">+K15+L15</f>
        <v>6622.8836930102589</v>
      </c>
      <c r="O15" s="43">
        <f t="shared" ref="O15:O30" si="7">ROUND(AVERAGEIFS(H15:J15,H15:J15, "&gt;= "&amp;M15,H15:J15, "&lt;= "&amp;N15),0)</f>
        <v>3350</v>
      </c>
      <c r="P15" s="121"/>
      <c r="Q15" s="121"/>
      <c r="R15" s="1"/>
      <c r="S15" s="1"/>
      <c r="T15" s="1"/>
    </row>
    <row r="16" spans="1:28" ht="20.25" customHeight="1">
      <c r="A16" s="1"/>
      <c r="B16" s="124">
        <v>3</v>
      </c>
      <c r="C16" s="130" t="s">
        <v>44</v>
      </c>
      <c r="D16" s="123" t="s">
        <v>45</v>
      </c>
      <c r="E16" s="38" t="s">
        <v>42</v>
      </c>
      <c r="F16" s="70" t="s">
        <v>46</v>
      </c>
      <c r="G16" s="37">
        <v>1</v>
      </c>
      <c r="H16" s="10">
        <v>3500</v>
      </c>
      <c r="I16" s="40">
        <v>2850</v>
      </c>
      <c r="J16" s="10">
        <f t="shared" ref="J16:J18" si="8">(6336*9.5%)+6336</f>
        <v>6937.92</v>
      </c>
      <c r="K16" s="43">
        <f t="shared" ref="K16:K30" si="9">AVERAGE(H16:J16)</f>
        <v>4429.3066666666664</v>
      </c>
      <c r="L16" s="43">
        <f t="shared" si="4"/>
        <v>2196.6976674393172</v>
      </c>
      <c r="M16" s="43">
        <f t="shared" si="5"/>
        <v>2232.6089992273492</v>
      </c>
      <c r="N16" s="43">
        <f t="shared" si="6"/>
        <v>6626.0043341059836</v>
      </c>
      <c r="O16" s="43">
        <f t="shared" si="7"/>
        <v>3175</v>
      </c>
      <c r="P16" s="120">
        <f>AVERAGE(O16:O18)</f>
        <v>3558.3333333333335</v>
      </c>
      <c r="Q16" s="120">
        <f t="shared" si="3"/>
        <v>3560</v>
      </c>
      <c r="R16" s="1"/>
      <c r="S16" s="1"/>
      <c r="T16" s="1"/>
    </row>
    <row r="17" spans="1:20" ht="20.25" customHeight="1">
      <c r="A17" s="1"/>
      <c r="B17" s="124"/>
      <c r="C17" s="130"/>
      <c r="D17" s="123"/>
      <c r="E17" s="38" t="s">
        <v>42</v>
      </c>
      <c r="F17" s="70" t="s">
        <v>47</v>
      </c>
      <c r="G17" s="37">
        <v>1</v>
      </c>
      <c r="H17" s="10">
        <v>3500</v>
      </c>
      <c r="I17" s="40">
        <v>3000</v>
      </c>
      <c r="J17" s="10">
        <f t="shared" si="8"/>
        <v>6937.92</v>
      </c>
      <c r="K17" s="43">
        <f t="shared" si="9"/>
        <v>4479.3066666666664</v>
      </c>
      <c r="L17" s="43">
        <f t="shared" si="4"/>
        <v>2143.8480921309088</v>
      </c>
      <c r="M17" s="43">
        <f t="shared" si="5"/>
        <v>2335.4585745357576</v>
      </c>
      <c r="N17" s="43">
        <f t="shared" si="6"/>
        <v>6623.1547587975747</v>
      </c>
      <c r="O17" s="43">
        <f t="shared" si="7"/>
        <v>3250</v>
      </c>
      <c r="P17" s="122"/>
      <c r="Q17" s="122"/>
      <c r="R17" s="1"/>
      <c r="S17" s="1"/>
      <c r="T17" s="1"/>
    </row>
    <row r="18" spans="1:20" ht="20.25" customHeight="1">
      <c r="A18" s="1"/>
      <c r="B18" s="124"/>
      <c r="C18" s="130"/>
      <c r="D18" s="123"/>
      <c r="E18" s="38" t="s">
        <v>42</v>
      </c>
      <c r="F18" s="70" t="s">
        <v>48</v>
      </c>
      <c r="G18" s="37">
        <v>1</v>
      </c>
      <c r="H18" s="10">
        <v>3500</v>
      </c>
      <c r="I18" s="40">
        <v>5000</v>
      </c>
      <c r="J18" s="10">
        <f t="shared" si="8"/>
        <v>6937.92</v>
      </c>
      <c r="K18" s="43">
        <f t="shared" si="9"/>
        <v>5145.9733333333334</v>
      </c>
      <c r="L18" s="43">
        <f t="shared" si="4"/>
        <v>1723.6022285125223</v>
      </c>
      <c r="M18" s="43">
        <f t="shared" si="5"/>
        <v>3422.3711048208111</v>
      </c>
      <c r="N18" s="43">
        <f t="shared" si="6"/>
        <v>6869.5755618458552</v>
      </c>
      <c r="O18" s="43">
        <f t="shared" si="7"/>
        <v>4250</v>
      </c>
      <c r="P18" s="121"/>
      <c r="Q18" s="121"/>
      <c r="R18" s="1"/>
      <c r="S18" s="1"/>
      <c r="T18" s="1"/>
    </row>
    <row r="19" spans="1:20" ht="20.25" customHeight="1">
      <c r="A19" s="1"/>
      <c r="B19" s="124">
        <v>4</v>
      </c>
      <c r="C19" s="123" t="s">
        <v>49</v>
      </c>
      <c r="D19" s="123" t="s">
        <v>49</v>
      </c>
      <c r="E19" s="38" t="s">
        <v>50</v>
      </c>
      <c r="F19" s="72" t="s">
        <v>51</v>
      </c>
      <c r="G19" s="37">
        <v>1</v>
      </c>
      <c r="H19" s="10">
        <v>3500</v>
      </c>
      <c r="I19" s="40">
        <v>2700</v>
      </c>
      <c r="J19" s="10">
        <f t="shared" ref="J19:J21" si="10">(6336*9.5%)+6336</f>
        <v>6937.92</v>
      </c>
      <c r="K19" s="43">
        <f t="shared" si="9"/>
        <v>4379.3066666666664</v>
      </c>
      <c r="L19" s="43">
        <f t="shared" si="4"/>
        <v>2251.6386570969457</v>
      </c>
      <c r="M19" s="43">
        <f t="shared" si="5"/>
        <v>2127.6680095697207</v>
      </c>
      <c r="N19" s="43">
        <f t="shared" si="6"/>
        <v>6630.9453237636117</v>
      </c>
      <c r="O19" s="43">
        <f t="shared" si="7"/>
        <v>3100</v>
      </c>
      <c r="P19" s="120">
        <f>AVERAGE(O19:O21)</f>
        <v>3956.3333333333335</v>
      </c>
      <c r="Q19" s="120">
        <f t="shared" si="3"/>
        <v>3960</v>
      </c>
      <c r="R19" s="1"/>
      <c r="S19" s="1"/>
      <c r="T19" s="1"/>
    </row>
    <row r="20" spans="1:20" ht="20.25" customHeight="1">
      <c r="A20" s="1"/>
      <c r="B20" s="124"/>
      <c r="C20" s="123"/>
      <c r="D20" s="123"/>
      <c r="E20" s="38" t="s">
        <v>40</v>
      </c>
      <c r="F20" s="72" t="s">
        <v>52</v>
      </c>
      <c r="G20" s="37">
        <v>1</v>
      </c>
      <c r="H20" s="10">
        <v>3500</v>
      </c>
      <c r="I20" s="40">
        <v>6300</v>
      </c>
      <c r="J20" s="10">
        <f t="shared" si="10"/>
        <v>6937.92</v>
      </c>
      <c r="K20" s="43">
        <f>AVERAGE(H20:J20)</f>
        <v>5579.3066666666664</v>
      </c>
      <c r="L20" s="43">
        <f>STDEVA(H20:J20)</f>
        <v>1828.7625986260075</v>
      </c>
      <c r="M20" s="43">
        <f>+K20-L20</f>
        <v>3750.5440680406591</v>
      </c>
      <c r="N20" s="43">
        <f>+K20+L20</f>
        <v>7408.0692652926737</v>
      </c>
      <c r="O20" s="43">
        <f>ROUND(AVERAGEIFS(H20:J20,H20:J20, "&gt;= "&amp;M20,H20:J20, "&lt;= "&amp;N20),0)</f>
        <v>6619</v>
      </c>
      <c r="P20" s="122"/>
      <c r="Q20" s="122"/>
      <c r="R20" s="1"/>
      <c r="S20" s="1"/>
      <c r="T20" s="1"/>
    </row>
    <row r="21" spans="1:20" ht="20.25" customHeight="1">
      <c r="A21" s="1"/>
      <c r="B21" s="124"/>
      <c r="C21" s="123"/>
      <c r="D21" s="123"/>
      <c r="E21" s="38" t="s">
        <v>40</v>
      </c>
      <c r="F21" s="72" t="s">
        <v>53</v>
      </c>
      <c r="G21" s="37">
        <v>1</v>
      </c>
      <c r="H21" s="10">
        <v>3500</v>
      </c>
      <c r="I21" s="40">
        <v>800</v>
      </c>
      <c r="J21" s="10">
        <f t="shared" si="10"/>
        <v>6937.92</v>
      </c>
      <c r="K21" s="43">
        <f>AVERAGE(H21:J21)</f>
        <v>3745.9733333333334</v>
      </c>
      <c r="L21" s="43">
        <f>STDEVA(H21:J21)</f>
        <v>3076.3440383242792</v>
      </c>
      <c r="M21" s="43">
        <f>+K21-L21</f>
        <v>669.6292950090542</v>
      </c>
      <c r="N21" s="43">
        <f>+K21+L21</f>
        <v>6822.317371657613</v>
      </c>
      <c r="O21" s="43">
        <f>ROUND(AVERAGEIFS(H21:J21,H21:J21, "&gt;= "&amp;M21,H21:J21, "&lt;= "&amp;N21),0)</f>
        <v>2150</v>
      </c>
      <c r="P21" s="121"/>
      <c r="Q21" s="121"/>
      <c r="R21" s="1"/>
      <c r="S21" s="1"/>
      <c r="T21" s="1"/>
    </row>
    <row r="22" spans="1:20" ht="20.25" customHeight="1">
      <c r="A22" s="1"/>
      <c r="B22" s="124">
        <v>5</v>
      </c>
      <c r="C22" s="130" t="s">
        <v>54</v>
      </c>
      <c r="D22" s="123" t="s">
        <v>55</v>
      </c>
      <c r="E22" s="38" t="s">
        <v>56</v>
      </c>
      <c r="F22" s="69" t="s">
        <v>57</v>
      </c>
      <c r="G22" s="37">
        <v>1</v>
      </c>
      <c r="H22" s="10">
        <v>3500</v>
      </c>
      <c r="I22" s="40">
        <v>3800</v>
      </c>
      <c r="J22" s="10">
        <f t="shared" ref="J22:J23" si="11">(6336*9.5%)+6336</f>
        <v>6937.92</v>
      </c>
      <c r="K22" s="43">
        <f t="shared" si="9"/>
        <v>4745.9733333333334</v>
      </c>
      <c r="L22" s="43">
        <f t="shared" si="4"/>
        <v>1904.1986876724111</v>
      </c>
      <c r="M22" s="43">
        <f t="shared" si="5"/>
        <v>2841.774645660922</v>
      </c>
      <c r="N22" s="43">
        <f t="shared" si="6"/>
        <v>6650.1720210057447</v>
      </c>
      <c r="O22" s="43">
        <f t="shared" si="7"/>
        <v>3650</v>
      </c>
      <c r="P22" s="120">
        <f>AVERAGE(O22:O23)</f>
        <v>3175</v>
      </c>
      <c r="Q22" s="120">
        <f t="shared" si="3"/>
        <v>3180</v>
      </c>
      <c r="R22" s="1"/>
      <c r="S22" s="1"/>
      <c r="T22" s="1"/>
    </row>
    <row r="23" spans="1:20" ht="70.5" customHeight="1">
      <c r="A23" s="1"/>
      <c r="B23" s="124"/>
      <c r="C23" s="130"/>
      <c r="D23" s="123"/>
      <c r="E23" s="38" t="s">
        <v>58</v>
      </c>
      <c r="F23" s="69" t="s">
        <v>59</v>
      </c>
      <c r="G23" s="37">
        <v>1</v>
      </c>
      <c r="H23" s="10">
        <v>3500</v>
      </c>
      <c r="I23" s="40">
        <v>1900</v>
      </c>
      <c r="J23" s="10">
        <f t="shared" si="11"/>
        <v>6937.92</v>
      </c>
      <c r="K23" s="43">
        <f t="shared" si="9"/>
        <v>4112.6400000000003</v>
      </c>
      <c r="L23" s="43">
        <f t="shared" si="4"/>
        <v>2574.2290707705088</v>
      </c>
      <c r="M23" s="43">
        <f t="shared" si="5"/>
        <v>1538.4109292294916</v>
      </c>
      <c r="N23" s="43">
        <f t="shared" si="6"/>
        <v>6686.8690707705091</v>
      </c>
      <c r="O23" s="43">
        <f t="shared" si="7"/>
        <v>2700</v>
      </c>
      <c r="P23" s="121"/>
      <c r="Q23" s="121"/>
      <c r="R23" s="1"/>
      <c r="S23" s="1"/>
      <c r="T23" s="1"/>
    </row>
    <row r="24" spans="1:20" ht="20.25" customHeight="1">
      <c r="A24" s="1"/>
      <c r="B24" s="79">
        <v>6</v>
      </c>
      <c r="C24" s="38" t="s">
        <v>60</v>
      </c>
      <c r="D24" s="78" t="s">
        <v>60</v>
      </c>
      <c r="E24" s="38" t="s">
        <v>61</v>
      </c>
      <c r="F24" s="73" t="s">
        <v>60</v>
      </c>
      <c r="G24" s="37">
        <v>1</v>
      </c>
      <c r="H24" s="10">
        <v>3500</v>
      </c>
      <c r="I24" s="40">
        <v>3800</v>
      </c>
      <c r="J24" s="10">
        <f t="shared" ref="J24" si="12">(6336*9.5%)+6336</f>
        <v>6937.92</v>
      </c>
      <c r="K24" s="43">
        <f t="shared" si="9"/>
        <v>4745.9733333333334</v>
      </c>
      <c r="L24" s="43">
        <f t="shared" si="4"/>
        <v>1904.1986876724111</v>
      </c>
      <c r="M24" s="43">
        <f t="shared" si="5"/>
        <v>2841.774645660922</v>
      </c>
      <c r="N24" s="43">
        <f t="shared" si="6"/>
        <v>6650.1720210057447</v>
      </c>
      <c r="O24" s="43">
        <f t="shared" si="7"/>
        <v>3650</v>
      </c>
      <c r="P24" s="43">
        <f t="shared" ref="P24:P30" si="13">O24</f>
        <v>3650</v>
      </c>
      <c r="Q24" s="43">
        <f t="shared" si="3"/>
        <v>3650</v>
      </c>
      <c r="R24" s="1"/>
      <c r="S24" s="1"/>
      <c r="T24" s="1"/>
    </row>
    <row r="25" spans="1:20" ht="20.25" customHeight="1">
      <c r="A25" s="1"/>
      <c r="B25" s="79">
        <v>7</v>
      </c>
      <c r="C25" s="38" t="s">
        <v>62</v>
      </c>
      <c r="D25" s="78" t="s">
        <v>62</v>
      </c>
      <c r="E25" s="38" t="s">
        <v>63</v>
      </c>
      <c r="F25" s="77" t="s">
        <v>64</v>
      </c>
      <c r="G25" s="37">
        <v>1</v>
      </c>
      <c r="H25" s="10">
        <v>3500</v>
      </c>
      <c r="I25" s="40">
        <v>7500</v>
      </c>
      <c r="J25" s="10">
        <f t="shared" ref="J25" si="14">(6336*9.5%)+6336</f>
        <v>6937.92</v>
      </c>
      <c r="K25" s="43">
        <f t="shared" si="9"/>
        <v>5979.3066666666664</v>
      </c>
      <c r="L25" s="43">
        <f t="shared" si="4"/>
        <v>2165.4571439151937</v>
      </c>
      <c r="M25" s="43">
        <f t="shared" si="5"/>
        <v>3813.8495227514727</v>
      </c>
      <c r="N25" s="43">
        <f t="shared" si="6"/>
        <v>8144.7638105818605</v>
      </c>
      <c r="O25" s="43">
        <f t="shared" si="7"/>
        <v>7219</v>
      </c>
      <c r="P25" s="43">
        <f t="shared" si="13"/>
        <v>7219</v>
      </c>
      <c r="Q25" s="43">
        <f t="shared" si="3"/>
        <v>7220</v>
      </c>
      <c r="R25" s="1"/>
      <c r="S25" s="1"/>
      <c r="T25" s="1"/>
    </row>
    <row r="26" spans="1:20" ht="26.25" customHeight="1">
      <c r="A26" s="1"/>
      <c r="B26" s="79">
        <v>8</v>
      </c>
      <c r="C26" s="38" t="s">
        <v>65</v>
      </c>
      <c r="D26" s="78" t="s">
        <v>65</v>
      </c>
      <c r="E26" s="38" t="s">
        <v>66</v>
      </c>
      <c r="F26" s="74" t="s">
        <v>67</v>
      </c>
      <c r="G26" s="37">
        <v>1</v>
      </c>
      <c r="H26" s="10">
        <v>3500</v>
      </c>
      <c r="I26" s="40">
        <v>2500</v>
      </c>
      <c r="J26" s="10">
        <f t="shared" ref="J26" si="15">(6336*9.5%)+6336</f>
        <v>6937.92</v>
      </c>
      <c r="K26" s="43">
        <f t="shared" si="9"/>
        <v>4312.6400000000003</v>
      </c>
      <c r="L26" s="43">
        <f t="shared" si="4"/>
        <v>2327.8898833063381</v>
      </c>
      <c r="M26" s="43">
        <f t="shared" si="5"/>
        <v>1984.7501166936622</v>
      </c>
      <c r="N26" s="43">
        <f t="shared" si="6"/>
        <v>6640.5298833063389</v>
      </c>
      <c r="O26" s="43">
        <f t="shared" si="7"/>
        <v>3000</v>
      </c>
      <c r="P26" s="43">
        <f t="shared" si="13"/>
        <v>3000</v>
      </c>
      <c r="Q26" s="43">
        <f t="shared" si="3"/>
        <v>3000</v>
      </c>
      <c r="R26" s="1"/>
      <c r="S26" s="1"/>
      <c r="T26" s="1"/>
    </row>
    <row r="27" spans="1:20" ht="20.25" customHeight="1">
      <c r="A27" s="1"/>
      <c r="B27" s="79">
        <v>9</v>
      </c>
      <c r="C27" s="85" t="s">
        <v>68</v>
      </c>
      <c r="D27" s="86" t="s">
        <v>68</v>
      </c>
      <c r="E27" s="38" t="s">
        <v>40</v>
      </c>
      <c r="F27" s="75" t="s">
        <v>68</v>
      </c>
      <c r="G27" s="37">
        <v>1</v>
      </c>
      <c r="H27" s="10">
        <v>3500</v>
      </c>
      <c r="I27" s="40">
        <v>8345</v>
      </c>
      <c r="J27" s="10">
        <f t="shared" ref="J27" si="16">(6336*9.5%)+6336</f>
        <v>6937.92</v>
      </c>
      <c r="K27" s="43">
        <f t="shared" si="9"/>
        <v>6260.9733333333324</v>
      </c>
      <c r="L27" s="43">
        <f t="shared" si="4"/>
        <v>2492.4283023054732</v>
      </c>
      <c r="M27" s="43">
        <f t="shared" si="5"/>
        <v>3768.5450310278593</v>
      </c>
      <c r="N27" s="43">
        <f t="shared" si="6"/>
        <v>8753.4016356388056</v>
      </c>
      <c r="O27" s="43">
        <f t="shared" si="7"/>
        <v>7641</v>
      </c>
      <c r="P27" s="43">
        <f t="shared" si="13"/>
        <v>7641</v>
      </c>
      <c r="Q27" s="43">
        <f t="shared" si="3"/>
        <v>7640</v>
      </c>
      <c r="R27" s="1"/>
      <c r="S27" s="1"/>
      <c r="T27" s="1"/>
    </row>
    <row r="28" spans="1:20" ht="62.25" customHeight="1">
      <c r="A28" s="1"/>
      <c r="B28" s="79">
        <v>10</v>
      </c>
      <c r="C28" s="44" t="s">
        <v>69</v>
      </c>
      <c r="D28" s="83" t="s">
        <v>70</v>
      </c>
      <c r="E28" s="44" t="s">
        <v>38</v>
      </c>
      <c r="F28" s="76" t="s">
        <v>71</v>
      </c>
      <c r="G28" s="37">
        <v>1</v>
      </c>
      <c r="H28" s="10">
        <v>3500</v>
      </c>
      <c r="I28" s="40">
        <v>3592</v>
      </c>
      <c r="J28" s="10">
        <f t="shared" ref="J28" si="17">(6336*9.5%)+6336</f>
        <v>6937.92</v>
      </c>
      <c r="K28" s="43">
        <f t="shared" si="9"/>
        <v>4676.6400000000003</v>
      </c>
      <c r="L28" s="43">
        <f t="shared" si="4"/>
        <v>1958.8661079308106</v>
      </c>
      <c r="M28" s="43">
        <f t="shared" si="5"/>
        <v>2717.77389206919</v>
      </c>
      <c r="N28" s="43">
        <f t="shared" si="6"/>
        <v>6635.5061079308107</v>
      </c>
      <c r="O28" s="43">
        <f t="shared" si="7"/>
        <v>3546</v>
      </c>
      <c r="P28" s="43">
        <f t="shared" si="13"/>
        <v>3546</v>
      </c>
      <c r="Q28" s="43">
        <f t="shared" si="3"/>
        <v>3550</v>
      </c>
      <c r="R28" s="1"/>
      <c r="S28" s="1"/>
      <c r="T28" s="1"/>
    </row>
    <row r="29" spans="1:20" ht="20.25" customHeight="1">
      <c r="A29" s="1"/>
      <c r="B29" s="79">
        <v>11</v>
      </c>
      <c r="C29" s="38" t="s">
        <v>72</v>
      </c>
      <c r="D29" s="78" t="s">
        <v>72</v>
      </c>
      <c r="E29" s="38" t="s">
        <v>38</v>
      </c>
      <c r="F29" s="80" t="s">
        <v>73</v>
      </c>
      <c r="G29" s="37">
        <v>1</v>
      </c>
      <c r="H29" s="10"/>
      <c r="I29" s="40"/>
      <c r="J29" s="10">
        <f>(8000*9.5%)+8000</f>
        <v>8760</v>
      </c>
      <c r="K29" s="43">
        <f t="shared" si="9"/>
        <v>8760</v>
      </c>
      <c r="L29" s="43">
        <v>0</v>
      </c>
      <c r="M29" s="43">
        <f t="shared" si="5"/>
        <v>8760</v>
      </c>
      <c r="N29" s="43">
        <f t="shared" si="6"/>
        <v>8760</v>
      </c>
      <c r="O29" s="43">
        <f t="shared" si="7"/>
        <v>8760</v>
      </c>
      <c r="P29" s="43">
        <f t="shared" si="13"/>
        <v>8760</v>
      </c>
      <c r="Q29" s="43">
        <f t="shared" si="3"/>
        <v>8760</v>
      </c>
      <c r="R29" s="1"/>
      <c r="S29" s="1"/>
      <c r="T29" s="1"/>
    </row>
    <row r="30" spans="1:20" ht="20.25" customHeight="1">
      <c r="A30" s="1"/>
      <c r="B30" s="79">
        <v>12</v>
      </c>
      <c r="C30" s="38" t="s">
        <v>74</v>
      </c>
      <c r="D30" s="78" t="s">
        <v>74</v>
      </c>
      <c r="E30" s="38" t="s">
        <v>38</v>
      </c>
      <c r="F30" s="81" t="s">
        <v>74</v>
      </c>
      <c r="G30" s="37">
        <v>1</v>
      </c>
      <c r="H30" s="10"/>
      <c r="I30" s="40"/>
      <c r="J30" s="10">
        <f>(6330*9.5%)+6330</f>
        <v>6931.35</v>
      </c>
      <c r="K30" s="43">
        <f t="shared" si="9"/>
        <v>6931.35</v>
      </c>
      <c r="L30" s="43">
        <v>0</v>
      </c>
      <c r="M30" s="43">
        <f t="shared" si="5"/>
        <v>6931.35</v>
      </c>
      <c r="N30" s="43">
        <f t="shared" si="6"/>
        <v>6931.35</v>
      </c>
      <c r="O30" s="43">
        <f t="shared" si="7"/>
        <v>6931</v>
      </c>
      <c r="P30" s="43">
        <f t="shared" si="13"/>
        <v>6931</v>
      </c>
      <c r="Q30" s="43">
        <f t="shared" si="3"/>
        <v>6930</v>
      </c>
      <c r="R30" s="1"/>
      <c r="S30" s="1"/>
      <c r="T30" s="1"/>
    </row>
    <row r="31" spans="1:20" ht="20.25" customHeight="1">
      <c r="A31" s="1"/>
      <c r="B31" s="89" t="s">
        <v>75</v>
      </c>
      <c r="C31" s="90"/>
      <c r="D31" s="91"/>
      <c r="E31" s="87">
        <f>MROUND((AVERAGE(O10:O30)),100)</f>
        <v>4300</v>
      </c>
      <c r="F31" s="45"/>
      <c r="G31" s="1"/>
      <c r="H31" s="1"/>
      <c r="I31" s="1"/>
      <c r="J31" s="1"/>
    </row>
    <row r="32" spans="1:20">
      <c r="A32" s="1"/>
      <c r="B32" s="92" t="s">
        <v>76</v>
      </c>
      <c r="C32" s="93"/>
      <c r="D32" s="93"/>
      <c r="E32" s="84">
        <f>'R. Eje Cafetero'!L19</f>
        <v>5621.1500000000005</v>
      </c>
      <c r="F32" s="1"/>
      <c r="G32" s="1"/>
      <c r="H32" s="1"/>
      <c r="I32" s="1"/>
      <c r="J32" s="1"/>
      <c r="P32" s="114"/>
    </row>
    <row r="33" spans="1:20">
      <c r="A33" s="1"/>
      <c r="B33" s="94" t="s">
        <v>77</v>
      </c>
      <c r="C33" s="95"/>
      <c r="D33" s="95"/>
      <c r="E33" s="36">
        <v>200</v>
      </c>
      <c r="F33" s="1"/>
      <c r="G33" s="1"/>
      <c r="H33" s="1"/>
      <c r="I33" s="1"/>
      <c r="J33" s="1"/>
      <c r="Q33" s="115"/>
    </row>
    <row r="34" spans="1:20">
      <c r="A34" s="1"/>
      <c r="B34" s="94" t="s">
        <v>78</v>
      </c>
      <c r="C34" s="95"/>
      <c r="D34" s="95"/>
      <c r="E34" s="36">
        <f>'sedes de recoleccion'!B20</f>
        <v>6</v>
      </c>
      <c r="F34" s="1"/>
      <c r="G34" s="1"/>
      <c r="H34" s="1"/>
      <c r="I34" s="1"/>
      <c r="J34" s="1"/>
      <c r="Q34" s="114"/>
    </row>
    <row r="35" spans="1:20">
      <c r="A35" s="1"/>
      <c r="B35" s="94" t="s">
        <v>79</v>
      </c>
      <c r="C35" s="95"/>
      <c r="D35" s="95"/>
      <c r="E35" s="36">
        <f>(E34*E33)+E32</f>
        <v>6821.1500000000005</v>
      </c>
      <c r="F35" s="1"/>
      <c r="G35" s="1"/>
      <c r="H35" s="1"/>
      <c r="I35" s="1"/>
      <c r="J35" s="1"/>
    </row>
    <row r="36" spans="1:20" ht="15.75" thickBot="1">
      <c r="A36" s="1"/>
      <c r="B36" s="96" t="s">
        <v>80</v>
      </c>
      <c r="C36" s="97"/>
      <c r="D36" s="97"/>
      <c r="E36" s="46">
        <f>+E35*E31</f>
        <v>29330945.000000004</v>
      </c>
      <c r="F36" s="1"/>
      <c r="G36" s="82"/>
      <c r="H36" s="1"/>
      <c r="I36" s="1"/>
      <c r="J36" s="1"/>
    </row>
    <row r="37" spans="1:20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20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</sheetData>
  <mergeCells count="28">
    <mergeCell ref="B16:B18"/>
    <mergeCell ref="C16:C18"/>
    <mergeCell ref="D16:D18"/>
    <mergeCell ref="P16:P18"/>
    <mergeCell ref="B7:O7"/>
    <mergeCell ref="H8:J8"/>
    <mergeCell ref="K8:O8"/>
    <mergeCell ref="B10:B11"/>
    <mergeCell ref="C10:C11"/>
    <mergeCell ref="D10:D11"/>
    <mergeCell ref="P10:P11"/>
    <mergeCell ref="B12:B15"/>
    <mergeCell ref="C12:C15"/>
    <mergeCell ref="D12:D15"/>
    <mergeCell ref="P12:P15"/>
    <mergeCell ref="B19:B21"/>
    <mergeCell ref="C19:C21"/>
    <mergeCell ref="D19:D21"/>
    <mergeCell ref="P19:P21"/>
    <mergeCell ref="B22:B23"/>
    <mergeCell ref="C22:C23"/>
    <mergeCell ref="D22:D23"/>
    <mergeCell ref="P22:P23"/>
    <mergeCell ref="Q10:Q11"/>
    <mergeCell ref="Q12:Q15"/>
    <mergeCell ref="Q16:Q18"/>
    <mergeCell ref="Q19:Q21"/>
    <mergeCell ref="Q22:Q2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280EE-B218-4F9C-A142-9FA97BE74E86}">
  <sheetPr>
    <tabColor rgb="FF00B050"/>
  </sheetPr>
  <dimension ref="A1:AB59"/>
  <sheetViews>
    <sheetView tabSelected="1" topLeftCell="A16" workbookViewId="0">
      <selection activeCell="D37" sqref="D37"/>
    </sheetView>
  </sheetViews>
  <sheetFormatPr defaultColWidth="11.42578125" defaultRowHeight="15"/>
  <cols>
    <col min="3" max="3" width="29" customWidth="1"/>
    <col min="4" max="4" width="31.140625" customWidth="1"/>
    <col min="5" max="5" width="26.7109375" customWidth="1"/>
    <col min="6" max="6" width="74.85546875" hidden="1" customWidth="1"/>
    <col min="7" max="7" width="0" hidden="1" customWidth="1"/>
    <col min="8" max="8" width="14.28515625" hidden="1" customWidth="1"/>
    <col min="9" max="9" width="16.140625" hidden="1" customWidth="1"/>
    <col min="10" max="10" width="14.7109375" hidden="1" customWidth="1"/>
    <col min="11" max="11" width="15.85546875" hidden="1" customWidth="1"/>
    <col min="12" max="12" width="20" hidden="1" customWidth="1"/>
    <col min="13" max="13" width="14.140625" hidden="1" customWidth="1"/>
    <col min="14" max="14" width="28.140625" hidden="1" customWidth="1"/>
    <col min="15" max="15" width="16.28515625" customWidth="1"/>
    <col min="16" max="16" width="15.5703125" customWidth="1"/>
    <col min="17" max="17" width="15.42578125" customWidth="1"/>
  </cols>
  <sheetData>
    <row r="1" spans="1:28">
      <c r="A1" s="1"/>
      <c r="B1" s="1"/>
      <c r="C1" s="8"/>
      <c r="D1" s="8"/>
      <c r="E1" s="8"/>
      <c r="F1" s="8"/>
      <c r="G1" s="8"/>
      <c r="H1" s="8"/>
      <c r="I1" s="8"/>
      <c r="J1" s="8"/>
      <c r="K1" s="8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8">
      <c r="A2" s="1"/>
      <c r="B2" s="1"/>
      <c r="C2" s="8"/>
      <c r="D2" s="8"/>
      <c r="E2" s="8"/>
      <c r="F2" s="8"/>
      <c r="G2" s="8"/>
      <c r="H2" s="8"/>
      <c r="I2" s="8"/>
      <c r="J2" s="8"/>
      <c r="K2" s="8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8">
      <c r="A3" s="1"/>
      <c r="B3" s="1"/>
      <c r="C3" s="8"/>
      <c r="D3" s="8"/>
      <c r="E3" s="8"/>
      <c r="F3" s="8"/>
      <c r="G3" s="8"/>
      <c r="H3" s="8"/>
      <c r="I3" s="8"/>
      <c r="J3" s="8"/>
      <c r="K3" s="8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8">
      <c r="A4" s="1"/>
      <c r="B4" s="1"/>
      <c r="C4" s="8"/>
      <c r="D4" s="8"/>
      <c r="E4" s="8"/>
      <c r="F4" s="8"/>
      <c r="G4" s="8"/>
      <c r="H4" s="8"/>
      <c r="I4" s="8"/>
      <c r="J4" s="8"/>
      <c r="K4" s="8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8">
      <c r="A5" s="1"/>
      <c r="B5" s="1"/>
      <c r="C5" s="8"/>
      <c r="D5" s="8"/>
      <c r="E5" s="8"/>
      <c r="F5" s="8"/>
      <c r="G5" s="8"/>
      <c r="H5" s="8"/>
      <c r="I5" s="8"/>
      <c r="J5" s="8"/>
      <c r="K5" s="8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8" ht="15.75" thickBot="1">
      <c r="A6" s="2"/>
      <c r="B6" s="3"/>
      <c r="C6" s="3"/>
      <c r="D6" s="3"/>
      <c r="E6" s="3"/>
      <c r="F6" s="3"/>
      <c r="G6" s="1"/>
      <c r="H6" s="1"/>
      <c r="I6" s="8"/>
      <c r="J6" s="8"/>
      <c r="K6" s="8"/>
      <c r="L6" s="8"/>
      <c r="M6" s="8"/>
      <c r="N6" s="8"/>
      <c r="O6" s="8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26.25" customHeight="1" thickBot="1">
      <c r="A7" s="1"/>
      <c r="B7" s="128" t="s">
        <v>12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42"/>
      <c r="Q7" s="42"/>
      <c r="R7" s="1"/>
      <c r="S7" s="1"/>
      <c r="T7" s="1"/>
    </row>
    <row r="8" spans="1:28" ht="50.25" customHeight="1" thickBot="1">
      <c r="A8" s="1"/>
      <c r="B8" s="7" t="s">
        <v>13</v>
      </c>
      <c r="C8" s="4" t="s">
        <v>14</v>
      </c>
      <c r="D8" s="4" t="s">
        <v>15</v>
      </c>
      <c r="E8" s="5" t="s">
        <v>16</v>
      </c>
      <c r="F8" s="4" t="s">
        <v>17</v>
      </c>
      <c r="G8" s="6" t="s">
        <v>18</v>
      </c>
      <c r="H8" s="125" t="s">
        <v>19</v>
      </c>
      <c r="I8" s="126"/>
      <c r="J8" s="127"/>
      <c r="K8" s="125" t="s">
        <v>20</v>
      </c>
      <c r="L8" s="126"/>
      <c r="M8" s="126"/>
      <c r="N8" s="126"/>
      <c r="O8" s="127"/>
      <c r="P8" s="42"/>
      <c r="Q8" s="42"/>
      <c r="R8" s="1"/>
      <c r="S8" s="1"/>
      <c r="T8" s="1"/>
    </row>
    <row r="9" spans="1:28" ht="38.25" customHeight="1" thickBot="1">
      <c r="A9" s="1"/>
      <c r="B9" s="12"/>
      <c r="C9" s="4"/>
      <c r="D9" s="4"/>
      <c r="E9" s="4"/>
      <c r="F9" s="4"/>
      <c r="G9" s="4"/>
      <c r="H9" s="4" t="s">
        <v>21</v>
      </c>
      <c r="I9" s="13" t="s">
        <v>22</v>
      </c>
      <c r="J9" s="42" t="s">
        <v>23</v>
      </c>
      <c r="K9" s="42" t="s">
        <v>24</v>
      </c>
      <c r="L9" s="42" t="s">
        <v>25</v>
      </c>
      <c r="M9" s="42" t="s">
        <v>26</v>
      </c>
      <c r="N9" s="42" t="s">
        <v>27</v>
      </c>
      <c r="O9" s="42" t="s">
        <v>28</v>
      </c>
      <c r="P9" s="42" t="s">
        <v>29</v>
      </c>
      <c r="Q9" s="42" t="s">
        <v>6</v>
      </c>
      <c r="R9" s="1"/>
      <c r="S9" s="1"/>
      <c r="T9" s="1"/>
    </row>
    <row r="10" spans="1:28" ht="20.25" customHeight="1">
      <c r="A10" s="1"/>
      <c r="B10" s="135">
        <v>1</v>
      </c>
      <c r="C10" s="133" t="s">
        <v>30</v>
      </c>
      <c r="D10" s="131" t="s">
        <v>31</v>
      </c>
      <c r="E10" s="38" t="s">
        <v>32</v>
      </c>
      <c r="F10" s="68" t="s">
        <v>33</v>
      </c>
      <c r="G10" s="37">
        <v>1</v>
      </c>
      <c r="H10" s="9">
        <v>3000</v>
      </c>
      <c r="I10" s="39">
        <v>2800</v>
      </c>
      <c r="J10" s="9">
        <f>(6646*9.5%)+6646</f>
        <v>7277.37</v>
      </c>
      <c r="K10" s="43">
        <f t="shared" ref="K10:K15" si="0">AVERAGE(H10:J10)</f>
        <v>4359.123333333333</v>
      </c>
      <c r="L10" s="43">
        <f>STDEVA(H10:J10)</f>
        <v>2529.2533889733822</v>
      </c>
      <c r="M10" s="43">
        <f>+K10-L10</f>
        <v>1829.8699443599508</v>
      </c>
      <c r="N10" s="43">
        <f>+K10+L10</f>
        <v>6888.3767223067152</v>
      </c>
      <c r="O10" s="43">
        <f>ROUND(AVERAGEIFS(H10:J10,H10:J10, "&gt;= "&amp;M10,H10:J10, "&lt;= "&amp;N10),0)</f>
        <v>2900</v>
      </c>
      <c r="P10" s="120">
        <f>AVERAGE(O10:O11)</f>
        <v>2900</v>
      </c>
      <c r="Q10" s="120">
        <f>MROUND(P10,10)</f>
        <v>2900</v>
      </c>
      <c r="R10" s="1"/>
      <c r="S10" s="1"/>
      <c r="T10" s="1"/>
    </row>
    <row r="11" spans="1:28" ht="20.25" customHeight="1">
      <c r="A11" s="1"/>
      <c r="B11" s="136"/>
      <c r="C11" s="134"/>
      <c r="D11" s="132"/>
      <c r="E11" s="38" t="s">
        <v>34</v>
      </c>
      <c r="F11" s="68" t="s">
        <v>35</v>
      </c>
      <c r="G11" s="37">
        <v>1</v>
      </c>
      <c r="H11" s="10">
        <v>3000</v>
      </c>
      <c r="I11" s="40">
        <v>2800</v>
      </c>
      <c r="J11" s="10">
        <f t="shared" ref="J11" si="1">(6646*9.5%)+6646</f>
        <v>7277.37</v>
      </c>
      <c r="K11" s="43">
        <f t="shared" si="0"/>
        <v>4359.123333333333</v>
      </c>
      <c r="L11" s="43">
        <f>STDEVA(H11:J11)</f>
        <v>2529.2533889733822</v>
      </c>
      <c r="M11" s="43">
        <f>+K11-L11</f>
        <v>1829.8699443599508</v>
      </c>
      <c r="N11" s="43">
        <f>+K11+L11</f>
        <v>6888.3767223067152</v>
      </c>
      <c r="O11" s="43">
        <f>ROUND(AVERAGEIFS(H11:J11,H11:J11, "&gt;= "&amp;M11,H11:J11, "&lt;= "&amp;N11),0)</f>
        <v>2900</v>
      </c>
      <c r="P11" s="121"/>
      <c r="Q11" s="121"/>
      <c r="R11" s="1"/>
      <c r="S11" s="1"/>
      <c r="T11" s="1"/>
    </row>
    <row r="12" spans="1:28" ht="20.25" customHeight="1">
      <c r="A12" s="1"/>
      <c r="B12" s="124">
        <v>2</v>
      </c>
      <c r="C12" s="123" t="s">
        <v>36</v>
      </c>
      <c r="D12" s="123" t="s">
        <v>36</v>
      </c>
      <c r="E12" s="38" t="s">
        <v>34</v>
      </c>
      <c r="F12" s="71" t="s">
        <v>37</v>
      </c>
      <c r="G12" s="37">
        <v>1</v>
      </c>
      <c r="H12" s="10">
        <v>3000</v>
      </c>
      <c r="I12" s="40">
        <v>8000</v>
      </c>
      <c r="J12" s="10">
        <f t="shared" ref="J12:J15" si="2">(6646*9.5%)+6646</f>
        <v>7277.37</v>
      </c>
      <c r="K12" s="43">
        <f t="shared" si="0"/>
        <v>6092.456666666666</v>
      </c>
      <c r="L12" s="43">
        <f>STDEVA(H12:J12)</f>
        <v>2702.4090559412607</v>
      </c>
      <c r="M12" s="43">
        <f>+K12-L12</f>
        <v>3390.0476107254053</v>
      </c>
      <c r="N12" s="43">
        <f>+K12+L12</f>
        <v>8794.8657226079267</v>
      </c>
      <c r="O12" s="43">
        <f>ROUND(AVERAGEIFS(H12:J12,H12:J12, "&gt;= "&amp;M12,H12:J12, "&lt;= "&amp;N12),0)</f>
        <v>7639</v>
      </c>
      <c r="P12" s="120">
        <f>AVERAGE(O12:O15)</f>
        <v>3722.25</v>
      </c>
      <c r="Q12" s="120">
        <f t="shared" ref="Q12:Q30" si="3">MROUND(P12,10)</f>
        <v>3720</v>
      </c>
      <c r="R12" s="1"/>
      <c r="S12" s="1"/>
      <c r="T12" s="1"/>
    </row>
    <row r="13" spans="1:28" ht="20.25" customHeight="1" thickBot="1">
      <c r="A13" s="1"/>
      <c r="B13" s="124"/>
      <c r="C13" s="123"/>
      <c r="D13" s="123"/>
      <c r="E13" s="38" t="s">
        <v>38</v>
      </c>
      <c r="F13" s="71" t="s">
        <v>39</v>
      </c>
      <c r="G13" s="37">
        <v>1</v>
      </c>
      <c r="H13" s="11">
        <v>3000</v>
      </c>
      <c r="I13" s="41">
        <v>1000</v>
      </c>
      <c r="J13" s="11">
        <f t="shared" si="2"/>
        <v>7277.37</v>
      </c>
      <c r="K13" s="43">
        <f t="shared" si="0"/>
        <v>3759.123333333333</v>
      </c>
      <c r="L13" s="43">
        <f>STDEVA(H13:J13)</f>
        <v>3206.7966423883718</v>
      </c>
      <c r="M13" s="43">
        <f>+K13-L13</f>
        <v>552.32669094496123</v>
      </c>
      <c r="N13" s="43">
        <f>+K13+L13</f>
        <v>6965.9199757217048</v>
      </c>
      <c r="O13" s="43">
        <f>ROUND(AVERAGEIFS(H13:J13,H13:J13, "&gt;= "&amp;M13,H13:J13, "&lt;= "&amp;N13),0)</f>
        <v>2000</v>
      </c>
      <c r="P13" s="122"/>
      <c r="Q13" s="122"/>
      <c r="R13" s="1"/>
      <c r="S13" s="1"/>
      <c r="T13" s="1"/>
    </row>
    <row r="14" spans="1:28" ht="20.25" customHeight="1">
      <c r="A14" s="1"/>
      <c r="B14" s="124"/>
      <c r="C14" s="123"/>
      <c r="D14" s="123"/>
      <c r="E14" s="38" t="s">
        <v>40</v>
      </c>
      <c r="F14" s="71" t="s">
        <v>41</v>
      </c>
      <c r="G14" s="37">
        <v>1</v>
      </c>
      <c r="H14" s="10">
        <v>3000</v>
      </c>
      <c r="I14" s="40">
        <v>1000</v>
      </c>
      <c r="J14" s="10">
        <f t="shared" si="2"/>
        <v>7277.37</v>
      </c>
      <c r="K14" s="43">
        <f t="shared" si="0"/>
        <v>3759.123333333333</v>
      </c>
      <c r="L14" s="43">
        <f>STDEVA(H14:J14)</f>
        <v>3206.7966423883718</v>
      </c>
      <c r="M14" s="43">
        <f>+K14-L14</f>
        <v>552.32669094496123</v>
      </c>
      <c r="N14" s="43">
        <f>+K14+L14</f>
        <v>6965.9199757217048</v>
      </c>
      <c r="O14" s="43">
        <f>ROUND(AVERAGEIFS(H14:J14,H14:J14, "&gt;= "&amp;M14,H14:J14, "&lt;= "&amp;N14),0)</f>
        <v>2000</v>
      </c>
      <c r="P14" s="122"/>
      <c r="Q14" s="122"/>
      <c r="R14" s="1"/>
      <c r="S14" s="1"/>
      <c r="T14" s="1"/>
    </row>
    <row r="15" spans="1:28" ht="18.75" customHeight="1">
      <c r="A15" s="1"/>
      <c r="B15" s="124"/>
      <c r="C15" s="123"/>
      <c r="D15" s="123"/>
      <c r="E15" s="38" t="s">
        <v>42</v>
      </c>
      <c r="F15" s="71" t="s">
        <v>43</v>
      </c>
      <c r="G15" s="37">
        <v>1</v>
      </c>
      <c r="H15" s="10">
        <v>3000</v>
      </c>
      <c r="I15" s="40">
        <v>3500</v>
      </c>
      <c r="J15" s="10">
        <f t="shared" si="2"/>
        <v>7277.37</v>
      </c>
      <c r="K15" s="43">
        <f t="shared" si="0"/>
        <v>4592.456666666666</v>
      </c>
      <c r="L15" s="43">
        <f t="shared" ref="L15:L28" si="4">STDEVA(H15:J15)</f>
        <v>2338.6042216744027</v>
      </c>
      <c r="M15" s="43">
        <f t="shared" ref="M15:M30" si="5">+K15-L15</f>
        <v>2253.8524449922634</v>
      </c>
      <c r="N15" s="43">
        <f t="shared" ref="N15:N30" si="6">+K15+L15</f>
        <v>6931.0608883410687</v>
      </c>
      <c r="O15" s="43">
        <f t="shared" ref="O15:O30" si="7">ROUND(AVERAGEIFS(H15:J15,H15:J15, "&gt;= "&amp;M15,H15:J15, "&lt;= "&amp;N15),0)</f>
        <v>3250</v>
      </c>
      <c r="P15" s="121"/>
      <c r="Q15" s="121"/>
      <c r="R15" s="1"/>
      <c r="S15" s="1"/>
      <c r="T15" s="1"/>
    </row>
    <row r="16" spans="1:28" ht="20.25" customHeight="1">
      <c r="A16" s="1"/>
      <c r="B16" s="124">
        <v>3</v>
      </c>
      <c r="C16" s="130" t="s">
        <v>44</v>
      </c>
      <c r="D16" s="123" t="s">
        <v>45</v>
      </c>
      <c r="E16" s="38" t="s">
        <v>42</v>
      </c>
      <c r="F16" s="70" t="s">
        <v>46</v>
      </c>
      <c r="G16" s="37">
        <v>1</v>
      </c>
      <c r="H16" s="10">
        <v>3000</v>
      </c>
      <c r="I16" s="40">
        <v>2850</v>
      </c>
      <c r="J16" s="10">
        <f t="shared" ref="J16:J18" si="8">(6646*9.5%)+6646</f>
        <v>7277.37</v>
      </c>
      <c r="K16" s="43">
        <f t="shared" ref="K16:K30" si="9">AVERAGE(H16:J16)</f>
        <v>4375.79</v>
      </c>
      <c r="L16" s="43">
        <f t="shared" si="4"/>
        <v>2513.9609925971413</v>
      </c>
      <c r="M16" s="43">
        <f t="shared" si="5"/>
        <v>1861.8290074028587</v>
      </c>
      <c r="N16" s="43">
        <f t="shared" si="6"/>
        <v>6889.7509925971408</v>
      </c>
      <c r="O16" s="43">
        <f t="shared" si="7"/>
        <v>2925</v>
      </c>
      <c r="P16" s="120">
        <f>AVERAGE(O16:O18)</f>
        <v>3308.3333333333335</v>
      </c>
      <c r="Q16" s="120">
        <f t="shared" si="3"/>
        <v>3310</v>
      </c>
      <c r="R16" s="1"/>
      <c r="S16" s="1"/>
      <c r="T16" s="1"/>
    </row>
    <row r="17" spans="1:20" ht="20.25" customHeight="1">
      <c r="A17" s="1"/>
      <c r="B17" s="124"/>
      <c r="C17" s="130"/>
      <c r="D17" s="123"/>
      <c r="E17" s="38" t="s">
        <v>42</v>
      </c>
      <c r="F17" s="70" t="s">
        <v>47</v>
      </c>
      <c r="G17" s="37">
        <v>1</v>
      </c>
      <c r="H17" s="10">
        <v>3000</v>
      </c>
      <c r="I17" s="40">
        <v>3000</v>
      </c>
      <c r="J17" s="10">
        <f t="shared" si="8"/>
        <v>7277.37</v>
      </c>
      <c r="K17" s="43">
        <f t="shared" si="9"/>
        <v>4425.79</v>
      </c>
      <c r="L17" s="43">
        <f t="shared" si="4"/>
        <v>2469.54072092363</v>
      </c>
      <c r="M17" s="43">
        <f t="shared" si="5"/>
        <v>1956.2492790763699</v>
      </c>
      <c r="N17" s="43">
        <f t="shared" si="6"/>
        <v>6895.33072092363</v>
      </c>
      <c r="O17" s="43">
        <f t="shared" si="7"/>
        <v>3000</v>
      </c>
      <c r="P17" s="122"/>
      <c r="Q17" s="122"/>
      <c r="R17" s="1"/>
      <c r="S17" s="1"/>
      <c r="T17" s="1"/>
    </row>
    <row r="18" spans="1:20" ht="20.25" customHeight="1">
      <c r="A18" s="1"/>
      <c r="B18" s="124"/>
      <c r="C18" s="130"/>
      <c r="D18" s="123"/>
      <c r="E18" s="38" t="s">
        <v>42</v>
      </c>
      <c r="F18" s="70" t="s">
        <v>48</v>
      </c>
      <c r="G18" s="37">
        <v>1</v>
      </c>
      <c r="H18" s="10">
        <v>3000</v>
      </c>
      <c r="I18" s="40">
        <v>5000</v>
      </c>
      <c r="J18" s="10">
        <f t="shared" si="8"/>
        <v>7277.37</v>
      </c>
      <c r="K18" s="43">
        <f t="shared" si="9"/>
        <v>5092.456666666666</v>
      </c>
      <c r="L18" s="43">
        <f t="shared" si="4"/>
        <v>2140.1833345845243</v>
      </c>
      <c r="M18" s="43">
        <f t="shared" si="5"/>
        <v>2952.2733320821417</v>
      </c>
      <c r="N18" s="43">
        <f t="shared" si="6"/>
        <v>7232.6400012511904</v>
      </c>
      <c r="O18" s="43">
        <f t="shared" si="7"/>
        <v>4000</v>
      </c>
      <c r="P18" s="121"/>
      <c r="Q18" s="121"/>
      <c r="R18" s="1"/>
      <c r="S18" s="1"/>
      <c r="T18" s="1"/>
    </row>
    <row r="19" spans="1:20" ht="20.25" customHeight="1">
      <c r="A19" s="1"/>
      <c r="B19" s="124">
        <v>4</v>
      </c>
      <c r="C19" s="123" t="s">
        <v>49</v>
      </c>
      <c r="D19" s="123" t="s">
        <v>49</v>
      </c>
      <c r="E19" s="38" t="s">
        <v>50</v>
      </c>
      <c r="F19" s="72" t="s">
        <v>51</v>
      </c>
      <c r="G19" s="37">
        <v>1</v>
      </c>
      <c r="H19" s="10">
        <v>3000</v>
      </c>
      <c r="I19" s="40">
        <v>2700</v>
      </c>
      <c r="J19" s="10">
        <f t="shared" ref="J19:J21" si="10">(6646*9.5%)+6646</f>
        <v>7277.37</v>
      </c>
      <c r="K19" s="43">
        <f t="shared" si="9"/>
        <v>4325.79</v>
      </c>
      <c r="L19" s="43">
        <f t="shared" si="4"/>
        <v>2560.540640626507</v>
      </c>
      <c r="M19" s="43">
        <f t="shared" si="5"/>
        <v>1765.249359373493</v>
      </c>
      <c r="N19" s="43">
        <f t="shared" si="6"/>
        <v>6886.3306406265074</v>
      </c>
      <c r="O19" s="43">
        <f t="shared" si="7"/>
        <v>2850</v>
      </c>
      <c r="P19" s="120">
        <f>AVERAGE(O19:O21)</f>
        <v>3846.3333333333335</v>
      </c>
      <c r="Q19" s="120">
        <f t="shared" si="3"/>
        <v>3850</v>
      </c>
      <c r="R19" s="1"/>
      <c r="S19" s="1"/>
      <c r="T19" s="1"/>
    </row>
    <row r="20" spans="1:20" ht="20.25" customHeight="1">
      <c r="A20" s="1"/>
      <c r="B20" s="124"/>
      <c r="C20" s="123"/>
      <c r="D20" s="123"/>
      <c r="E20" s="38" t="s">
        <v>40</v>
      </c>
      <c r="F20" s="72" t="s">
        <v>52</v>
      </c>
      <c r="G20" s="37">
        <v>1</v>
      </c>
      <c r="H20" s="10">
        <v>3000</v>
      </c>
      <c r="I20" s="40">
        <v>6300</v>
      </c>
      <c r="J20" s="10">
        <f t="shared" si="10"/>
        <v>7277.37</v>
      </c>
      <c r="K20" s="43">
        <f>AVERAGE(H20:J20)</f>
        <v>5525.79</v>
      </c>
      <c r="L20" s="43">
        <f>STDEVA(H20:J20)</f>
        <v>2241.3220144147085</v>
      </c>
      <c r="M20" s="43">
        <f>+K20-L20</f>
        <v>3284.4679855852914</v>
      </c>
      <c r="N20" s="43">
        <f>+K20+L20</f>
        <v>7767.112014414708</v>
      </c>
      <c r="O20" s="43">
        <f>ROUND(AVERAGEIFS(H20:J20,H20:J20, "&gt;= "&amp;M20,H20:J20, "&lt;= "&amp;N20),0)</f>
        <v>6789</v>
      </c>
      <c r="P20" s="122"/>
      <c r="Q20" s="122"/>
      <c r="R20" s="1"/>
      <c r="S20" s="1"/>
      <c r="T20" s="1"/>
    </row>
    <row r="21" spans="1:20" ht="20.25" customHeight="1">
      <c r="A21" s="1"/>
      <c r="B21" s="124"/>
      <c r="C21" s="123"/>
      <c r="D21" s="123"/>
      <c r="E21" s="38" t="s">
        <v>40</v>
      </c>
      <c r="F21" s="72" t="s">
        <v>53</v>
      </c>
      <c r="G21" s="37">
        <v>1</v>
      </c>
      <c r="H21" s="10">
        <v>3000</v>
      </c>
      <c r="I21" s="40">
        <v>800</v>
      </c>
      <c r="J21" s="10">
        <f t="shared" si="10"/>
        <v>7277.37</v>
      </c>
      <c r="K21" s="43">
        <f>AVERAGE(H21:J21)</f>
        <v>3692.4566666666665</v>
      </c>
      <c r="L21" s="43">
        <f>STDEVA(H21:J21)</f>
        <v>3293.7368907721416</v>
      </c>
      <c r="M21" s="43">
        <f>+K21-L21</f>
        <v>398.7197758945249</v>
      </c>
      <c r="N21" s="43">
        <f>+K21+L21</f>
        <v>6986.1935574388081</v>
      </c>
      <c r="O21" s="43">
        <f>ROUND(AVERAGEIFS(H21:J21,H21:J21, "&gt;= "&amp;M21,H21:J21, "&lt;= "&amp;N21),0)</f>
        <v>1900</v>
      </c>
      <c r="P21" s="121"/>
      <c r="Q21" s="121"/>
      <c r="R21" s="1"/>
      <c r="S21" s="1"/>
      <c r="T21" s="1"/>
    </row>
    <row r="22" spans="1:20" ht="20.25" customHeight="1">
      <c r="A22" s="1"/>
      <c r="B22" s="124">
        <v>5</v>
      </c>
      <c r="C22" s="130" t="s">
        <v>54</v>
      </c>
      <c r="D22" s="123" t="s">
        <v>55</v>
      </c>
      <c r="E22" s="38" t="s">
        <v>56</v>
      </c>
      <c r="F22" s="69" t="s">
        <v>57</v>
      </c>
      <c r="G22" s="37">
        <v>1</v>
      </c>
      <c r="H22" s="10">
        <v>3000</v>
      </c>
      <c r="I22" s="40">
        <v>3800</v>
      </c>
      <c r="J22" s="10">
        <f t="shared" ref="J22:J23" si="11">(6646*9.5%)+6646</f>
        <v>7277.37</v>
      </c>
      <c r="K22" s="43">
        <f t="shared" si="9"/>
        <v>4692.456666666666</v>
      </c>
      <c r="L22" s="43">
        <f t="shared" si="4"/>
        <v>2274.0564429304163</v>
      </c>
      <c r="M22" s="43">
        <f t="shared" si="5"/>
        <v>2418.4002237362497</v>
      </c>
      <c r="N22" s="43">
        <f t="shared" si="6"/>
        <v>6966.5131095970828</v>
      </c>
      <c r="O22" s="43">
        <f t="shared" si="7"/>
        <v>3400</v>
      </c>
      <c r="P22" s="120">
        <f>AVERAGE(O22:O23)</f>
        <v>2925</v>
      </c>
      <c r="Q22" s="120">
        <f t="shared" si="3"/>
        <v>2930</v>
      </c>
      <c r="R22" s="1"/>
      <c r="S22" s="1"/>
      <c r="T22" s="1"/>
    </row>
    <row r="23" spans="1:20" ht="70.5" customHeight="1">
      <c r="A23" s="1"/>
      <c r="B23" s="124"/>
      <c r="C23" s="130"/>
      <c r="D23" s="123"/>
      <c r="E23" s="38" t="s">
        <v>58</v>
      </c>
      <c r="F23" s="69" t="s">
        <v>59</v>
      </c>
      <c r="G23" s="37">
        <v>1</v>
      </c>
      <c r="H23" s="10">
        <v>3000</v>
      </c>
      <c r="I23" s="40">
        <v>1900</v>
      </c>
      <c r="J23" s="10">
        <f t="shared" si="11"/>
        <v>7277.37</v>
      </c>
      <c r="K23" s="43">
        <f t="shared" si="9"/>
        <v>4059.123333333333</v>
      </c>
      <c r="L23" s="43">
        <f t="shared" si="4"/>
        <v>2840.8332766343997</v>
      </c>
      <c r="M23" s="43">
        <f t="shared" si="5"/>
        <v>1218.2900566989333</v>
      </c>
      <c r="N23" s="43">
        <f t="shared" si="6"/>
        <v>6899.9566099677322</v>
      </c>
      <c r="O23" s="43">
        <f t="shared" si="7"/>
        <v>2450</v>
      </c>
      <c r="P23" s="121"/>
      <c r="Q23" s="121"/>
      <c r="R23" s="1"/>
      <c r="S23" s="1"/>
      <c r="T23" s="1"/>
    </row>
    <row r="24" spans="1:20" ht="20.25" customHeight="1">
      <c r="A24" s="1"/>
      <c r="B24" s="79">
        <v>6</v>
      </c>
      <c r="C24" s="38" t="s">
        <v>60</v>
      </c>
      <c r="D24" s="78" t="s">
        <v>60</v>
      </c>
      <c r="E24" s="38" t="s">
        <v>61</v>
      </c>
      <c r="F24" s="73" t="s">
        <v>60</v>
      </c>
      <c r="G24" s="37">
        <v>1</v>
      </c>
      <c r="H24" s="10">
        <v>3000</v>
      </c>
      <c r="I24" s="40">
        <v>3800</v>
      </c>
      <c r="J24" s="10">
        <f t="shared" ref="J24" si="12">(6646*9.5%)+6646</f>
        <v>7277.37</v>
      </c>
      <c r="K24" s="43">
        <f t="shared" si="9"/>
        <v>4692.456666666666</v>
      </c>
      <c r="L24" s="43">
        <f t="shared" si="4"/>
        <v>2274.0564429304163</v>
      </c>
      <c r="M24" s="43">
        <f t="shared" si="5"/>
        <v>2418.4002237362497</v>
      </c>
      <c r="N24" s="43">
        <f t="shared" si="6"/>
        <v>6966.5131095970828</v>
      </c>
      <c r="O24" s="43">
        <f t="shared" si="7"/>
        <v>3400</v>
      </c>
      <c r="P24" s="43">
        <f t="shared" ref="P24:P30" si="13">O24</f>
        <v>3400</v>
      </c>
      <c r="Q24" s="43">
        <f t="shared" si="3"/>
        <v>3400</v>
      </c>
      <c r="R24" s="1"/>
      <c r="S24" s="1"/>
      <c r="T24" s="1"/>
    </row>
    <row r="25" spans="1:20" ht="20.25" customHeight="1">
      <c r="A25" s="1"/>
      <c r="B25" s="79">
        <v>7</v>
      </c>
      <c r="C25" s="38" t="s">
        <v>62</v>
      </c>
      <c r="D25" s="78" t="s">
        <v>62</v>
      </c>
      <c r="E25" s="38" t="s">
        <v>63</v>
      </c>
      <c r="F25" s="77" t="s">
        <v>64</v>
      </c>
      <c r="G25" s="37">
        <v>1</v>
      </c>
      <c r="H25" s="10">
        <v>3000</v>
      </c>
      <c r="I25" s="40">
        <v>7500</v>
      </c>
      <c r="J25" s="10">
        <f t="shared" ref="J25" si="14">(6646*9.5%)+6646</f>
        <v>7277.37</v>
      </c>
      <c r="K25" s="43">
        <f t="shared" si="9"/>
        <v>5925.79</v>
      </c>
      <c r="L25" s="43">
        <f t="shared" si="4"/>
        <v>2536.252426770649</v>
      </c>
      <c r="M25" s="43">
        <f t="shared" si="5"/>
        <v>3389.537573229351</v>
      </c>
      <c r="N25" s="43">
        <f t="shared" si="6"/>
        <v>8462.0424267706494</v>
      </c>
      <c r="O25" s="43">
        <f t="shared" si="7"/>
        <v>7389</v>
      </c>
      <c r="P25" s="43">
        <f t="shared" si="13"/>
        <v>7389</v>
      </c>
      <c r="Q25" s="43">
        <f t="shared" si="3"/>
        <v>7390</v>
      </c>
      <c r="R25" s="1"/>
      <c r="S25" s="1"/>
      <c r="T25" s="1"/>
    </row>
    <row r="26" spans="1:20" ht="26.25" customHeight="1">
      <c r="A26" s="1"/>
      <c r="B26" s="79">
        <v>8</v>
      </c>
      <c r="C26" s="38" t="s">
        <v>65</v>
      </c>
      <c r="D26" s="78" t="s">
        <v>65</v>
      </c>
      <c r="E26" s="38" t="s">
        <v>66</v>
      </c>
      <c r="F26" s="74" t="s">
        <v>67</v>
      </c>
      <c r="G26" s="37">
        <v>1</v>
      </c>
      <c r="H26" s="10">
        <v>3000</v>
      </c>
      <c r="I26" s="40">
        <v>2500</v>
      </c>
      <c r="J26" s="10">
        <f t="shared" ref="J26" si="15">(6646*9.5%)+6646</f>
        <v>7277.37</v>
      </c>
      <c r="K26" s="43">
        <f t="shared" si="9"/>
        <v>4259.123333333333</v>
      </c>
      <c r="L26" s="43">
        <f t="shared" si="4"/>
        <v>2625.8064867071485</v>
      </c>
      <c r="M26" s="43">
        <f t="shared" si="5"/>
        <v>1633.3168466261845</v>
      </c>
      <c r="N26" s="43">
        <f t="shared" si="6"/>
        <v>6884.929820040481</v>
      </c>
      <c r="O26" s="43">
        <f t="shared" si="7"/>
        <v>2750</v>
      </c>
      <c r="P26" s="43">
        <f t="shared" si="13"/>
        <v>2750</v>
      </c>
      <c r="Q26" s="43">
        <f t="shared" si="3"/>
        <v>2750</v>
      </c>
      <c r="R26" s="1"/>
      <c r="S26" s="1"/>
      <c r="T26" s="1"/>
    </row>
    <row r="27" spans="1:20" ht="20.25" customHeight="1">
      <c r="A27" s="1"/>
      <c r="B27" s="79">
        <v>9</v>
      </c>
      <c r="C27" s="85" t="s">
        <v>68</v>
      </c>
      <c r="D27" s="86" t="s">
        <v>68</v>
      </c>
      <c r="E27" s="38" t="s">
        <v>40</v>
      </c>
      <c r="F27" s="75" t="s">
        <v>68</v>
      </c>
      <c r="G27" s="37">
        <v>1</v>
      </c>
      <c r="H27" s="10">
        <v>3000</v>
      </c>
      <c r="I27" s="40">
        <v>8345</v>
      </c>
      <c r="J27" s="10">
        <f t="shared" ref="J27" si="16">(6646*9.5%)+6646</f>
        <v>7277.37</v>
      </c>
      <c r="K27" s="43">
        <f t="shared" si="9"/>
        <v>6207.456666666666</v>
      </c>
      <c r="L27" s="43">
        <f t="shared" si="4"/>
        <v>2828.5671559348452</v>
      </c>
      <c r="M27" s="43">
        <f t="shared" si="5"/>
        <v>3378.8895107318208</v>
      </c>
      <c r="N27" s="43">
        <f t="shared" si="6"/>
        <v>9036.0238226015117</v>
      </c>
      <c r="O27" s="43">
        <f t="shared" si="7"/>
        <v>7811</v>
      </c>
      <c r="P27" s="43">
        <f t="shared" si="13"/>
        <v>7811</v>
      </c>
      <c r="Q27" s="43">
        <f t="shared" si="3"/>
        <v>7810</v>
      </c>
      <c r="R27" s="1"/>
      <c r="S27" s="1"/>
      <c r="T27" s="1"/>
    </row>
    <row r="28" spans="1:20" ht="62.25" customHeight="1">
      <c r="A28" s="1"/>
      <c r="B28" s="79">
        <v>10</v>
      </c>
      <c r="C28" s="44" t="s">
        <v>69</v>
      </c>
      <c r="D28" s="83" t="s">
        <v>70</v>
      </c>
      <c r="E28" s="44" t="s">
        <v>38</v>
      </c>
      <c r="F28" s="76" t="s">
        <v>71</v>
      </c>
      <c r="G28" s="37">
        <v>1</v>
      </c>
      <c r="H28" s="10">
        <v>3000</v>
      </c>
      <c r="I28" s="40">
        <v>3592</v>
      </c>
      <c r="J28" s="10">
        <f t="shared" ref="J28" si="17">(6646*9.5%)+6646</f>
        <v>7277.37</v>
      </c>
      <c r="K28" s="43">
        <f t="shared" si="9"/>
        <v>4623.123333333333</v>
      </c>
      <c r="L28" s="43">
        <f t="shared" si="4"/>
        <v>2317.6248673228665</v>
      </c>
      <c r="M28" s="43">
        <f t="shared" si="5"/>
        <v>2305.4984660104665</v>
      </c>
      <c r="N28" s="43">
        <f t="shared" si="6"/>
        <v>6940.7482006561995</v>
      </c>
      <c r="O28" s="43">
        <f t="shared" si="7"/>
        <v>3296</v>
      </c>
      <c r="P28" s="43">
        <f t="shared" si="13"/>
        <v>3296</v>
      </c>
      <c r="Q28" s="43">
        <f t="shared" si="3"/>
        <v>3300</v>
      </c>
      <c r="R28" s="1"/>
      <c r="S28" s="1"/>
      <c r="T28" s="1"/>
    </row>
    <row r="29" spans="1:20" ht="20.25" customHeight="1">
      <c r="A29" s="1"/>
      <c r="B29" s="79">
        <v>11</v>
      </c>
      <c r="C29" s="38" t="s">
        <v>72</v>
      </c>
      <c r="D29" s="78" t="s">
        <v>72</v>
      </c>
      <c r="E29" s="38" t="s">
        <v>38</v>
      </c>
      <c r="F29" s="80" t="s">
        <v>73</v>
      </c>
      <c r="G29" s="37">
        <v>1</v>
      </c>
      <c r="H29" s="10"/>
      <c r="I29" s="40"/>
      <c r="J29" s="10">
        <f>(8583*9.5%)+8583</f>
        <v>9398.3850000000002</v>
      </c>
      <c r="K29" s="43">
        <f t="shared" si="9"/>
        <v>9398.3850000000002</v>
      </c>
      <c r="L29" s="43">
        <v>0</v>
      </c>
      <c r="M29" s="43">
        <f t="shared" si="5"/>
        <v>9398.3850000000002</v>
      </c>
      <c r="N29" s="43">
        <f t="shared" si="6"/>
        <v>9398.3850000000002</v>
      </c>
      <c r="O29" s="43">
        <f t="shared" si="7"/>
        <v>9398</v>
      </c>
      <c r="P29" s="43">
        <f t="shared" si="13"/>
        <v>9398</v>
      </c>
      <c r="Q29" s="43">
        <f t="shared" si="3"/>
        <v>9400</v>
      </c>
      <c r="R29" s="1"/>
      <c r="S29" s="1"/>
      <c r="T29" s="1"/>
    </row>
    <row r="30" spans="1:20" ht="20.25" customHeight="1">
      <c r="A30" s="1"/>
      <c r="B30" s="79">
        <v>12</v>
      </c>
      <c r="C30" s="38" t="s">
        <v>74</v>
      </c>
      <c r="D30" s="78" t="s">
        <v>74</v>
      </c>
      <c r="E30" s="38" t="s">
        <v>38</v>
      </c>
      <c r="F30" s="81" t="s">
        <v>74</v>
      </c>
      <c r="G30" s="37">
        <v>1</v>
      </c>
      <c r="H30" s="10"/>
      <c r="I30" s="40"/>
      <c r="J30" s="10">
        <f>(6646*9.5%)+6646</f>
        <v>7277.37</v>
      </c>
      <c r="K30" s="43">
        <f t="shared" si="9"/>
        <v>7277.37</v>
      </c>
      <c r="L30" s="43">
        <v>0</v>
      </c>
      <c r="M30" s="43">
        <f t="shared" si="5"/>
        <v>7277.37</v>
      </c>
      <c r="N30" s="43">
        <f t="shared" si="6"/>
        <v>7277.37</v>
      </c>
      <c r="O30" s="43">
        <f t="shared" si="7"/>
        <v>7277</v>
      </c>
      <c r="P30" s="43">
        <f t="shared" si="13"/>
        <v>7277</v>
      </c>
      <c r="Q30" s="43">
        <f t="shared" si="3"/>
        <v>7280</v>
      </c>
      <c r="R30" s="1"/>
      <c r="S30" s="1"/>
      <c r="T30" s="1"/>
    </row>
    <row r="31" spans="1:20" ht="20.25" customHeight="1">
      <c r="A31" s="1"/>
      <c r="B31" s="89" t="s">
        <v>75</v>
      </c>
      <c r="C31" s="90"/>
      <c r="D31" s="90"/>
      <c r="E31" s="87">
        <f>MROUND((AVERAGE(O10:O30)),100)</f>
        <v>4300</v>
      </c>
      <c r="F31" s="45"/>
      <c r="G31" s="1"/>
      <c r="H31" s="1"/>
      <c r="I31" s="1"/>
      <c r="J31" s="1"/>
    </row>
    <row r="32" spans="1:20">
      <c r="A32" s="1"/>
      <c r="B32" s="92" t="s">
        <v>76</v>
      </c>
      <c r="C32" s="93"/>
      <c r="D32" s="93"/>
      <c r="E32" s="84">
        <f>'R. Oriente'!F11</f>
        <v>32</v>
      </c>
      <c r="F32" s="1"/>
      <c r="G32" s="1"/>
      <c r="H32" s="1"/>
      <c r="I32" s="1"/>
      <c r="J32" s="1"/>
      <c r="O32" s="114"/>
    </row>
    <row r="33" spans="1:20">
      <c r="A33" s="1"/>
      <c r="B33" s="94" t="s">
        <v>77</v>
      </c>
      <c r="C33" s="95"/>
      <c r="D33" s="95"/>
      <c r="E33" s="36">
        <v>200</v>
      </c>
      <c r="F33" s="1"/>
      <c r="G33" s="1"/>
      <c r="H33" s="1"/>
      <c r="I33" s="1"/>
      <c r="J33" s="1"/>
      <c r="P33" s="115"/>
      <c r="Q33" s="114"/>
    </row>
    <row r="34" spans="1:20">
      <c r="A34" s="1"/>
      <c r="B34" s="94" t="s">
        <v>78</v>
      </c>
      <c r="C34" s="95"/>
      <c r="D34" s="95"/>
      <c r="E34" s="36">
        <f>'sedes de recoleccion'!B24</f>
        <v>2</v>
      </c>
      <c r="F34" s="1"/>
      <c r="G34" s="1"/>
      <c r="H34" s="1"/>
      <c r="I34" s="1"/>
      <c r="J34" s="1"/>
    </row>
    <row r="35" spans="1:20">
      <c r="A35" s="1"/>
      <c r="B35" s="94" t="s">
        <v>79</v>
      </c>
      <c r="C35" s="95"/>
      <c r="D35" s="95"/>
      <c r="E35" s="36">
        <f>(E34*E33)+E32</f>
        <v>432</v>
      </c>
      <c r="F35" s="1"/>
      <c r="G35" s="1"/>
      <c r="H35" s="1"/>
      <c r="I35" s="1"/>
      <c r="J35" s="1"/>
    </row>
    <row r="36" spans="1:20" ht="15.75" thickBot="1">
      <c r="A36" s="1"/>
      <c r="B36" s="96" t="s">
        <v>80</v>
      </c>
      <c r="C36" s="97"/>
      <c r="D36" s="97"/>
      <c r="E36" s="46">
        <f>+E35*E31</f>
        <v>1857600</v>
      </c>
      <c r="F36" s="1"/>
      <c r="G36" s="82"/>
      <c r="H36" s="1"/>
      <c r="I36" s="1"/>
      <c r="J36" s="1"/>
    </row>
    <row r="37" spans="1:20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</sheetData>
  <mergeCells count="28">
    <mergeCell ref="B16:B18"/>
    <mergeCell ref="C16:C18"/>
    <mergeCell ref="D16:D18"/>
    <mergeCell ref="P16:P18"/>
    <mergeCell ref="B7:O7"/>
    <mergeCell ref="H8:J8"/>
    <mergeCell ref="K8:O8"/>
    <mergeCell ref="B10:B11"/>
    <mergeCell ref="C10:C11"/>
    <mergeCell ref="D10:D11"/>
    <mergeCell ref="P10:P11"/>
    <mergeCell ref="B12:B15"/>
    <mergeCell ref="C12:C15"/>
    <mergeCell ref="D12:D15"/>
    <mergeCell ref="P12:P15"/>
    <mergeCell ref="B19:B21"/>
    <mergeCell ref="C19:C21"/>
    <mergeCell ref="D19:D21"/>
    <mergeCell ref="P19:P21"/>
    <mergeCell ref="B22:B23"/>
    <mergeCell ref="C22:C23"/>
    <mergeCell ref="D22:D23"/>
    <mergeCell ref="P22:P23"/>
    <mergeCell ref="Q10:Q11"/>
    <mergeCell ref="Q12:Q15"/>
    <mergeCell ref="Q16:Q18"/>
    <mergeCell ref="Q19:Q21"/>
    <mergeCell ref="Q22:Q2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9E3AA-E092-4456-B37B-58395ED15C63}">
  <dimension ref="B2:C24"/>
  <sheetViews>
    <sheetView workbookViewId="0">
      <selection activeCell="D30" sqref="D30"/>
    </sheetView>
  </sheetViews>
  <sheetFormatPr defaultColWidth="11.42578125" defaultRowHeight="15"/>
  <cols>
    <col min="2" max="2" width="23.42578125" customWidth="1"/>
    <col min="3" max="3" width="32.28515625" customWidth="1"/>
  </cols>
  <sheetData>
    <row r="2" spans="2:3" ht="15.75" thickBot="1">
      <c r="B2" s="99" t="s">
        <v>81</v>
      </c>
      <c r="C2" s="98" t="s">
        <v>82</v>
      </c>
    </row>
    <row r="3" spans="2:3" ht="17.25" customHeight="1">
      <c r="B3" s="100" t="s">
        <v>83</v>
      </c>
      <c r="C3" s="101" t="s">
        <v>84</v>
      </c>
    </row>
    <row r="4" spans="2:3" ht="17.25" customHeight="1">
      <c r="B4" s="102" t="s">
        <v>85</v>
      </c>
      <c r="C4" s="103" t="s">
        <v>86</v>
      </c>
    </row>
    <row r="5" spans="2:3" ht="17.25" customHeight="1">
      <c r="B5" s="104">
        <v>7</v>
      </c>
      <c r="C5" s="103" t="s">
        <v>87</v>
      </c>
    </row>
    <row r="6" spans="2:3" ht="17.25" customHeight="1">
      <c r="B6" s="104" t="s">
        <v>88</v>
      </c>
      <c r="C6" s="103" t="s">
        <v>89</v>
      </c>
    </row>
    <row r="7" spans="2:3" ht="17.25" customHeight="1">
      <c r="B7" s="105"/>
      <c r="C7" s="103" t="s">
        <v>90</v>
      </c>
    </row>
    <row r="8" spans="2:3" ht="17.25" customHeight="1">
      <c r="B8" s="105"/>
      <c r="C8" s="103" t="s">
        <v>91</v>
      </c>
    </row>
    <row r="9" spans="2:3" ht="17.25" customHeight="1" thickBot="1">
      <c r="B9" s="106"/>
      <c r="C9" s="107" t="s">
        <v>92</v>
      </c>
    </row>
    <row r="10" spans="2:3" ht="17.25" customHeight="1">
      <c r="B10" s="108" t="s">
        <v>93</v>
      </c>
      <c r="C10" s="101" t="s">
        <v>94</v>
      </c>
    </row>
    <row r="11" spans="2:3" ht="17.25" customHeight="1">
      <c r="B11" s="102" t="s">
        <v>95</v>
      </c>
      <c r="C11" s="103" t="s">
        <v>96</v>
      </c>
    </row>
    <row r="12" spans="2:3" ht="17.25" customHeight="1">
      <c r="B12" s="104" t="s">
        <v>88</v>
      </c>
      <c r="C12" s="103" t="s">
        <v>97</v>
      </c>
    </row>
    <row r="13" spans="2:3" ht="17.25" customHeight="1">
      <c r="B13" s="104">
        <v>7</v>
      </c>
      <c r="C13" s="103" t="s">
        <v>98</v>
      </c>
    </row>
    <row r="14" spans="2:3" ht="17.25" customHeight="1">
      <c r="B14" s="105"/>
      <c r="C14" s="103" t="s">
        <v>99</v>
      </c>
    </row>
    <row r="15" spans="2:3" ht="27" customHeight="1" thickBot="1">
      <c r="B15" s="106"/>
      <c r="C15" s="109" t="s">
        <v>100</v>
      </c>
    </row>
    <row r="16" spans="2:3" ht="17.25" customHeight="1">
      <c r="B16" s="110" t="s">
        <v>101</v>
      </c>
      <c r="C16" s="101" t="s">
        <v>102</v>
      </c>
    </row>
    <row r="17" spans="2:3" ht="17.25" customHeight="1">
      <c r="B17" s="102" t="s">
        <v>103</v>
      </c>
      <c r="C17" s="103" t="s">
        <v>104</v>
      </c>
    </row>
    <row r="18" spans="2:3" ht="17.25" customHeight="1">
      <c r="B18" s="104" t="s">
        <v>105</v>
      </c>
      <c r="C18" s="103" t="s">
        <v>106</v>
      </c>
    </row>
    <row r="19" spans="2:3" ht="17.25" customHeight="1">
      <c r="B19" s="105"/>
      <c r="C19" s="103" t="s">
        <v>107</v>
      </c>
    </row>
    <row r="20" spans="2:3" ht="29.25" customHeight="1">
      <c r="B20" s="104">
        <v>6</v>
      </c>
      <c r="C20" s="103" t="s">
        <v>108</v>
      </c>
    </row>
    <row r="21" spans="2:3" ht="17.25" customHeight="1" thickBot="1">
      <c r="B21" s="106"/>
      <c r="C21" s="107" t="s">
        <v>109</v>
      </c>
    </row>
    <row r="22" spans="2:3" ht="31.5" customHeight="1">
      <c r="B22" s="100" t="s">
        <v>110</v>
      </c>
      <c r="C22" s="111" t="s">
        <v>111</v>
      </c>
    </row>
    <row r="23" spans="2:3" ht="17.25" customHeight="1" thickBot="1">
      <c r="B23" s="112" t="s">
        <v>112</v>
      </c>
      <c r="C23" s="113" t="s">
        <v>113</v>
      </c>
    </row>
    <row r="24" spans="2:3" ht="17.25" customHeight="1">
      <c r="B24">
        <v>2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AC9FD-4F99-4CB4-90FE-5D7E03566E21}">
  <sheetPr>
    <tabColor theme="4" tint="0.39997558519241921"/>
  </sheetPr>
  <dimension ref="A1:N21"/>
  <sheetViews>
    <sheetView topLeftCell="A3" zoomScale="85" zoomScaleNormal="85" zoomScaleSheetLayoutView="100" workbookViewId="0">
      <pane xSplit="2" ySplit="3" topLeftCell="C6" activePane="bottomRight" state="frozen"/>
      <selection pane="bottomRight" activeCell="K10" sqref="K10"/>
      <selection pane="bottomLeft" activeCell="G31" sqref="G31"/>
      <selection pane="topRight" activeCell="G31" sqref="G31"/>
    </sheetView>
  </sheetViews>
  <sheetFormatPr defaultColWidth="11.42578125" defaultRowHeight="12.75"/>
  <cols>
    <col min="1" max="1" width="13.42578125" style="14" customWidth="1"/>
    <col min="2" max="2" width="31.42578125" style="14" customWidth="1"/>
    <col min="3" max="16384" width="11.42578125" style="14"/>
  </cols>
  <sheetData>
    <row r="1" spans="1:12" ht="60.75" customHeight="1">
      <c r="A1" s="139" t="s">
        <v>114</v>
      </c>
      <c r="B1" s="140"/>
    </row>
    <row r="2" spans="1:12" ht="5.25" customHeight="1"/>
    <row r="3" spans="1:12" ht="5.25" customHeight="1" thickBot="1"/>
    <row r="4" spans="1:12" ht="27.75" customHeight="1">
      <c r="A4" s="141" t="s">
        <v>115</v>
      </c>
      <c r="B4" s="143" t="s">
        <v>116</v>
      </c>
      <c r="C4" s="137" t="s">
        <v>117</v>
      </c>
      <c r="D4" s="138"/>
      <c r="E4" s="137" t="s">
        <v>118</v>
      </c>
      <c r="F4" s="138"/>
      <c r="G4" s="137" t="s">
        <v>119</v>
      </c>
      <c r="H4" s="138"/>
      <c r="I4" s="137" t="s">
        <v>120</v>
      </c>
      <c r="J4" s="138"/>
      <c r="K4" s="137" t="s">
        <v>5</v>
      </c>
      <c r="L4" s="138"/>
    </row>
    <row r="5" spans="1:12" ht="27.75" customHeight="1" thickBot="1">
      <c r="A5" s="142"/>
      <c r="B5" s="144"/>
      <c r="C5" s="15" t="s">
        <v>121</v>
      </c>
      <c r="D5" s="16" t="s">
        <v>122</v>
      </c>
      <c r="E5" s="15" t="s">
        <v>121</v>
      </c>
      <c r="F5" s="16" t="s">
        <v>122</v>
      </c>
      <c r="G5" s="15" t="s">
        <v>121</v>
      </c>
      <c r="H5" s="16" t="s">
        <v>122</v>
      </c>
      <c r="I5" s="15" t="s">
        <v>121</v>
      </c>
      <c r="J5" s="16" t="s">
        <v>122</v>
      </c>
      <c r="K5" s="15" t="s">
        <v>121</v>
      </c>
      <c r="L5" s="16" t="s">
        <v>122</v>
      </c>
    </row>
    <row r="6" spans="1:12">
      <c r="A6" s="17" t="s">
        <v>32</v>
      </c>
      <c r="B6" s="18" t="s">
        <v>33</v>
      </c>
      <c r="C6" s="19">
        <v>45</v>
      </c>
      <c r="D6" s="20">
        <f>+C6*1.5</f>
        <v>67.5</v>
      </c>
      <c r="E6" s="19"/>
      <c r="F6" s="20"/>
      <c r="G6" s="19">
        <v>280</v>
      </c>
      <c r="H6" s="20">
        <v>186</v>
      </c>
      <c r="I6" s="19">
        <v>96</v>
      </c>
      <c r="J6" s="20">
        <v>20.239999999999998</v>
      </c>
      <c r="K6" s="21">
        <f>+C6+E6+G6+I6</f>
        <v>421</v>
      </c>
      <c r="L6" s="21">
        <f>+D6+F6+H6+J6</f>
        <v>273.74</v>
      </c>
    </row>
    <row r="7" spans="1:12" ht="18.75" customHeight="1">
      <c r="A7" s="22" t="s">
        <v>42</v>
      </c>
      <c r="B7" s="23" t="s">
        <v>43</v>
      </c>
      <c r="C7" s="24"/>
      <c r="D7" s="23"/>
      <c r="E7" s="24"/>
      <c r="F7" s="23"/>
      <c r="G7" s="24">
        <v>1</v>
      </c>
      <c r="H7" s="23">
        <v>10</v>
      </c>
      <c r="I7" s="24"/>
      <c r="J7" s="23"/>
      <c r="K7" s="21">
        <f t="shared" ref="K7:L16" si="0">+C7+E7+G7+I7</f>
        <v>1</v>
      </c>
      <c r="L7" s="21">
        <f t="shared" si="0"/>
        <v>10</v>
      </c>
    </row>
    <row r="8" spans="1:12" ht="56.25" customHeight="1">
      <c r="A8" s="22" t="s">
        <v>61</v>
      </c>
      <c r="B8" s="23" t="s">
        <v>60</v>
      </c>
      <c r="C8" s="24">
        <v>300</v>
      </c>
      <c r="D8" s="23">
        <f>+C8*2.3</f>
        <v>690</v>
      </c>
      <c r="E8" s="24"/>
      <c r="F8" s="23">
        <v>44.5</v>
      </c>
      <c r="G8" s="24">
        <v>400</v>
      </c>
      <c r="H8" s="23">
        <v>168</v>
      </c>
      <c r="I8" s="24"/>
      <c r="J8" s="23"/>
      <c r="K8" s="21">
        <f t="shared" si="0"/>
        <v>700</v>
      </c>
      <c r="L8" s="21">
        <f t="shared" si="0"/>
        <v>902.5</v>
      </c>
    </row>
    <row r="9" spans="1:12">
      <c r="A9" s="22" t="s">
        <v>123</v>
      </c>
      <c r="B9" s="23" t="s">
        <v>124</v>
      </c>
      <c r="C9" s="24"/>
      <c r="D9" s="23"/>
      <c r="E9" s="24"/>
      <c r="F9" s="23">
        <v>13.42</v>
      </c>
      <c r="G9" s="24">
        <v>80</v>
      </c>
      <c r="H9" s="23">
        <v>0.8</v>
      </c>
      <c r="I9" s="24"/>
      <c r="J9" s="23"/>
      <c r="K9" s="21">
        <f t="shared" si="0"/>
        <v>80</v>
      </c>
      <c r="L9" s="21">
        <f t="shared" si="0"/>
        <v>14.22</v>
      </c>
    </row>
    <row r="10" spans="1:12" ht="25.5">
      <c r="A10" s="22" t="s">
        <v>42</v>
      </c>
      <c r="B10" s="23" t="s">
        <v>46</v>
      </c>
      <c r="C10" s="24"/>
      <c r="D10" s="23"/>
      <c r="E10" s="24"/>
      <c r="F10" s="23"/>
      <c r="G10" s="24">
        <v>760</v>
      </c>
      <c r="H10" s="23">
        <v>310.39999999999998</v>
      </c>
      <c r="I10" s="24"/>
      <c r="J10" s="23"/>
      <c r="K10" s="21">
        <f t="shared" si="0"/>
        <v>760</v>
      </c>
      <c r="L10" s="21">
        <f t="shared" si="0"/>
        <v>310.39999999999998</v>
      </c>
    </row>
    <row r="11" spans="1:12" s="67" customFormat="1">
      <c r="A11" s="62" t="s">
        <v>125</v>
      </c>
      <c r="B11" s="63" t="s">
        <v>126</v>
      </c>
      <c r="C11" s="64">
        <v>692</v>
      </c>
      <c r="D11" s="63"/>
      <c r="E11" s="64"/>
      <c r="F11" s="63"/>
      <c r="G11" s="64">
        <v>2520</v>
      </c>
      <c r="H11" s="63">
        <v>18376</v>
      </c>
      <c r="I11" s="64"/>
      <c r="J11" s="63"/>
      <c r="K11" s="65">
        <f t="shared" si="0"/>
        <v>3212</v>
      </c>
      <c r="L11" s="66">
        <f t="shared" si="0"/>
        <v>18376</v>
      </c>
    </row>
    <row r="12" spans="1:12">
      <c r="A12" s="22" t="s">
        <v>50</v>
      </c>
      <c r="B12" s="23" t="s">
        <v>51</v>
      </c>
      <c r="C12" s="24"/>
      <c r="D12" s="23"/>
      <c r="E12" s="24"/>
      <c r="F12" s="23"/>
      <c r="G12" s="24">
        <v>20</v>
      </c>
      <c r="H12" s="23">
        <v>30</v>
      </c>
      <c r="I12" s="24"/>
      <c r="J12" s="23"/>
      <c r="K12" s="21">
        <f t="shared" si="0"/>
        <v>20</v>
      </c>
      <c r="L12" s="21">
        <f t="shared" si="0"/>
        <v>30</v>
      </c>
    </row>
    <row r="13" spans="1:12">
      <c r="A13" s="25" t="s">
        <v>40</v>
      </c>
      <c r="B13" s="23" t="s">
        <v>68</v>
      </c>
      <c r="C13" s="24"/>
      <c r="D13" s="23"/>
      <c r="E13" s="24"/>
      <c r="F13" s="23">
        <v>7</v>
      </c>
      <c r="G13" s="24">
        <v>1</v>
      </c>
      <c r="H13" s="23">
        <v>11.35</v>
      </c>
      <c r="I13" s="24"/>
      <c r="J13" s="23"/>
      <c r="K13" s="21">
        <f t="shared" si="0"/>
        <v>1</v>
      </c>
      <c r="L13" s="21">
        <f t="shared" si="0"/>
        <v>18.350000000000001</v>
      </c>
    </row>
    <row r="14" spans="1:12">
      <c r="A14" s="25" t="s">
        <v>40</v>
      </c>
      <c r="B14" s="23" t="s">
        <v>127</v>
      </c>
      <c r="C14" s="24"/>
      <c r="D14" s="23"/>
      <c r="E14" s="24"/>
      <c r="F14" s="23">
        <v>20</v>
      </c>
      <c r="G14" s="24"/>
      <c r="H14" s="23"/>
      <c r="I14" s="24"/>
      <c r="J14" s="23"/>
      <c r="K14" s="21">
        <f t="shared" si="0"/>
        <v>0</v>
      </c>
      <c r="L14" s="21">
        <f t="shared" si="0"/>
        <v>20</v>
      </c>
    </row>
    <row r="15" spans="1:12" ht="25.5">
      <c r="A15" s="25" t="s">
        <v>42</v>
      </c>
      <c r="B15" s="23" t="s">
        <v>128</v>
      </c>
      <c r="C15" s="24"/>
      <c r="D15" s="23"/>
      <c r="E15" s="24"/>
      <c r="F15" s="23"/>
      <c r="G15" s="24">
        <v>100</v>
      </c>
      <c r="H15" s="23">
        <v>227</v>
      </c>
      <c r="I15" s="24"/>
      <c r="J15" s="23"/>
      <c r="K15" s="21">
        <f t="shared" si="0"/>
        <v>100</v>
      </c>
      <c r="L15" s="21">
        <f t="shared" si="0"/>
        <v>227</v>
      </c>
    </row>
    <row r="16" spans="1:12">
      <c r="A16" s="22" t="s">
        <v>40</v>
      </c>
      <c r="B16" s="23" t="s">
        <v>52</v>
      </c>
      <c r="C16" s="24"/>
      <c r="D16" s="23"/>
      <c r="E16" s="24"/>
      <c r="F16" s="23">
        <v>200</v>
      </c>
      <c r="G16" s="24"/>
      <c r="H16" s="23"/>
      <c r="I16" s="24"/>
      <c r="J16" s="23"/>
      <c r="K16" s="21">
        <f t="shared" si="0"/>
        <v>0</v>
      </c>
      <c r="L16" s="21">
        <f t="shared" si="0"/>
        <v>200</v>
      </c>
    </row>
    <row r="17" spans="11:14">
      <c r="K17" s="14" t="s">
        <v>129</v>
      </c>
      <c r="L17" s="34">
        <f>+L6+L7+L8+L9+L10+L12+L13+L14+L15+L16</f>
        <v>2006.21</v>
      </c>
      <c r="M17" s="27"/>
      <c r="N17" s="26"/>
    </row>
    <row r="19" spans="11:14">
      <c r="M19" s="26"/>
    </row>
    <row r="21" spans="11:14">
      <c r="M21" s="26"/>
    </row>
  </sheetData>
  <mergeCells count="8">
    <mergeCell ref="I4:J4"/>
    <mergeCell ref="K4:L4"/>
    <mergeCell ref="A1:B1"/>
    <mergeCell ref="A4:A5"/>
    <mergeCell ref="B4:B5"/>
    <mergeCell ref="C4:D4"/>
    <mergeCell ref="E4:F4"/>
    <mergeCell ref="G4:H4"/>
  </mergeCells>
  <pageMargins left="0.7" right="0.7" top="0.75" bottom="0.75" header="0.3" footer="0.3"/>
  <pageSetup paperSize="9" scale="2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C2122-AAEE-4DA9-A6B2-D21C6AEE79D4}">
  <sheetPr>
    <tabColor theme="7" tint="0.59999389629810485"/>
  </sheetPr>
  <dimension ref="A1:K17"/>
  <sheetViews>
    <sheetView topLeftCell="A3" zoomScale="85" zoomScaleNormal="85" zoomScaleSheetLayoutView="85" workbookViewId="0">
      <pane xSplit="2" ySplit="4" topLeftCell="C7" activePane="bottomRight" state="frozen"/>
      <selection pane="bottomRight" activeCell="D7" sqref="D7"/>
      <selection pane="bottomLeft" activeCell="G31" sqref="G31"/>
      <selection pane="topRight" activeCell="G31" sqref="G31"/>
    </sheetView>
  </sheetViews>
  <sheetFormatPr defaultColWidth="11.42578125" defaultRowHeight="12.75"/>
  <cols>
    <col min="1" max="1" width="13.42578125" style="14" customWidth="1"/>
    <col min="2" max="2" width="31.42578125" style="14" customWidth="1"/>
    <col min="3" max="3" width="7.7109375" style="14" customWidth="1"/>
    <col min="4" max="4" width="10.7109375" style="14" customWidth="1"/>
    <col min="5" max="5" width="7.7109375" style="14" customWidth="1"/>
    <col min="6" max="6" width="10.7109375" style="14" customWidth="1"/>
    <col min="7" max="7" width="7.7109375" style="14" customWidth="1"/>
    <col min="8" max="8" width="10.7109375" style="14" customWidth="1"/>
    <col min="9" max="16384" width="11.42578125" style="14"/>
  </cols>
  <sheetData>
    <row r="1" spans="1:10" ht="60.75" customHeight="1">
      <c r="A1" s="139" t="s">
        <v>114</v>
      </c>
      <c r="B1" s="140"/>
      <c r="D1" s="28"/>
      <c r="F1" s="28"/>
      <c r="H1" s="28"/>
    </row>
    <row r="2" spans="1:10" ht="5.25" customHeight="1"/>
    <row r="3" spans="1:10" ht="30" customHeight="1">
      <c r="A3" s="29" t="s">
        <v>130</v>
      </c>
      <c r="B3" s="29"/>
      <c r="D3" s="29"/>
      <c r="F3" s="29"/>
      <c r="H3" s="29"/>
    </row>
    <row r="4" spans="1:10" ht="5.25" customHeight="1" thickBot="1"/>
    <row r="5" spans="1:10" ht="27.75" customHeight="1">
      <c r="A5" s="141" t="s">
        <v>115</v>
      </c>
      <c r="B5" s="143" t="s">
        <v>116</v>
      </c>
      <c r="C5" s="137" t="s">
        <v>131</v>
      </c>
      <c r="D5" s="138"/>
      <c r="E5" s="137" t="s">
        <v>132</v>
      </c>
      <c r="F5" s="138"/>
      <c r="G5" s="137" t="s">
        <v>133</v>
      </c>
      <c r="H5" s="138"/>
      <c r="I5" s="137" t="s">
        <v>5</v>
      </c>
      <c r="J5" s="138"/>
    </row>
    <row r="6" spans="1:10" ht="43.5" customHeight="1" thickBot="1">
      <c r="A6" s="142"/>
      <c r="B6" s="144"/>
      <c r="C6" s="15" t="s">
        <v>121</v>
      </c>
      <c r="D6" s="16" t="s">
        <v>122</v>
      </c>
      <c r="E6" s="15" t="s">
        <v>121</v>
      </c>
      <c r="F6" s="16" t="s">
        <v>122</v>
      </c>
      <c r="G6" s="15" t="s">
        <v>121</v>
      </c>
      <c r="H6" s="16" t="s">
        <v>122</v>
      </c>
      <c r="I6" s="15" t="s">
        <v>121</v>
      </c>
      <c r="J6" s="16" t="s">
        <v>122</v>
      </c>
    </row>
    <row r="7" spans="1:10" ht="36" customHeight="1">
      <c r="A7" s="17" t="s">
        <v>32</v>
      </c>
      <c r="B7" s="18" t="s">
        <v>33</v>
      </c>
      <c r="C7" s="19"/>
      <c r="D7" s="20">
        <v>274</v>
      </c>
      <c r="E7" s="19"/>
      <c r="F7" s="20">
        <v>65.400000000000006</v>
      </c>
      <c r="G7" s="19"/>
      <c r="H7" s="20">
        <v>40</v>
      </c>
      <c r="I7" s="21">
        <f>C7+E7+G7</f>
        <v>0</v>
      </c>
      <c r="J7" s="21">
        <f>D7+F7+H7</f>
        <v>379.4</v>
      </c>
    </row>
    <row r="8" spans="1:10" ht="56.25" customHeight="1">
      <c r="A8" s="22" t="s">
        <v>61</v>
      </c>
      <c r="B8" s="23" t="s">
        <v>60</v>
      </c>
      <c r="C8" s="24"/>
      <c r="D8" s="23">
        <v>596.71000000000026</v>
      </c>
      <c r="E8" s="24"/>
      <c r="F8" s="23">
        <v>20.2</v>
      </c>
      <c r="G8" s="24"/>
      <c r="H8" s="23"/>
      <c r="I8" s="21">
        <f t="shared" ref="I8:J16" si="0">C8+E8+G8</f>
        <v>0</v>
      </c>
      <c r="J8" s="21">
        <f t="shared" si="0"/>
        <v>616.91000000000031</v>
      </c>
    </row>
    <row r="9" spans="1:10">
      <c r="A9" s="22" t="s">
        <v>123</v>
      </c>
      <c r="B9" s="23" t="s">
        <v>124</v>
      </c>
      <c r="C9" s="24"/>
      <c r="D9" s="23"/>
      <c r="E9" s="24"/>
      <c r="F9" s="23"/>
      <c r="G9" s="24"/>
      <c r="H9" s="23">
        <v>1.1000000000000001</v>
      </c>
      <c r="I9" s="21">
        <f t="shared" si="0"/>
        <v>0</v>
      </c>
      <c r="J9" s="21">
        <f t="shared" si="0"/>
        <v>1.1000000000000001</v>
      </c>
    </row>
    <row r="10" spans="1:10">
      <c r="A10" s="22" t="s">
        <v>40</v>
      </c>
      <c r="B10" s="23" t="s">
        <v>134</v>
      </c>
      <c r="C10" s="24"/>
      <c r="D10" s="23"/>
      <c r="E10" s="24"/>
      <c r="F10" s="23"/>
      <c r="G10" s="24"/>
      <c r="H10" s="23">
        <v>3.4</v>
      </c>
      <c r="I10" s="21">
        <f t="shared" si="0"/>
        <v>0</v>
      </c>
      <c r="J10" s="21">
        <f t="shared" si="0"/>
        <v>3.4</v>
      </c>
    </row>
    <row r="11" spans="1:10">
      <c r="A11" s="22" t="s">
        <v>125</v>
      </c>
      <c r="B11" s="23" t="s">
        <v>126</v>
      </c>
      <c r="C11" s="24"/>
      <c r="D11" s="23">
        <v>6861.2</v>
      </c>
      <c r="E11" s="24"/>
      <c r="F11" s="23">
        <v>4992</v>
      </c>
      <c r="G11" s="24"/>
      <c r="H11" s="23"/>
      <c r="I11" s="21">
        <f t="shared" si="0"/>
        <v>0</v>
      </c>
      <c r="J11" s="21">
        <f t="shared" si="0"/>
        <v>11853.2</v>
      </c>
    </row>
    <row r="12" spans="1:10">
      <c r="A12" s="22" t="s">
        <v>40</v>
      </c>
      <c r="B12" s="23" t="s">
        <v>41</v>
      </c>
      <c r="C12" s="24"/>
      <c r="D12" s="23">
        <v>0.65</v>
      </c>
      <c r="E12" s="24"/>
      <c r="F12" s="23"/>
      <c r="G12" s="24"/>
      <c r="H12" s="23">
        <v>7.5</v>
      </c>
      <c r="I12" s="21">
        <f t="shared" si="0"/>
        <v>0</v>
      </c>
      <c r="J12" s="21">
        <f t="shared" si="0"/>
        <v>8.15</v>
      </c>
    </row>
    <row r="13" spans="1:10">
      <c r="A13" s="22" t="s">
        <v>34</v>
      </c>
      <c r="B13" s="23" t="s">
        <v>37</v>
      </c>
      <c r="C13" s="24"/>
      <c r="D13" s="23"/>
      <c r="E13" s="24"/>
      <c r="F13" s="23"/>
      <c r="G13" s="24"/>
      <c r="H13" s="23">
        <v>1</v>
      </c>
      <c r="I13" s="21">
        <f t="shared" si="0"/>
        <v>0</v>
      </c>
      <c r="J13" s="21">
        <f t="shared" si="0"/>
        <v>1</v>
      </c>
    </row>
    <row r="14" spans="1:10">
      <c r="A14" s="25" t="s">
        <v>56</v>
      </c>
      <c r="B14" s="23" t="s">
        <v>57</v>
      </c>
      <c r="C14" s="24"/>
      <c r="D14" s="23"/>
      <c r="E14" s="24"/>
      <c r="F14" s="23">
        <v>4.8</v>
      </c>
      <c r="G14" s="24"/>
      <c r="H14" s="23"/>
      <c r="I14" s="21">
        <f t="shared" si="0"/>
        <v>0</v>
      </c>
      <c r="J14" s="21">
        <f t="shared" si="0"/>
        <v>4.8</v>
      </c>
    </row>
    <row r="15" spans="1:10">
      <c r="A15" s="22" t="s">
        <v>63</v>
      </c>
      <c r="B15" s="23" t="s">
        <v>64</v>
      </c>
      <c r="C15" s="24"/>
      <c r="D15" s="23">
        <f>+(2.25*39)+(7.3*8)+(4.8*5)+((27+11+14)*11.9)</f>
        <v>788.95</v>
      </c>
      <c r="E15" s="24"/>
      <c r="F15" s="23"/>
      <c r="G15" s="24"/>
      <c r="H15" s="23"/>
      <c r="I15" s="21">
        <f t="shared" si="0"/>
        <v>0</v>
      </c>
      <c r="J15" s="21">
        <f t="shared" si="0"/>
        <v>788.95</v>
      </c>
    </row>
    <row r="16" spans="1:10" ht="38.25">
      <c r="A16" s="22" t="s">
        <v>66</v>
      </c>
      <c r="B16" s="23" t="s">
        <v>67</v>
      </c>
      <c r="C16" s="24"/>
      <c r="D16" s="23">
        <f>14.05+0.9+6.35+0.9+11.75+3.55+0.35</f>
        <v>37.85</v>
      </c>
      <c r="E16" s="24"/>
      <c r="F16" s="23"/>
      <c r="G16" s="24"/>
      <c r="H16" s="23"/>
      <c r="I16" s="21">
        <f t="shared" si="0"/>
        <v>0</v>
      </c>
      <c r="J16" s="21">
        <f t="shared" si="0"/>
        <v>37.85</v>
      </c>
    </row>
    <row r="17" spans="9:11">
      <c r="I17" s="14" t="s">
        <v>129</v>
      </c>
      <c r="J17" s="34">
        <f>+J7+J8+J9+J10+J12+J13+J14+J15+J16</f>
        <v>1841.5600000000002</v>
      </c>
      <c r="K17" s="26"/>
    </row>
  </sheetData>
  <mergeCells count="7">
    <mergeCell ref="I5:J5"/>
    <mergeCell ref="A1:B1"/>
    <mergeCell ref="A5:A6"/>
    <mergeCell ref="B5:B6"/>
    <mergeCell ref="C5:D5"/>
    <mergeCell ref="E5:F5"/>
    <mergeCell ref="G5:H5"/>
  </mergeCells>
  <pageMargins left="0.7" right="0.7" top="0.75" bottom="0.75" header="0.3" footer="0.3"/>
  <pageSetup paperSize="9" scale="2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E6F63-99B6-4C0A-BB2F-344DCF935004}">
  <sheetPr>
    <tabColor theme="5" tint="-0.249977111117893"/>
  </sheetPr>
  <dimension ref="A1:M19"/>
  <sheetViews>
    <sheetView topLeftCell="A3" zoomScale="85" zoomScaleNormal="85" zoomScaleSheetLayoutView="100" workbookViewId="0">
      <pane xSplit="2" ySplit="4" topLeftCell="C7" activePane="bottomRight" state="frozen"/>
      <selection pane="bottomRight" activeCell="H49" sqref="H49"/>
      <selection pane="bottomLeft" activeCell="G31" sqref="G31"/>
      <selection pane="topRight" activeCell="G31" sqref="G31"/>
    </sheetView>
  </sheetViews>
  <sheetFormatPr defaultColWidth="11.42578125" defaultRowHeight="12.75"/>
  <cols>
    <col min="1" max="1" width="13.42578125" style="14" customWidth="1"/>
    <col min="2" max="2" width="31.42578125" style="14" customWidth="1"/>
    <col min="3" max="3" width="7.7109375" style="14" customWidth="1"/>
    <col min="4" max="4" width="10.7109375" style="14" customWidth="1"/>
    <col min="5" max="5" width="10.5703125" style="14" customWidth="1"/>
    <col min="6" max="6" width="10.7109375" style="14" customWidth="1"/>
    <col min="7" max="7" width="7.7109375" style="14" customWidth="1"/>
    <col min="8" max="8" width="10.7109375" style="14" customWidth="1"/>
    <col min="9" max="9" width="7.7109375" style="14" customWidth="1"/>
    <col min="10" max="10" width="10.7109375" style="14" customWidth="1"/>
    <col min="11" max="16384" width="11.42578125" style="14"/>
  </cols>
  <sheetData>
    <row r="1" spans="1:12" ht="60.75" customHeight="1">
      <c r="A1" s="139" t="s">
        <v>114</v>
      </c>
      <c r="B1" s="140"/>
      <c r="C1" s="140"/>
      <c r="D1" s="28"/>
      <c r="F1" s="28"/>
      <c r="H1" s="28"/>
      <c r="J1" s="28"/>
    </row>
    <row r="2" spans="1:12" ht="5.25" customHeight="1"/>
    <row r="3" spans="1:12" ht="30" customHeight="1">
      <c r="A3" s="29" t="s">
        <v>130</v>
      </c>
      <c r="B3" s="29"/>
      <c r="C3" s="29"/>
      <c r="D3" s="29"/>
      <c r="F3" s="29"/>
      <c r="H3" s="29"/>
      <c r="J3" s="29"/>
    </row>
    <row r="4" spans="1:12" ht="5.25" customHeight="1" thickBot="1"/>
    <row r="5" spans="1:12" ht="27.75" customHeight="1">
      <c r="A5" s="141" t="s">
        <v>115</v>
      </c>
      <c r="B5" s="143" t="s">
        <v>116</v>
      </c>
      <c r="C5" s="137" t="s">
        <v>135</v>
      </c>
      <c r="D5" s="138"/>
      <c r="E5" s="137" t="s">
        <v>136</v>
      </c>
      <c r="F5" s="138"/>
      <c r="G5" s="137" t="s">
        <v>137</v>
      </c>
      <c r="H5" s="138"/>
      <c r="I5" s="137" t="s">
        <v>138</v>
      </c>
      <c r="J5" s="138"/>
      <c r="K5" s="137" t="s">
        <v>5</v>
      </c>
      <c r="L5" s="138"/>
    </row>
    <row r="6" spans="1:12" ht="27.75" customHeight="1" thickBot="1">
      <c r="A6" s="142"/>
      <c r="B6" s="144"/>
      <c r="C6" s="15" t="s">
        <v>121</v>
      </c>
      <c r="D6" s="16" t="s">
        <v>122</v>
      </c>
      <c r="E6" s="15" t="s">
        <v>121</v>
      </c>
      <c r="F6" s="16" t="s">
        <v>122</v>
      </c>
      <c r="G6" s="15" t="s">
        <v>121</v>
      </c>
      <c r="H6" s="16" t="s">
        <v>122</v>
      </c>
      <c r="I6" s="15" t="s">
        <v>121</v>
      </c>
      <c r="J6" s="16" t="s">
        <v>122</v>
      </c>
      <c r="K6" s="15" t="s">
        <v>121</v>
      </c>
      <c r="L6" s="16" t="s">
        <v>122</v>
      </c>
    </row>
    <row r="7" spans="1:12">
      <c r="A7" s="17" t="s">
        <v>32</v>
      </c>
      <c r="B7" s="18" t="s">
        <v>33</v>
      </c>
      <c r="C7" s="19">
        <v>300</v>
      </c>
      <c r="D7" s="20">
        <f>+C7*1.5</f>
        <v>450</v>
      </c>
      <c r="E7" s="19">
        <v>183</v>
      </c>
      <c r="F7" s="20">
        <v>155.869</v>
      </c>
      <c r="G7" s="19"/>
      <c r="H7" s="20"/>
      <c r="I7" s="19"/>
      <c r="J7" s="20"/>
      <c r="K7" s="21">
        <f>+C7+E7+G7+I7</f>
        <v>483</v>
      </c>
      <c r="L7" s="21">
        <f>+D7+F7+H7+J7</f>
        <v>605.86900000000003</v>
      </c>
    </row>
    <row r="8" spans="1:12">
      <c r="A8" s="22" t="s">
        <v>61</v>
      </c>
      <c r="B8" s="23" t="s">
        <v>60</v>
      </c>
      <c r="C8" s="24"/>
      <c r="D8" s="23">
        <v>154.19999999999999</v>
      </c>
      <c r="E8" s="24">
        <v>1002</v>
      </c>
      <c r="F8" s="23">
        <v>718</v>
      </c>
      <c r="G8" s="24"/>
      <c r="H8" s="23"/>
      <c r="I8" s="24"/>
      <c r="J8" s="23"/>
      <c r="K8" s="21">
        <f t="shared" ref="K8:L18" si="0">+C8+E8+G8+I8</f>
        <v>1002</v>
      </c>
      <c r="L8" s="21">
        <f t="shared" si="0"/>
        <v>872.2</v>
      </c>
    </row>
    <row r="9" spans="1:12">
      <c r="A9" s="22" t="s">
        <v>123</v>
      </c>
      <c r="B9" s="23" t="s">
        <v>124</v>
      </c>
      <c r="C9" s="24"/>
      <c r="D9" s="23"/>
      <c r="E9" s="24">
        <v>35286</v>
      </c>
      <c r="F9" s="23">
        <v>514.95299999999997</v>
      </c>
      <c r="G9" s="24"/>
      <c r="H9" s="23"/>
      <c r="I9" s="24"/>
      <c r="J9" s="23"/>
      <c r="K9" s="21">
        <f t="shared" si="0"/>
        <v>35286</v>
      </c>
      <c r="L9" s="21">
        <f t="shared" si="0"/>
        <v>514.95299999999997</v>
      </c>
    </row>
    <row r="10" spans="1:12">
      <c r="A10" s="22" t="s">
        <v>125</v>
      </c>
      <c r="B10" s="23" t="s">
        <v>126</v>
      </c>
      <c r="C10" s="24">
        <v>2</v>
      </c>
      <c r="D10" s="23">
        <v>12</v>
      </c>
      <c r="E10" s="24">
        <v>673</v>
      </c>
      <c r="F10" s="23">
        <v>3548</v>
      </c>
      <c r="G10" s="24"/>
      <c r="H10" s="23">
        <v>14800</v>
      </c>
      <c r="I10" s="24"/>
      <c r="J10" s="23"/>
      <c r="K10" s="21">
        <f t="shared" si="0"/>
        <v>675</v>
      </c>
      <c r="L10" s="21">
        <f t="shared" si="0"/>
        <v>18360</v>
      </c>
    </row>
    <row r="11" spans="1:12">
      <c r="A11" s="22" t="s">
        <v>40</v>
      </c>
      <c r="B11" s="23" t="s">
        <v>53</v>
      </c>
      <c r="C11" s="24"/>
      <c r="D11" s="23"/>
      <c r="E11" s="24"/>
      <c r="F11" s="23"/>
      <c r="G11" s="24"/>
      <c r="H11" s="23">
        <v>34.200000000000003</v>
      </c>
      <c r="I11" s="24"/>
      <c r="J11" s="23"/>
      <c r="K11" s="21">
        <f t="shared" si="0"/>
        <v>0</v>
      </c>
      <c r="L11" s="21">
        <f t="shared" si="0"/>
        <v>34.200000000000003</v>
      </c>
    </row>
    <row r="12" spans="1:12">
      <c r="A12" s="25" t="s">
        <v>40</v>
      </c>
      <c r="B12" s="23" t="s">
        <v>68</v>
      </c>
      <c r="C12" s="24"/>
      <c r="D12" s="23">
        <v>45.02</v>
      </c>
      <c r="E12" s="24"/>
      <c r="F12" s="23"/>
      <c r="G12" s="24"/>
      <c r="H12" s="23"/>
      <c r="I12" s="24"/>
      <c r="J12" s="23"/>
      <c r="K12" s="21">
        <f t="shared" si="0"/>
        <v>0</v>
      </c>
      <c r="L12" s="21">
        <f t="shared" si="0"/>
        <v>45.02</v>
      </c>
    </row>
    <row r="13" spans="1:12">
      <c r="A13" s="25" t="s">
        <v>40</v>
      </c>
      <c r="B13" s="23" t="s">
        <v>127</v>
      </c>
      <c r="C13" s="24"/>
      <c r="D13" s="23"/>
      <c r="E13" s="24"/>
      <c r="F13" s="23">
        <v>0.3</v>
      </c>
      <c r="G13" s="24"/>
      <c r="H13" s="23"/>
      <c r="I13" s="24"/>
      <c r="J13" s="23"/>
      <c r="K13" s="21">
        <f t="shared" si="0"/>
        <v>0</v>
      </c>
      <c r="L13" s="21">
        <f t="shared" si="0"/>
        <v>0.3</v>
      </c>
    </row>
    <row r="14" spans="1:12">
      <c r="A14" s="22" t="s">
        <v>40</v>
      </c>
      <c r="B14" s="23" t="s">
        <v>52</v>
      </c>
      <c r="C14" s="24"/>
      <c r="D14" s="23"/>
      <c r="E14" s="24"/>
      <c r="F14" s="23"/>
      <c r="G14" s="24"/>
      <c r="H14" s="23">
        <v>342</v>
      </c>
      <c r="I14" s="24"/>
      <c r="J14" s="23"/>
      <c r="K14" s="21">
        <f t="shared" si="0"/>
        <v>0</v>
      </c>
      <c r="L14" s="21">
        <f t="shared" si="0"/>
        <v>342</v>
      </c>
    </row>
    <row r="15" spans="1:12">
      <c r="A15" s="22" t="s">
        <v>34</v>
      </c>
      <c r="B15" s="23" t="s">
        <v>35</v>
      </c>
      <c r="C15" s="24"/>
      <c r="D15" s="23"/>
      <c r="E15" s="24">
        <v>72</v>
      </c>
      <c r="F15" s="23">
        <v>1.9079999999999999</v>
      </c>
      <c r="G15" s="24"/>
      <c r="H15" s="23"/>
      <c r="I15" s="24"/>
      <c r="J15" s="23"/>
      <c r="K15" s="21">
        <f t="shared" si="0"/>
        <v>72</v>
      </c>
      <c r="L15" s="21">
        <f t="shared" si="0"/>
        <v>1.9079999999999999</v>
      </c>
    </row>
    <row r="16" spans="1:12">
      <c r="A16" s="22"/>
      <c r="B16" s="30" t="s">
        <v>71</v>
      </c>
      <c r="C16" s="22"/>
      <c r="D16" s="30"/>
      <c r="E16" s="22"/>
      <c r="F16" s="30"/>
      <c r="G16" s="22"/>
      <c r="H16" s="30"/>
      <c r="I16" s="22"/>
      <c r="J16" s="30">
        <v>1589</v>
      </c>
      <c r="K16" s="21">
        <f t="shared" si="0"/>
        <v>0</v>
      </c>
      <c r="L16" s="21">
        <v>1575</v>
      </c>
    </row>
    <row r="17" spans="1:13">
      <c r="A17" s="25" t="s">
        <v>58</v>
      </c>
      <c r="B17" s="23" t="s">
        <v>59</v>
      </c>
      <c r="C17" s="24"/>
      <c r="D17" s="23"/>
      <c r="E17" s="24">
        <v>244</v>
      </c>
      <c r="F17" s="23">
        <v>742.7</v>
      </c>
      <c r="G17" s="24"/>
      <c r="H17" s="23"/>
      <c r="I17" s="24"/>
      <c r="J17" s="23"/>
      <c r="K17" s="21">
        <f t="shared" si="0"/>
        <v>244</v>
      </c>
      <c r="L17" s="21">
        <f t="shared" si="0"/>
        <v>742.7</v>
      </c>
    </row>
    <row r="18" spans="1:13" ht="13.5" thickBot="1">
      <c r="A18" s="31"/>
      <c r="B18" s="32" t="s">
        <v>139</v>
      </c>
      <c r="C18" s="33"/>
      <c r="D18" s="32"/>
      <c r="E18" s="33"/>
      <c r="F18" s="32"/>
      <c r="G18" s="33"/>
      <c r="H18" s="32">
        <v>887</v>
      </c>
      <c r="I18" s="33"/>
      <c r="J18" s="32"/>
      <c r="K18" s="21">
        <f t="shared" si="0"/>
        <v>0</v>
      </c>
      <c r="L18" s="21">
        <f t="shared" si="0"/>
        <v>887</v>
      </c>
    </row>
    <row r="19" spans="1:13">
      <c r="K19" s="14" t="s">
        <v>129</v>
      </c>
      <c r="L19" s="34">
        <f>+L7+L8+L9+L11+L12+L13+L14+L15+L16+L17+L18</f>
        <v>5621.1500000000005</v>
      </c>
      <c r="M19" s="26"/>
    </row>
  </sheetData>
  <mergeCells count="8">
    <mergeCell ref="I5:J5"/>
    <mergeCell ref="K5:L5"/>
    <mergeCell ref="A1:C1"/>
    <mergeCell ref="A5:A6"/>
    <mergeCell ref="B5:B6"/>
    <mergeCell ref="C5:D5"/>
    <mergeCell ref="E5:F5"/>
    <mergeCell ref="G5:H5"/>
  </mergeCells>
  <pageMargins left="0.7" right="0.7" top="0.75" bottom="0.75" header="0.3" footer="0.3"/>
  <pageSetup paperSize="9" scale="25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B6A5A-080F-4E8B-95E4-605C254C9290}">
  <sheetPr>
    <tabColor theme="9" tint="-0.249977111117893"/>
  </sheetPr>
  <dimension ref="A1:G11"/>
  <sheetViews>
    <sheetView topLeftCell="A3" zoomScale="85" zoomScaleNormal="85" zoomScaleSheetLayoutView="145" workbookViewId="0">
      <pane xSplit="2" ySplit="4" topLeftCell="C7" activePane="bottomRight" state="frozen"/>
      <selection pane="bottomRight" activeCell="C6" sqref="C6"/>
      <selection pane="bottomLeft" activeCell="G31" sqref="G31"/>
      <selection pane="topRight" activeCell="G31" sqref="G31"/>
    </sheetView>
  </sheetViews>
  <sheetFormatPr defaultColWidth="11.42578125" defaultRowHeight="12.75"/>
  <cols>
    <col min="1" max="1" width="13.42578125" style="14" customWidth="1"/>
    <col min="2" max="2" width="31.42578125" style="14" customWidth="1"/>
    <col min="3" max="16384" width="11.42578125" style="14"/>
  </cols>
  <sheetData>
    <row r="1" spans="1:7" ht="60.75" customHeight="1">
      <c r="A1" s="139" t="s">
        <v>114</v>
      </c>
      <c r="B1" s="140"/>
    </row>
    <row r="2" spans="1:7" ht="5.25" customHeight="1"/>
    <row r="3" spans="1:7" ht="5.25" customHeight="1"/>
    <row r="4" spans="1:7" ht="5.25" customHeight="1" thickBot="1"/>
    <row r="5" spans="1:7" ht="27.75" customHeight="1">
      <c r="A5" s="145" t="s">
        <v>115</v>
      </c>
      <c r="B5" s="147" t="s">
        <v>116</v>
      </c>
      <c r="C5" s="149" t="s">
        <v>140</v>
      </c>
      <c r="D5" s="150"/>
      <c r="E5" s="149" t="s">
        <v>5</v>
      </c>
      <c r="F5" s="150"/>
    </row>
    <row r="6" spans="1:7" ht="27.75" customHeight="1" thickBot="1">
      <c r="A6" s="146"/>
      <c r="B6" s="148"/>
      <c r="C6" s="15" t="s">
        <v>121</v>
      </c>
      <c r="D6" s="16" t="s">
        <v>122</v>
      </c>
      <c r="E6" s="15" t="s">
        <v>121</v>
      </c>
      <c r="F6" s="16" t="s">
        <v>122</v>
      </c>
    </row>
    <row r="7" spans="1:7">
      <c r="A7" s="17" t="s">
        <v>32</v>
      </c>
      <c r="B7" s="18" t="s">
        <v>33</v>
      </c>
      <c r="C7" s="19"/>
      <c r="D7" s="20">
        <v>30</v>
      </c>
      <c r="E7" s="21">
        <f>C7</f>
        <v>0</v>
      </c>
      <c r="F7" s="21">
        <f>D7</f>
        <v>30</v>
      </c>
    </row>
    <row r="8" spans="1:7">
      <c r="A8" s="22" t="s">
        <v>125</v>
      </c>
      <c r="B8" s="23" t="s">
        <v>126</v>
      </c>
      <c r="C8" s="24"/>
      <c r="D8" s="23">
        <v>500</v>
      </c>
      <c r="E8" s="21">
        <f t="shared" ref="E8:F10" si="0">C8</f>
        <v>0</v>
      </c>
      <c r="F8" s="21">
        <f t="shared" si="0"/>
        <v>500</v>
      </c>
    </row>
    <row r="9" spans="1:7">
      <c r="A9" s="25" t="s">
        <v>40</v>
      </c>
      <c r="B9" s="23" t="s">
        <v>68</v>
      </c>
      <c r="C9" s="24"/>
      <c r="D9" s="23">
        <v>1</v>
      </c>
      <c r="E9" s="21">
        <f t="shared" si="0"/>
        <v>0</v>
      </c>
      <c r="F9" s="21">
        <f t="shared" si="0"/>
        <v>1</v>
      </c>
    </row>
    <row r="10" spans="1:7">
      <c r="A10" s="25" t="s">
        <v>56</v>
      </c>
      <c r="B10" s="23" t="s">
        <v>57</v>
      </c>
      <c r="C10" s="24"/>
      <c r="D10" s="23">
        <v>1</v>
      </c>
      <c r="E10" s="21">
        <f t="shared" si="0"/>
        <v>0</v>
      </c>
      <c r="F10" s="21">
        <f t="shared" si="0"/>
        <v>1</v>
      </c>
    </row>
    <row r="11" spans="1:7">
      <c r="E11" s="14" t="s">
        <v>129</v>
      </c>
      <c r="F11" s="34">
        <f>+F7+F9+F10</f>
        <v>32</v>
      </c>
      <c r="G11" s="26"/>
    </row>
  </sheetData>
  <mergeCells count="5">
    <mergeCell ref="A1:B1"/>
    <mergeCell ref="A5:A6"/>
    <mergeCell ref="B5:B6"/>
    <mergeCell ref="C5:D5"/>
    <mergeCell ref="E5:F5"/>
  </mergeCells>
  <pageMargins left="0.7" right="0.7" top="0.75" bottom="0.75" header="0.3" footer="0.3"/>
  <pageSetup paperSize="9" scale="2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Rama Judicial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Jairo  Páez Tellez</dc:creator>
  <cp:keywords/>
  <dc:description/>
  <cp:lastModifiedBy>Jhofert Orlando Ruiz Acosta</cp:lastModifiedBy>
  <cp:revision/>
  <dcterms:created xsi:type="dcterms:W3CDTF">2024-07-18T21:24:15Z</dcterms:created>
  <dcterms:modified xsi:type="dcterms:W3CDTF">2025-04-07T22:24:52Z</dcterms:modified>
  <cp:category/>
  <cp:contentStatus/>
</cp:coreProperties>
</file>