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Usuarios\nbecerra.DN0BOG01\OneDrive - Fiscalia General de la Nacion\Documentos\AÑO 2025\SUBASTA\MICROSCOPIOS ELECTRONICOS DE BARRIDO\"/>
    </mc:Choice>
  </mc:AlternateContent>
  <bookViews>
    <workbookView xWindow="0" yWindow="0" windowWidth="28800" windowHeight="13005" firstSheet="3" activeTab="3"/>
  </bookViews>
  <sheets>
    <sheet name="ANEXO 1 - COTIZACION" sheetId="7" state="hidden" r:id="rId1"/>
    <sheet name="ANEXO 2 - COSTO HISTORICO" sheetId="5" state="hidden" r:id="rId2"/>
    <sheet name="ANEXO 3 - PROY COSTOS" sheetId="6" state="hidden" r:id="rId3"/>
    <sheet name="ANEXO P FINAL" sheetId="11" r:id="rId4"/>
    <sheet name="OFERTA LISTA DE REPUESTOS" sheetId="2" state="hidden" r:id="rId5"/>
  </sheets>
  <definedNames>
    <definedName name="_xlnm._FilterDatabase" localSheetId="0" hidden="1">'ANEXO 1 - COTIZACION'!#REF!</definedName>
    <definedName name="_xlnm._FilterDatabase" localSheetId="1" hidden="1">'ANEXO 2 - COSTO HISTORICO'!#REF!</definedName>
    <definedName name="_xlnm._FilterDatabase" localSheetId="2" hidden="1">'ANEXO 3 - PROY COSTOS'!#REF!</definedName>
    <definedName name="_xlnm._FilterDatabase" localSheetId="3" hidden="1">'ANEXO P FINAL'!#REF!</definedName>
    <definedName name="_xlnm.Print_Area" localSheetId="2">'ANEXO 3 - PROY COSTOS'!$A$1:$L$28</definedName>
    <definedName name="_xlnm.Print_Area" localSheetId="3">'ANEXO P FINAL'!$A$1:$M$28</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11" l="1"/>
  <c r="C5" i="11"/>
  <c r="D5" i="11"/>
  <c r="F7" i="11"/>
  <c r="H7" i="11"/>
  <c r="K7" i="11"/>
  <c r="L7" i="11" s="1"/>
  <c r="M7" i="11" s="1"/>
  <c r="M8" i="11" s="1"/>
  <c r="F10" i="11"/>
  <c r="L10" i="11"/>
  <c r="M10" i="11" s="1"/>
  <c r="M11" i="11" s="1"/>
  <c r="K10" i="11"/>
  <c r="F13" i="11"/>
  <c r="H13" i="11"/>
  <c r="K13" i="11"/>
  <c r="L13" i="11" s="1"/>
  <c r="M13" i="11" s="1"/>
  <c r="M14" i="11" s="1"/>
  <c r="F16" i="11"/>
  <c r="H16" i="11"/>
  <c r="K16" i="11"/>
  <c r="L16" i="11" s="1"/>
  <c r="M16" i="11" s="1"/>
  <c r="F17" i="11"/>
  <c r="H17" i="11"/>
  <c r="K17" i="11"/>
  <c r="L17" i="11" s="1"/>
  <c r="M17" i="11" s="1"/>
  <c r="M18" i="11" l="1"/>
  <c r="M19" i="11" s="1"/>
  <c r="K7" i="5"/>
  <c r="K6" i="5"/>
  <c r="H7" i="5"/>
  <c r="H6" i="5"/>
  <c r="L9" i="7"/>
  <c r="K10" i="5" l="1"/>
  <c r="K9" i="5"/>
  <c r="L6" i="5"/>
  <c r="N14" i="6"/>
  <c r="H10" i="5"/>
  <c r="H9" i="5"/>
  <c r="F10" i="5"/>
  <c r="F9" i="5"/>
  <c r="F7" i="5"/>
  <c r="F6" i="5"/>
  <c r="T21" i="7"/>
  <c r="T20" i="7"/>
  <c r="T16" i="7"/>
  <c r="T13" i="7"/>
  <c r="T10" i="7"/>
  <c r="M19" i="7"/>
  <c r="L19" i="7"/>
  <c r="K19" i="7"/>
  <c r="O19" i="7" s="1"/>
  <c r="N18" i="7"/>
  <c r="M18" i="7"/>
  <c r="L18" i="7"/>
  <c r="K18" i="7"/>
  <c r="O18" i="7" s="1"/>
  <c r="M15" i="7"/>
  <c r="N15" i="7" s="1"/>
  <c r="L15" i="7"/>
  <c r="K15" i="7"/>
  <c r="O15" i="7" s="1"/>
  <c r="K12" i="7"/>
  <c r="M12" i="7"/>
  <c r="L12" i="7"/>
  <c r="O9" i="7"/>
  <c r="M9" i="7"/>
  <c r="K9" i="7"/>
  <c r="I21" i="7"/>
  <c r="G21" i="7"/>
  <c r="N19" i="7" l="1"/>
  <c r="O12" i="7"/>
  <c r="N12" i="7"/>
  <c r="D5" i="6"/>
  <c r="I19" i="7"/>
  <c r="I18" i="7"/>
  <c r="I15" i="7"/>
  <c r="I12" i="7"/>
  <c r="I9" i="7"/>
  <c r="G19" i="7"/>
  <c r="G18" i="7"/>
  <c r="G15" i="7"/>
  <c r="G12" i="7"/>
  <c r="G9" i="7"/>
  <c r="L7" i="5"/>
  <c r="I10" i="6" l="1"/>
  <c r="N9" i="7" l="1"/>
  <c r="Q12" i="7"/>
  <c r="R12" i="7" s="1"/>
  <c r="S12" i="7" s="1"/>
  <c r="T12" i="7" s="1"/>
  <c r="Q19" i="7"/>
  <c r="R19" i="7" s="1"/>
  <c r="S19" i="7" s="1"/>
  <c r="T19" i="7" s="1"/>
  <c r="Q15" i="7"/>
  <c r="R15" i="7" s="1"/>
  <c r="S15" i="7" s="1"/>
  <c r="T15" i="7" s="1"/>
  <c r="Q18" i="7"/>
  <c r="R18" i="7" s="1"/>
  <c r="S18" i="7" s="1"/>
  <c r="T18" i="7" s="1"/>
  <c r="G17" i="6" l="1"/>
  <c r="H8" i="5"/>
  <c r="K8" i="5" s="1"/>
  <c r="I13" i="6" s="1"/>
  <c r="L9" i="5" l="1"/>
  <c r="L10" i="5"/>
  <c r="L8" i="5"/>
  <c r="L27" i="2"/>
  <c r="M27" i="2" s="1"/>
  <c r="H27" i="2"/>
  <c r="I27" i="2" s="1"/>
  <c r="L26" i="2"/>
  <c r="M26" i="2" s="1"/>
  <c r="H26" i="2"/>
  <c r="I26" i="2" s="1"/>
  <c r="L25" i="2"/>
  <c r="M25" i="2" s="1"/>
  <c r="H25" i="2"/>
  <c r="I25" i="2" s="1"/>
  <c r="L24" i="2"/>
  <c r="M24" i="2" s="1"/>
  <c r="H24" i="2"/>
  <c r="I24" i="2" s="1"/>
  <c r="L23" i="2"/>
  <c r="M23" i="2" s="1"/>
  <c r="H23" i="2"/>
  <c r="I23" i="2" s="1"/>
  <c r="L22" i="2"/>
  <c r="M22" i="2" s="1"/>
  <c r="H22" i="2"/>
  <c r="I22" i="2" s="1"/>
  <c r="L21" i="2"/>
  <c r="M21" i="2" s="1"/>
  <c r="H21" i="2"/>
  <c r="I21" i="2" s="1"/>
  <c r="L20" i="2"/>
  <c r="M20" i="2" s="1"/>
  <c r="H20" i="2"/>
  <c r="I20" i="2" s="1"/>
  <c r="L19" i="2"/>
  <c r="M19" i="2" s="1"/>
  <c r="H19" i="2"/>
  <c r="I19" i="2" s="1"/>
  <c r="L18" i="2"/>
  <c r="M18" i="2" s="1"/>
  <c r="H18" i="2"/>
  <c r="I18" i="2" s="1"/>
  <c r="L17" i="2"/>
  <c r="M17" i="2" s="1"/>
  <c r="H17" i="2"/>
  <c r="I17" i="2" s="1"/>
  <c r="L16" i="2"/>
  <c r="M16" i="2" s="1"/>
  <c r="H16" i="2"/>
  <c r="I16" i="2" s="1"/>
  <c r="L15" i="2"/>
  <c r="M15" i="2" s="1"/>
  <c r="H15" i="2"/>
  <c r="I15" i="2" s="1"/>
  <c r="L14" i="2"/>
  <c r="M14" i="2" s="1"/>
  <c r="H14" i="2"/>
  <c r="I14" i="2" s="1"/>
  <c r="L13" i="2"/>
  <c r="M13" i="2" s="1"/>
  <c r="H13" i="2"/>
  <c r="I13" i="2" s="1"/>
  <c r="L12" i="2"/>
  <c r="M12" i="2" s="1"/>
  <c r="H12" i="2"/>
  <c r="I12" i="2" s="1"/>
  <c r="L11" i="2"/>
  <c r="M11" i="2" s="1"/>
  <c r="H11" i="2"/>
  <c r="I11" i="2" s="1"/>
  <c r="L10" i="2"/>
  <c r="M10" i="2" s="1"/>
  <c r="H10" i="2"/>
  <c r="I10" i="2" s="1"/>
  <c r="L9" i="2"/>
  <c r="M9" i="2" s="1"/>
  <c r="H9" i="2"/>
  <c r="I9" i="2" s="1"/>
  <c r="L8" i="2"/>
  <c r="M8" i="2" s="1"/>
  <c r="H8" i="2"/>
  <c r="I8" i="2" s="1"/>
  <c r="L7" i="2"/>
  <c r="M7" i="2" s="1"/>
  <c r="H7" i="2"/>
  <c r="I7" i="2" s="1"/>
  <c r="L6" i="2"/>
  <c r="M6" i="2" s="1"/>
  <c r="H6" i="2"/>
  <c r="I6" i="2" s="1"/>
  <c r="C5" i="6"/>
  <c r="B5" i="6"/>
  <c r="I17" i="6"/>
  <c r="K17" i="6" s="1"/>
  <c r="L17" i="6" l="1"/>
  <c r="M17" i="6" s="1"/>
  <c r="N17" i="6" s="1"/>
  <c r="I28" i="2"/>
  <c r="L11" i="5"/>
  <c r="Q9" i="7"/>
  <c r="I7" i="6"/>
  <c r="I16" i="6"/>
  <c r="G16" i="6"/>
  <c r="G10" i="6"/>
  <c r="K10" i="6" s="1"/>
  <c r="K16" i="6" l="1"/>
  <c r="R9" i="7"/>
  <c r="S9" i="7" s="1"/>
  <c r="T9" i="7" s="1"/>
  <c r="L10" i="6"/>
  <c r="M10" i="6" s="1"/>
  <c r="N10" i="6" s="1"/>
  <c r="N11" i="6" s="1"/>
  <c r="G13" i="6"/>
  <c r="K13" i="6" s="1"/>
  <c r="G7" i="6"/>
  <c r="K7" i="6" s="1"/>
  <c r="L16" i="6" l="1"/>
  <c r="M16" i="6" s="1"/>
  <c r="N16" i="6" s="1"/>
  <c r="N18" i="6" s="1"/>
  <c r="L7" i="6"/>
  <c r="M7" i="6" s="1"/>
  <c r="N7" i="6" s="1"/>
  <c r="N8" i="6" s="1"/>
  <c r="L13" i="6"/>
  <c r="M13" i="6" s="1"/>
  <c r="N13" i="6" s="1"/>
  <c r="N19" i="6" l="1"/>
</calcChain>
</file>

<file path=xl/sharedStrings.xml><?xml version="1.0" encoding="utf-8"?>
<sst xmlns="http://schemas.openxmlformats.org/spreadsheetml/2006/main" count="224" uniqueCount="105">
  <si>
    <t>ANEXO 1</t>
  </si>
  <si>
    <t>ANALISIS DE COTIZACIONES</t>
  </si>
  <si>
    <t>COTIZACION 1</t>
  </si>
  <si>
    <t>COTIZACION 2</t>
  </si>
  <si>
    <t xml:space="preserve">VALOR COTIZACIÓN HÁBIL MÁS BAJA                                                                                                    </t>
  </si>
  <si>
    <t xml:space="preserve">PROMEDIO                                                                                </t>
  </si>
  <si>
    <t xml:space="preserve">VALOR COTIZACIÓN  HÁBIL MÁS ALTA                                                                                                   </t>
  </si>
  <si>
    <t>PORCENTAJE DIFERENCIAL (BAJA/PROMEDIO)</t>
  </si>
  <si>
    <t>ITEM</t>
  </si>
  <si>
    <t>DESCRIPCIÓN</t>
  </si>
  <si>
    <t>UNIDAD DE MEDIDA</t>
  </si>
  <si>
    <t>CANTIDAD</t>
  </si>
  <si>
    <t>VALOR UNITARIO SIN IVA</t>
  </si>
  <si>
    <t>40% &gt; / &lt;</t>
  </si>
  <si>
    <t>Unidad</t>
  </si>
  <si>
    <t xml:space="preserve"> </t>
  </si>
  <si>
    <t>TOTAL</t>
  </si>
  <si>
    <t>NOTAS:</t>
  </si>
  <si>
    <t>ANEXO 2</t>
  </si>
  <si>
    <t>ANALISIS DE COSTOS HISTORICOS</t>
  </si>
  <si>
    <t>VALOR UNITARIO</t>
  </si>
  <si>
    <t>ANEXO 3</t>
  </si>
  <si>
    <t>PROYECCION DE COSTOS 2025</t>
  </si>
  <si>
    <t>NECESIDAD</t>
  </si>
  <si>
    <t>ANEXO 4</t>
  </si>
  <si>
    <t>LISTA DE REPUESTOS</t>
  </si>
  <si>
    <t xml:space="preserve">NECESIDAD  </t>
  </si>
  <si>
    <t xml:space="preserve">PRECIO LISTA DE REPUESTOS </t>
  </si>
  <si>
    <t>VALORES LISTA DE REPUESTOS CONTRATO 2021</t>
  </si>
  <si>
    <t>IVA</t>
  </si>
  <si>
    <t>VALOR UNITARIO IVA INCLUIDO</t>
  </si>
  <si>
    <t>FILTROS PLISADO KLC 65% 20X16X2</t>
  </si>
  <si>
    <t>UN</t>
  </si>
  <si>
    <t>COMPRESOR 24000 BTU 1PH 200V R22</t>
  </si>
  <si>
    <t>REFRIGERANTE R22</t>
  </si>
  <si>
    <t>KG</t>
  </si>
  <si>
    <t>CAPACITADOR 45 UF 370V</t>
  </si>
  <si>
    <t>CONTACTOR 30 AMP 24V</t>
  </si>
  <si>
    <t>CONTACTOR 35 AMP 24V</t>
  </si>
  <si>
    <t>CONTACTOR 40 AMP 24V</t>
  </si>
  <si>
    <t>CORREA B38 BL</t>
  </si>
  <si>
    <t>CORREA A32 BL</t>
  </si>
  <si>
    <t>CORREA A27</t>
  </si>
  <si>
    <t>CILINDRO REFRIGERANTE R410 A</t>
  </si>
  <si>
    <t>CAPACITOR 15 MF</t>
  </si>
  <si>
    <t>CAPACITOR 10 MF</t>
  </si>
  <si>
    <t>TARJETA ELECTRÓNICA UNIVERSAL AIRE ACONDICIONADO DE 24000</t>
  </si>
  <si>
    <t>TUBERIA DE COBRE 3/8</t>
  </si>
  <si>
    <t>MTS</t>
  </si>
  <si>
    <t>AISLANTE RUBATEX</t>
  </si>
  <si>
    <t>PRESOSTATO DANFOSS 0-70 PSI</t>
  </si>
  <si>
    <t>PRESOSTATOS TIPO PILA BAJA</t>
  </si>
  <si>
    <t>PRESOSTATOS TIPO PILA ALTA</t>
  </si>
  <si>
    <t>CORREA A-45</t>
  </si>
  <si>
    <t xml:space="preserve"> CORREA A-29</t>
  </si>
  <si>
    <t>CORREA A-31</t>
  </si>
  <si>
    <t>Empresa</t>
  </si>
  <si>
    <t>NIT</t>
  </si>
  <si>
    <t>Representante</t>
  </si>
  <si>
    <t xml:space="preserve">TELEFONO: </t>
  </si>
  <si>
    <t xml:space="preserve">EMAIL: </t>
  </si>
  <si>
    <t>FECHA :</t>
  </si>
  <si>
    <t>1) Se realizó el estudio con 2  cotizaciones las cuales cumplen con lo solicitado por la entidad</t>
  </si>
  <si>
    <t>PRESUPUESTO ASIGNADO  2025</t>
  </si>
  <si>
    <t>PRESUPUESTO ASIGNADO 2025</t>
  </si>
  <si>
    <t>VALOR TOTAL SIN IVA</t>
  </si>
  <si>
    <t>Fecha de Elaboraciòn :</t>
  </si>
  <si>
    <t>"PRESTAR EL SERVICIO DE MANTENIMIENTO PREVENTIVO Y SOPORTE TÉCNICO DE LOS SIGUIENTES EQUIPOS DE LA FISCALÍA GENERAL DE LA NACIÓN DEL NIVEL CENTRAL ASI:
GRUPO 1: MICROSCOPIO ELECTRÓNICO DE BARRIDO, MARCA ZEISS, MODELO EVO 50.
GRUPO 2: MICROSCOPIO ELECTRÓNICO DE BARRIDO, MARCA ZEISS, MODELO MA15.
GRUPO 3: MICROSCOPIO ELECTRÓNICO DE BARRIDO MARCA ZEISS MODELO SIGMA 500.
GRUPO 4: RECUBRIDOR MARCA EDWARDS MODELO S150B, Y RECUBRIDOR MARCA CRESSINGTON MODELO 108 CARBÓN/A.
"</t>
  </si>
  <si>
    <t>MANTINS</t>
  </si>
  <si>
    <t>NMTECNOLOGIES</t>
  </si>
  <si>
    <t>Microscopio Electrónico de Barrido, marca ZEISS, Modelo EVO 50</t>
  </si>
  <si>
    <t>Microscopio Electrónico de Barrido, marca ZEISS, Modelo MA15</t>
  </si>
  <si>
    <t>Microscopio Electrónico de Barrido marca ZEISS modelo SIGMA 500.</t>
  </si>
  <si>
    <t xml:space="preserve">2) Para establecer el valor del mercado se utilizo la formula media aritmetica baja entre las cotizaciones recibidas.                                                                                                                                                     </t>
  </si>
  <si>
    <t>FGN-NC-MC-0024-2024</t>
  </si>
  <si>
    <t>GRUPO</t>
  </si>
  <si>
    <t xml:space="preserve">Recubridor Marca Edwards Modelo S150B </t>
  </si>
  <si>
    <t>Recubridor Marca Cressington Modelo 108 Carbón/A.</t>
  </si>
  <si>
    <t>CANTIDAD EQUIPOS</t>
  </si>
  <si>
    <t>"PRESTAR EL SERVICIO DE MANTENIMIENTO PREVENTIVO Y SOPORTE TÉCNICO DE LOS SIGUIENTES EQUIPOS DE LA FISCALÍA GENERAL DE LA NACIÓN DEL NIVEL CENTRAL ASI:
GRUPO 1: MICROSCOPIO ELECTRÓNICO DE BARRIDO, MARCA ZEISS, MODELO EVO 50.
GRUPO 2: MICROSCOPIO ELECTRÓNICO DE BARRIDO, MARCA ZEISS, MODELO MA15.
GRUPO 3: MICROSCOPIO ELECTRÓNICO DE BARRIDO MARCA ZEISS MODELO SIGMA 500.
GRUPO 4: RECUBRIDOR MARCA EDWARDS MODELO S150B, Y RECUBRIDOR MARCA CRESSINGTON MODELO 108 CARBÓN/A.</t>
  </si>
  <si>
    <t>VALOR UNITARIO CON IVA</t>
  </si>
  <si>
    <t>VALOR TOTAL CON IVA</t>
  </si>
  <si>
    <t>MANTINS COT2025001
TELEFONO 429 52 02</t>
  </si>
  <si>
    <t>CANTIDAD MANTENIMIENTOS</t>
  </si>
  <si>
    <t>VALOR UNITARIO SIN   IVA</t>
  </si>
  <si>
    <t xml:space="preserve">   IVA</t>
  </si>
  <si>
    <t xml:space="preserve"> VALOR UNITARIO CON  IVA</t>
  </si>
  <si>
    <t>https://www.dane.gov.co/index.php/estadisticas-por-tema/precios-y-costos/indice-de-precios-al-consumidor-ipc</t>
  </si>
  <si>
    <t xml:space="preserve">1)En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
2)El proponente, en la estructuración de su oferta económica, deberá presentar máximo dos decimales,  con el fin de no afectar el cálculo de variables como IVA,  AYS o AIU.
3) El índice refleja la evolución promedio de los precios de todos los artículos/insumos es decir, se refiere a un promedio tomado sobre la base de todos los productos ofrecidos en el mercado .
4) Para traer a valor presente los precios unitarios, se toma el índice de serie del mes vigente dividido por el índice de serie del mes y año en que fue efectuada la compra. Este resultado se multiplica por el precio de la misma. </t>
  </si>
  <si>
    <t>VALOR UNITARIO SIN  IVA</t>
  </si>
  <si>
    <t>1) Para establecer los valoresde de los items ( 1,2 y 4)  del mercado, se utilizo la formula media aritmetica baja  entre análisis de cotizaciones y análisis de costos históricos. 2) Para establecer el valor para el ítem 3, y por no haber valores historicos se tomo el valor de las cotizaciones.</t>
  </si>
  <si>
    <t>GRUPO 1</t>
  </si>
  <si>
    <t>GRUPO 2</t>
  </si>
  <si>
    <t>GRUPO 3</t>
  </si>
  <si>
    <t>GRUPO 4</t>
  </si>
  <si>
    <t>1) Para establecer los valores de losGrupo 1,2 y 4 del mercado, se utilizo la formula media aritmetica baja  entre análisis de cotizaciones y análisis de costos históricos.y para el Grupo 3 se tomó valor arrojado en cotizaciones</t>
  </si>
  <si>
    <t>NM TECNOLOGIES</t>
  </si>
  <si>
    <t>TOTAL GRUPO 1</t>
  </si>
  <si>
    <t>TOTAL GRUPO 2</t>
  </si>
  <si>
    <t>TOTAL GRUPO 3</t>
  </si>
  <si>
    <t>TOTAL GRUPO 4</t>
  </si>
  <si>
    <t>TOTAL GRUPO 1,2,3,4</t>
  </si>
  <si>
    <t xml:space="preserve">2)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
El proponente, en la estructuración de su oferta económica, deberá presentar máximo dos decimales,  con el fin de no afectar el cálculo de variables como IVA,  AYS o AIU.
</t>
  </si>
  <si>
    <r>
      <t>"</t>
    </r>
    <r>
      <rPr>
        <b/>
        <sz val="8"/>
        <color theme="1"/>
        <rFont val="Arial Narrow"/>
        <family val="2"/>
      </rPr>
      <t xml:space="preserve">PRESTAR EL SERVICIO DE MANTENIMIENTO PREVENTIVO Y SOPORTE TÉCNICO DE LOS SIGUIENTES EQUIPOS DE LA FISCALÍA GENERAL DE LA NACIÓN DEL NIVEL CENTRAL ASI:
</t>
    </r>
    <r>
      <rPr>
        <sz val="8"/>
        <color theme="1"/>
        <rFont val="Arial Narrow"/>
        <family val="2"/>
      </rPr>
      <t xml:space="preserve">
GRUPO 1: MICROSCOPIO ELECTRÓNICO DE BARRIDO, MARCA ZEISS, MODELO EVO 50.
GRUPO 2: MICROSCOPIO ELECTRÓNICO DE BARRIDO, MARCA ZEISS, MODELO MA15.
GRUPO 3: MICROSCOPIO ELECTRÓNICO DE BARRIDO MARCA ZEISS MODELO SIGMA 500.
GRUPO 4: RECUBRIDOR MARCA EDWARDS MODELO S150B, Y RECUBRIDOR MARCA CRESSINGTON MODELO 108 CARBÓN/A.</t>
    </r>
  </si>
  <si>
    <t>vALOR UNITARIO SIN IVA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</si>
</sst>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 #,##0.00_-;\-&quot;$&quot;\ * #,##0.00_-;_-&quot;$&quot;\ * &quot;-&quot;??_-;_-@_-"/>
    <numFmt numFmtId="164" formatCode="&quot;$&quot;\ #,##0"/>
    <numFmt numFmtId="165" formatCode="_-&quot;$&quot;\ * #,##0_-;\-&quot;$&quot;\ * #,##0_-;_-&quot;$&quot;\ * &quot;-&quot;??_-;_-@_-"/>
    <numFmt numFmtId="166" formatCode="&quot;$&quot;#,##0"/>
    <numFmt numFmtId="167" formatCode="_-&quot;$&quot;* #,##0.00_-;\-&quot;$&quot;* #,##0.00_-;_-&quot;$&quot;* &quot;-&quot;??_-;_-@_-"/>
    <numFmt numFmtId="168" formatCode="&quot;$&quot;#,##0.00"/>
  </numFmts>
  <fonts count="37">
    <font>
      <sz val="11"/>
      <color theme="1"/>
      <name val="Calibri"/>
      <charset val="134"/>
      <scheme val="minor"/>
    </font>
    <font>
      <sz val="11"/>
      <color theme="1"/>
      <name val="Calibri"/>
      <family val="2"/>
      <scheme val="minor"/>
    </font>
    <font>
      <sz val="10"/>
      <color theme="1"/>
      <name val="Calibri"/>
      <family val="2"/>
      <scheme val="minor"/>
    </font>
    <font>
      <b/>
      <sz val="14"/>
      <color theme="1"/>
      <name val="Calibri"/>
      <family val="2"/>
      <scheme val="minor"/>
    </font>
    <font>
      <sz val="11"/>
      <color theme="0"/>
      <name val="Calibri"/>
      <family val="2"/>
      <scheme val="minor"/>
    </font>
    <font>
      <b/>
      <sz val="8"/>
      <color theme="1"/>
      <name val="Arial"/>
      <family val="2"/>
    </font>
    <font>
      <b/>
      <sz val="8"/>
      <color theme="1"/>
      <name val="Calibri"/>
      <family val="2"/>
      <scheme val="minor"/>
    </font>
    <font>
      <b/>
      <sz val="8"/>
      <name val="Arial"/>
      <family val="2"/>
    </font>
    <font>
      <b/>
      <sz val="10"/>
      <name val="Arial"/>
      <family val="2"/>
    </font>
    <font>
      <sz val="12"/>
      <name val="Arial"/>
      <family val="2"/>
    </font>
    <font>
      <b/>
      <sz val="10"/>
      <color rgb="FF000000"/>
      <name val="Arial"/>
      <family val="2"/>
    </font>
    <font>
      <sz val="11"/>
      <color rgb="FF000000"/>
      <name val="Calibri"/>
      <family val="2"/>
    </font>
    <font>
      <sz val="10"/>
      <name val="Arial"/>
      <family val="2"/>
    </font>
    <font>
      <b/>
      <sz val="12"/>
      <name val="Arial"/>
      <family val="2"/>
    </font>
    <font>
      <b/>
      <sz val="11"/>
      <color theme="1"/>
      <name val="Arial Narrow"/>
      <family val="2"/>
    </font>
    <font>
      <sz val="11"/>
      <color theme="1"/>
      <name val="Arial Narrow"/>
      <family val="2"/>
    </font>
    <font>
      <sz val="11"/>
      <color theme="1"/>
      <name val="Calibri"/>
      <family val="2"/>
      <scheme val="minor"/>
    </font>
    <font>
      <b/>
      <i/>
      <sz val="11"/>
      <color theme="1"/>
      <name val="Arial Narrow"/>
      <family val="2"/>
    </font>
    <font>
      <b/>
      <sz val="11"/>
      <color theme="1"/>
      <name val="Arial Narrow"/>
      <family val="2"/>
    </font>
    <font>
      <sz val="11"/>
      <color theme="1"/>
      <name val="Arial Narrow"/>
      <family val="2"/>
    </font>
    <font>
      <b/>
      <sz val="11"/>
      <name val="Arial Narrow"/>
      <family val="2"/>
    </font>
    <font>
      <sz val="11"/>
      <name val="Arial Narrow"/>
      <family val="2"/>
    </font>
    <font>
      <b/>
      <sz val="11"/>
      <color rgb="FF000000"/>
      <name val="Arial Narrow"/>
      <family val="2"/>
    </font>
    <font>
      <b/>
      <sz val="11"/>
      <color rgb="FFFF0000"/>
      <name val="Arial Narrow"/>
      <family val="2"/>
    </font>
    <font>
      <sz val="12"/>
      <color theme="1"/>
      <name val="Arial"/>
      <family val="2"/>
    </font>
    <font>
      <sz val="12"/>
      <color rgb="FF000000"/>
      <name val="Arial"/>
      <family val="2"/>
    </font>
    <font>
      <sz val="11"/>
      <color rgb="FF7030A0"/>
      <name val="Arial Narrow"/>
      <family val="2"/>
    </font>
    <font>
      <b/>
      <i/>
      <sz val="9"/>
      <color theme="1"/>
      <name val="Arial Narrow"/>
      <family val="2"/>
    </font>
    <font>
      <b/>
      <sz val="11"/>
      <color theme="4" tint="-0.249977111117893"/>
      <name val="Arial Narrow"/>
      <family val="2"/>
    </font>
    <font>
      <b/>
      <sz val="9"/>
      <color theme="1"/>
      <name val="Arial Narrow"/>
      <family val="2"/>
    </font>
    <font>
      <b/>
      <sz val="10"/>
      <color theme="1"/>
      <name val="Arial Narrow"/>
      <family val="2"/>
    </font>
    <font>
      <sz val="8"/>
      <name val="Calibri"/>
      <family val="2"/>
      <scheme val="minor"/>
    </font>
    <font>
      <sz val="10"/>
      <color theme="1"/>
      <name val="Arial Narrow"/>
      <family val="2"/>
    </font>
    <font>
      <b/>
      <sz val="8"/>
      <color theme="1"/>
      <name val="Arial Narrow"/>
      <family val="2"/>
    </font>
    <font>
      <sz val="8"/>
      <color theme="1"/>
      <name val="Arial Narrow"/>
      <family val="2"/>
    </font>
    <font>
      <b/>
      <sz val="14"/>
      <color theme="1"/>
      <name val="Arial Narrow"/>
      <family val="2"/>
    </font>
    <font>
      <u/>
      <sz val="11"/>
      <color theme="10"/>
      <name val="Calibri"/>
      <family val="2"/>
      <scheme val="minor"/>
    </font>
  </fonts>
  <fills count="18">
    <fill>
      <patternFill patternType="none"/>
    </fill>
    <fill>
      <patternFill patternType="gray125"/>
    </fill>
    <fill>
      <patternFill patternType="solid">
        <fgColor theme="0" tint="-0.14996795556505021"/>
        <bgColor indexed="64"/>
      </patternFill>
    </fill>
    <fill>
      <patternFill patternType="solid">
        <fgColor rgb="FFD9D9D9"/>
        <bgColor indexed="64"/>
      </patternFill>
    </fill>
    <fill>
      <patternFill patternType="solid">
        <fgColor theme="0"/>
        <bgColor indexed="64"/>
      </patternFill>
    </fill>
    <fill>
      <patternFill patternType="solid">
        <fgColor rgb="FFC0C0C0"/>
        <bgColor indexed="64"/>
      </patternFill>
    </fill>
    <fill>
      <patternFill patternType="solid">
        <fgColor theme="7" tint="0.59999389629810485"/>
        <bgColor indexed="64"/>
      </patternFill>
    </fill>
    <fill>
      <patternFill patternType="solid">
        <fgColor rgb="FFFF0000"/>
        <bgColor indexed="64"/>
      </patternFill>
    </fill>
    <fill>
      <patternFill patternType="solid">
        <fgColor theme="3" tint="0.79995117038483843"/>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indexed="2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2" tint="-9.9978637043366805E-2"/>
        <bgColor indexed="64"/>
      </patternFill>
    </fill>
  </fills>
  <borders count="3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style="medium">
        <color auto="1"/>
      </top>
      <bottom/>
      <diagonal/>
    </border>
    <border>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auto="1"/>
      </left>
      <right/>
      <top/>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right style="medium">
        <color indexed="64"/>
      </right>
      <top/>
      <bottom/>
      <diagonal/>
    </border>
    <border>
      <left style="medium">
        <color auto="1"/>
      </left>
      <right/>
      <top style="thick">
        <color auto="1"/>
      </top>
      <bottom style="medium">
        <color auto="1"/>
      </bottom>
      <diagonal/>
    </border>
    <border>
      <left/>
      <right/>
      <top style="thick">
        <color auto="1"/>
      </top>
      <bottom style="medium">
        <color auto="1"/>
      </bottom>
      <diagonal/>
    </border>
    <border>
      <left/>
      <right/>
      <top/>
      <bottom style="thick">
        <color auto="1"/>
      </bottom>
      <diagonal/>
    </border>
    <border>
      <left style="thick">
        <color auto="1"/>
      </left>
      <right/>
      <top/>
      <bottom style="thick">
        <color auto="1"/>
      </bottom>
      <diagonal/>
    </border>
    <border>
      <left/>
      <right style="thick">
        <color auto="1"/>
      </right>
      <top/>
      <bottom style="thick">
        <color auto="1"/>
      </bottom>
      <diagonal/>
    </border>
  </borders>
  <cellStyleXfs count="7">
    <xf numFmtId="0" fontId="0" fillId="0" borderId="0"/>
    <xf numFmtId="44" fontId="16" fillId="0" borderId="0" applyFont="0" applyFill="0" applyBorder="0" applyAlignment="0" applyProtection="0"/>
    <xf numFmtId="9" fontId="16" fillId="0" borderId="0" applyFont="0" applyFill="0" applyBorder="0" applyAlignment="0" applyProtection="0"/>
    <xf numFmtId="0" fontId="12" fillId="0" borderId="0"/>
    <xf numFmtId="0" fontId="12" fillId="0" borderId="0"/>
    <xf numFmtId="167" fontId="1" fillId="0" borderId="0" applyFont="0" applyFill="0" applyBorder="0" applyAlignment="0" applyProtection="0"/>
    <xf numFmtId="0" fontId="36" fillId="0" borderId="0" applyNumberFormat="0" applyFill="0" applyBorder="0" applyAlignment="0" applyProtection="0"/>
  </cellStyleXfs>
  <cellXfs count="249">
    <xf numFmtId="0" fontId="0" fillId="0" borderId="0" xfId="0"/>
    <xf numFmtId="0" fontId="2" fillId="0" borderId="0" xfId="0" applyFont="1" applyProtection="1">
      <protection locked="0"/>
    </xf>
    <xf numFmtId="0" fontId="0" fillId="0" borderId="0" xfId="0" applyProtection="1">
      <protection locked="0"/>
    </xf>
    <xf numFmtId="0" fontId="5" fillId="4" borderId="0" xfId="0" applyFont="1" applyFill="1" applyAlignment="1" applyProtection="1">
      <alignment horizontal="center" vertical="center" wrapText="1"/>
      <protection locked="0"/>
    </xf>
    <xf numFmtId="0" fontId="6" fillId="0" borderId="0" xfId="0" applyFont="1" applyProtection="1">
      <protection locked="0"/>
    </xf>
    <xf numFmtId="0" fontId="5" fillId="4" borderId="5" xfId="0" applyFont="1" applyFill="1" applyBorder="1" applyAlignment="1" applyProtection="1">
      <alignment horizontal="center" vertical="center" wrapText="1"/>
      <protection locked="0"/>
    </xf>
    <xf numFmtId="0" fontId="7" fillId="5" borderId="6" xfId="4" applyFont="1" applyFill="1" applyBorder="1" applyAlignment="1" applyProtection="1">
      <alignment horizontal="center" vertical="center" wrapText="1"/>
      <protection locked="0"/>
    </xf>
    <xf numFmtId="0" fontId="8" fillId="4" borderId="0" xfId="0" applyFont="1" applyFill="1" applyAlignment="1" applyProtection="1">
      <alignment horizontal="center" vertical="center" wrapText="1"/>
      <protection locked="0"/>
    </xf>
    <xf numFmtId="0" fontId="9" fillId="0" borderId="0" xfId="0" applyFont="1" applyAlignment="1" applyProtection="1">
      <alignment vertical="center" wrapText="1"/>
      <protection locked="0"/>
    </xf>
    <xf numFmtId="0" fontId="10" fillId="4" borderId="5" xfId="0" applyFont="1" applyFill="1" applyBorder="1" applyAlignment="1">
      <alignment horizontal="center" vertical="center"/>
    </xf>
    <xf numFmtId="0" fontId="11" fillId="0" borderId="5" xfId="0" applyFont="1" applyBorder="1" applyAlignment="1">
      <alignment vertical="center" wrapText="1"/>
    </xf>
    <xf numFmtId="0" fontId="11" fillId="0" borderId="7" xfId="0" applyFont="1" applyBorder="1" applyAlignment="1">
      <alignment horizontal="center" vertical="center"/>
    </xf>
    <xf numFmtId="0" fontId="2" fillId="0" borderId="8" xfId="0" applyFont="1" applyBorder="1" applyAlignment="1" applyProtection="1">
      <alignment horizontal="center" vertical="center"/>
      <protection locked="0"/>
    </xf>
    <xf numFmtId="164" fontId="12" fillId="4" borderId="8" xfId="0" applyNumberFormat="1" applyFont="1" applyFill="1" applyBorder="1" applyAlignment="1" applyProtection="1">
      <alignment horizontal="center" vertical="center" wrapText="1"/>
      <protection locked="0"/>
    </xf>
    <xf numFmtId="164" fontId="12" fillId="0" borderId="8" xfId="0" applyNumberFormat="1" applyFont="1" applyBorder="1" applyAlignment="1" applyProtection="1">
      <alignment horizontal="center" vertical="center" wrapText="1"/>
      <protection locked="0"/>
    </xf>
    <xf numFmtId="0" fontId="13" fillId="6" borderId="8" xfId="0" applyFont="1" applyFill="1" applyBorder="1" applyAlignment="1" applyProtection="1">
      <alignment wrapText="1"/>
      <protection locked="0"/>
    </xf>
    <xf numFmtId="0" fontId="13" fillId="6" borderId="8" xfId="0" applyFont="1" applyFill="1" applyBorder="1" applyProtection="1">
      <protection locked="0"/>
    </xf>
    <xf numFmtId="164" fontId="12" fillId="7" borderId="8" xfId="0" applyNumberFormat="1" applyFont="1" applyFill="1" applyBorder="1" applyAlignment="1" applyProtection="1">
      <alignment horizontal="center" vertical="center" wrapText="1"/>
      <protection locked="0"/>
    </xf>
    <xf numFmtId="164" fontId="0" fillId="0" borderId="0" xfId="0" applyNumberFormat="1" applyProtection="1">
      <protection locked="0"/>
    </xf>
    <xf numFmtId="0" fontId="14" fillId="0" borderId="0" xfId="0" applyFont="1"/>
    <xf numFmtId="0" fontId="15" fillId="0" borderId="0" xfId="0" applyFont="1"/>
    <xf numFmtId="165" fontId="15" fillId="0" borderId="0" xfId="1" applyNumberFormat="1" applyFont="1"/>
    <xf numFmtId="0" fontId="15" fillId="0" borderId="0" xfId="0" applyFont="1" applyAlignment="1">
      <alignment vertical="center"/>
    </xf>
    <xf numFmtId="165" fontId="15" fillId="0" borderId="0" xfId="1" applyNumberFormat="1" applyFont="1" applyAlignment="1">
      <alignment vertical="center"/>
    </xf>
    <xf numFmtId="166" fontId="15" fillId="0" borderId="0" xfId="0" applyNumberFormat="1" applyFont="1"/>
    <xf numFmtId="0" fontId="19" fillId="0" borderId="0" xfId="0" applyFont="1"/>
    <xf numFmtId="165" fontId="19" fillId="0" borderId="0" xfId="1" applyNumberFormat="1" applyFont="1" applyAlignment="1">
      <alignment vertical="center"/>
    </xf>
    <xf numFmtId="0" fontId="19" fillId="0" borderId="0" xfId="0" applyFont="1" applyAlignment="1">
      <alignment vertical="center"/>
    </xf>
    <xf numFmtId="165" fontId="19" fillId="0" borderId="0" xfId="1" applyNumberFormat="1" applyFont="1"/>
    <xf numFmtId="165" fontId="18" fillId="0" borderId="0" xfId="1" applyNumberFormat="1" applyFont="1" applyAlignment="1">
      <alignment vertical="center"/>
    </xf>
    <xf numFmtId="0" fontId="19" fillId="0" borderId="0" xfId="0" applyFont="1" applyAlignment="1">
      <alignment vertical="center" wrapText="1"/>
    </xf>
    <xf numFmtId="44" fontId="20" fillId="4" borderId="0" xfId="0" applyNumberFormat="1" applyFont="1" applyFill="1" applyAlignment="1">
      <alignment horizontal="center" vertical="center"/>
    </xf>
    <xf numFmtId="0" fontId="18" fillId="0" borderId="0" xfId="0" applyFont="1" applyAlignment="1">
      <alignment vertical="center"/>
    </xf>
    <xf numFmtId="0" fontId="18" fillId="0" borderId="0" xfId="0" applyFont="1" applyAlignment="1">
      <alignment horizontal="left" vertical="center" wrapText="1"/>
    </xf>
    <xf numFmtId="165" fontId="20" fillId="0" borderId="0" xfId="0" applyNumberFormat="1" applyFont="1" applyAlignment="1">
      <alignment horizontal="center" vertical="center"/>
    </xf>
    <xf numFmtId="44" fontId="20" fillId="0" borderId="0" xfId="0" applyNumberFormat="1" applyFont="1" applyAlignment="1">
      <alignment horizontal="center" vertical="center"/>
    </xf>
    <xf numFmtId="164" fontId="21" fillId="0" borderId="0" xfId="3" applyNumberFormat="1" applyFont="1" applyAlignment="1">
      <alignment horizontal="center" vertical="center" wrapText="1"/>
    </xf>
    <xf numFmtId="0" fontId="19" fillId="0" borderId="0" xfId="0" applyFont="1" applyAlignment="1">
      <alignment horizontal="center" vertical="center"/>
    </xf>
    <xf numFmtId="0" fontId="18" fillId="0" borderId="0" xfId="0" applyFont="1"/>
    <xf numFmtId="0" fontId="18" fillId="3" borderId="6" xfId="0" applyFont="1" applyFill="1" applyBorder="1" applyAlignment="1">
      <alignment horizontal="center" vertical="center" wrapText="1"/>
    </xf>
    <xf numFmtId="166" fontId="21" fillId="0" borderId="0" xfId="0" applyNumberFormat="1" applyFont="1" applyAlignment="1">
      <alignment vertical="top"/>
    </xf>
    <xf numFmtId="0" fontId="21" fillId="0" borderId="0" xfId="0" applyFont="1" applyAlignment="1">
      <alignment vertical="top"/>
    </xf>
    <xf numFmtId="0" fontId="20" fillId="0" borderId="0" xfId="0" applyFont="1" applyAlignment="1">
      <alignment vertical="center"/>
    </xf>
    <xf numFmtId="0" fontId="21" fillId="0" borderId="0" xfId="0" applyFont="1" applyAlignment="1">
      <alignment vertical="center"/>
    </xf>
    <xf numFmtId="0" fontId="21" fillId="0" borderId="0" xfId="0" applyFont="1"/>
    <xf numFmtId="0" fontId="19" fillId="0" borderId="6" xfId="0" applyFont="1" applyBorder="1" applyAlignment="1">
      <alignment horizontal="center" vertical="center" wrapText="1"/>
    </xf>
    <xf numFmtId="0" fontId="19" fillId="0" borderId="6" xfId="0" applyFont="1" applyBorder="1" applyAlignment="1">
      <alignment vertical="center"/>
    </xf>
    <xf numFmtId="10" fontId="20" fillId="4" borderId="6" xfId="2" applyNumberFormat="1" applyFont="1" applyFill="1" applyBorder="1" applyAlignment="1">
      <alignment horizontal="center" vertical="center" wrapText="1"/>
    </xf>
    <xf numFmtId="165" fontId="19" fillId="0" borderId="6" xfId="0" applyNumberFormat="1" applyFont="1" applyBorder="1" applyAlignment="1">
      <alignment vertical="center"/>
    </xf>
    <xf numFmtId="44" fontId="19" fillId="0" borderId="6" xfId="0" applyNumberFormat="1" applyFont="1" applyBorder="1" applyAlignment="1">
      <alignment vertical="center"/>
    </xf>
    <xf numFmtId="165" fontId="19" fillId="9" borderId="6" xfId="1" applyNumberFormat="1" applyFont="1" applyFill="1" applyBorder="1" applyAlignment="1">
      <alignment vertical="center"/>
    </xf>
    <xf numFmtId="165" fontId="19" fillId="9" borderId="6" xfId="0" applyNumberFormat="1" applyFont="1" applyFill="1" applyBorder="1" applyAlignment="1">
      <alignment vertical="center"/>
    </xf>
    <xf numFmtId="44" fontId="20" fillId="2" borderId="5" xfId="1" applyNumberFormat="1" applyFont="1" applyFill="1" applyBorder="1" applyAlignment="1">
      <alignment vertical="center" wrapText="1"/>
    </xf>
    <xf numFmtId="0" fontId="22" fillId="10" borderId="6" xfId="0" applyFont="1" applyFill="1" applyBorder="1" applyAlignment="1">
      <alignment horizontal="center" vertical="center"/>
    </xf>
    <xf numFmtId="17" fontId="18" fillId="3" borderId="6" xfId="0" applyNumberFormat="1" applyFont="1" applyFill="1" applyBorder="1" applyAlignment="1">
      <alignment horizontal="center" vertical="center" wrapText="1"/>
    </xf>
    <xf numFmtId="10" fontId="20" fillId="2" borderId="6" xfId="0" applyNumberFormat="1" applyFont="1" applyFill="1" applyBorder="1" applyAlignment="1">
      <alignment horizontal="center" vertical="center" wrapText="1"/>
    </xf>
    <xf numFmtId="165" fontId="18" fillId="0" borderId="0" xfId="1" applyNumberFormat="1" applyFont="1"/>
    <xf numFmtId="0" fontId="19" fillId="0" borderId="5" xfId="0" applyFont="1" applyBorder="1" applyAlignment="1">
      <alignment horizontal="center" vertical="center" wrapText="1"/>
    </xf>
    <xf numFmtId="0" fontId="18" fillId="0" borderId="0" xfId="0" applyFont="1" applyAlignment="1">
      <alignment horizontal="center" vertical="center"/>
    </xf>
    <xf numFmtId="0" fontId="18" fillId="3" borderId="6" xfId="0" applyFont="1" applyFill="1" applyBorder="1" applyAlignment="1">
      <alignment horizontal="center" vertical="center" wrapText="1"/>
    </xf>
    <xf numFmtId="0" fontId="19" fillId="0" borderId="0" xfId="0" applyFont="1" applyAlignment="1">
      <alignment horizontal="left" vertical="center" wrapText="1"/>
    </xf>
    <xf numFmtId="0" fontId="21" fillId="0" borderId="0" xfId="0" applyFont="1" applyAlignment="1">
      <alignment vertical="center" wrapText="1"/>
    </xf>
    <xf numFmtId="0" fontId="23" fillId="11" borderId="6" xfId="4" applyFont="1" applyFill="1" applyBorder="1" applyAlignment="1">
      <alignment horizontal="center" vertical="center" wrapText="1"/>
    </xf>
    <xf numFmtId="0" fontId="19" fillId="0" borderId="0" xfId="0" applyFont="1" applyAlignment="1">
      <alignment horizontal="left" vertical="center" wrapText="1"/>
    </xf>
    <xf numFmtId="0" fontId="21" fillId="0" borderId="0" xfId="0" applyFont="1" applyAlignment="1">
      <alignment vertical="center" wrapText="1"/>
    </xf>
    <xf numFmtId="0" fontId="24" fillId="0" borderId="8" xfId="0" applyFont="1" applyBorder="1" applyAlignment="1">
      <alignment horizontal="center" vertical="center" wrapText="1"/>
    </xf>
    <xf numFmtId="0" fontId="24" fillId="0" borderId="8" xfId="0" applyFont="1" applyBorder="1" applyAlignment="1">
      <alignment horizontal="center" wrapText="1"/>
    </xf>
    <xf numFmtId="0" fontId="19" fillId="0" borderId="8" xfId="0" applyFont="1" applyBorder="1" applyAlignment="1">
      <alignment horizontal="center" vertical="center" wrapText="1"/>
    </xf>
    <xf numFmtId="0" fontId="25" fillId="0" borderId="8" xfId="0" applyFont="1" applyBorder="1" applyAlignment="1">
      <alignment horizontal="center" wrapText="1"/>
    </xf>
    <xf numFmtId="0" fontId="19" fillId="0" borderId="4" xfId="0" applyFont="1" applyBorder="1" applyAlignment="1">
      <alignment vertical="center"/>
    </xf>
    <xf numFmtId="0" fontId="19" fillId="0" borderId="8" xfId="0" applyFont="1" applyBorder="1" applyAlignment="1">
      <alignment vertical="center"/>
    </xf>
    <xf numFmtId="0" fontId="19" fillId="0" borderId="14" xfId="0" applyFont="1" applyBorder="1"/>
    <xf numFmtId="0" fontId="19" fillId="0" borderId="15" xfId="0" applyFont="1" applyBorder="1" applyAlignment="1">
      <alignment horizontal="center" vertical="center" wrapText="1"/>
    </xf>
    <xf numFmtId="0" fontId="24" fillId="0" borderId="18" xfId="0" applyFont="1" applyBorder="1" applyAlignment="1">
      <alignment horizontal="center" vertical="center" wrapText="1"/>
    </xf>
    <xf numFmtId="0" fontId="19" fillId="0" borderId="18" xfId="0" applyFont="1" applyBorder="1" applyAlignment="1">
      <alignment horizontal="center" vertical="center" wrapText="1"/>
    </xf>
    <xf numFmtId="44" fontId="19" fillId="9" borderId="6" xfId="0" applyNumberFormat="1" applyFont="1" applyFill="1" applyBorder="1" applyAlignment="1">
      <alignment vertical="center"/>
    </xf>
    <xf numFmtId="0" fontId="17" fillId="0" borderId="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1" xfId="0" applyFont="1" applyBorder="1" applyAlignment="1">
      <alignment horizontal="center" vertical="center" wrapText="1"/>
    </xf>
    <xf numFmtId="0" fontId="19" fillId="0" borderId="0" xfId="0" applyFont="1" applyAlignment="1">
      <alignment horizontal="left" vertical="center" wrapText="1"/>
    </xf>
    <xf numFmtId="0" fontId="21" fillId="0" borderId="0" xfId="0" applyFont="1" applyAlignment="1">
      <alignment vertical="center" wrapText="1"/>
    </xf>
    <xf numFmtId="0" fontId="23" fillId="11" borderId="6" xfId="4"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9" fillId="0" borderId="0" xfId="0" applyFont="1" applyBorder="1" applyAlignment="1">
      <alignment horizontal="center"/>
    </xf>
    <xf numFmtId="0" fontId="17" fillId="0" borderId="0" xfId="0" applyFont="1" applyBorder="1" applyAlignment="1">
      <alignment horizontal="center" vertical="center" wrapText="1"/>
    </xf>
    <xf numFmtId="165" fontId="26" fillId="0" borderId="6" xfId="1" applyNumberFormat="1" applyFont="1" applyBorder="1" applyAlignment="1">
      <alignment vertical="center" wrapText="1"/>
    </xf>
    <xf numFmtId="0" fontId="26" fillId="0" borderId="16" xfId="0" applyFont="1" applyBorder="1" applyAlignment="1">
      <alignment horizontal="center" vertical="center" wrapText="1"/>
    </xf>
    <xf numFmtId="0" fontId="26" fillId="0" borderId="19" xfId="0" applyFont="1" applyBorder="1" applyAlignment="1">
      <alignment horizontal="center" vertical="center" wrapText="1"/>
    </xf>
    <xf numFmtId="0" fontId="27" fillId="0" borderId="2" xfId="0" applyFont="1" applyBorder="1" applyAlignment="1">
      <alignment horizontal="center" vertical="center" wrapText="1"/>
    </xf>
    <xf numFmtId="0" fontId="18" fillId="3" borderId="0" xfId="0" applyFont="1" applyFill="1" applyBorder="1" applyAlignment="1">
      <alignment horizontal="center" vertical="center" wrapText="1"/>
    </xf>
    <xf numFmtId="0" fontId="18" fillId="13" borderId="0" xfId="0" applyFont="1" applyFill="1" applyBorder="1" applyAlignment="1">
      <alignment horizontal="center" vertical="center" wrapText="1"/>
    </xf>
    <xf numFmtId="165" fontId="26" fillId="0" borderId="6" xfId="1" applyNumberFormat="1" applyFont="1" applyFill="1" applyBorder="1" applyAlignment="1">
      <alignment vertical="center" wrapText="1"/>
    </xf>
    <xf numFmtId="44" fontId="19" fillId="0" borderId="4" xfId="0" applyNumberFormat="1" applyFont="1" applyBorder="1" applyAlignment="1">
      <alignment vertical="center"/>
    </xf>
    <xf numFmtId="44" fontId="19" fillId="0" borderId="8" xfId="0" applyNumberFormat="1" applyFont="1" applyBorder="1" applyAlignment="1">
      <alignment vertical="center"/>
    </xf>
    <xf numFmtId="44" fontId="18" fillId="0" borderId="0" xfId="0" applyNumberFormat="1" applyFont="1" applyAlignment="1">
      <alignment vertical="center"/>
    </xf>
    <xf numFmtId="44" fontId="20" fillId="13" borderId="5" xfId="1" applyNumberFormat="1" applyFont="1" applyFill="1" applyBorder="1" applyAlignment="1">
      <alignment vertical="center" wrapText="1"/>
    </xf>
    <xf numFmtId="44" fontId="19" fillId="0" borderId="0" xfId="0" applyNumberFormat="1" applyFont="1" applyAlignment="1">
      <alignment vertical="center"/>
    </xf>
    <xf numFmtId="44" fontId="19" fillId="0" borderId="6" xfId="1" applyNumberFormat="1" applyFont="1" applyBorder="1" applyAlignment="1">
      <alignment vertical="center"/>
    </xf>
    <xf numFmtId="44" fontId="19" fillId="4" borderId="6" xfId="0" applyNumberFormat="1" applyFont="1" applyFill="1" applyBorder="1" applyAlignment="1">
      <alignment vertical="center"/>
    </xf>
    <xf numFmtId="44" fontId="19" fillId="14" borderId="6" xfId="0" applyNumberFormat="1" applyFont="1" applyFill="1" applyBorder="1" applyAlignment="1">
      <alignment vertical="center"/>
    </xf>
    <xf numFmtId="0" fontId="29" fillId="3" borderId="6"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30" fillId="0" borderId="0" xfId="0" applyFont="1" applyAlignment="1">
      <alignment horizontal="center" vertical="center"/>
    </xf>
    <xf numFmtId="0" fontId="18" fillId="3" borderId="24" xfId="0" applyFont="1" applyFill="1" applyBorder="1" applyAlignment="1">
      <alignment horizontal="center" vertical="center" wrapText="1"/>
    </xf>
    <xf numFmtId="0" fontId="18" fillId="3" borderId="25" xfId="0" applyFont="1" applyFill="1" applyBorder="1" applyAlignment="1">
      <alignment horizontal="center" vertical="center" wrapText="1"/>
    </xf>
    <xf numFmtId="0" fontId="18" fillId="3" borderId="26" xfId="0" applyFont="1" applyFill="1" applyBorder="1" applyAlignment="1">
      <alignment horizontal="center" vertical="center" wrapText="1"/>
    </xf>
    <xf numFmtId="0" fontId="28" fillId="3" borderId="26" xfId="0" applyFont="1" applyFill="1" applyBorder="1" applyAlignment="1">
      <alignment horizontal="center" vertical="center" wrapText="1"/>
    </xf>
    <xf numFmtId="0" fontId="19" fillId="0" borderId="21" xfId="0" applyFont="1" applyBorder="1" applyAlignment="1">
      <alignment horizontal="center" vertical="center" wrapText="1"/>
    </xf>
    <xf numFmtId="0" fontId="24" fillId="0" borderId="22" xfId="0" applyFont="1" applyBorder="1" applyAlignment="1">
      <alignment horizontal="center" vertical="center" wrapText="1"/>
    </xf>
    <xf numFmtId="0" fontId="19" fillId="0" borderId="22" xfId="0" applyFont="1" applyBorder="1" applyAlignment="1">
      <alignment horizontal="center" vertical="center" wrapText="1"/>
    </xf>
    <xf numFmtId="0" fontId="26" fillId="0" borderId="23" xfId="0" applyFont="1" applyBorder="1" applyAlignment="1">
      <alignment horizontal="center" vertical="center" wrapText="1"/>
    </xf>
    <xf numFmtId="0" fontId="28" fillId="3" borderId="9" xfId="0" applyFont="1" applyFill="1" applyBorder="1" applyAlignment="1">
      <alignment horizontal="center" vertical="center" wrapText="1"/>
    </xf>
    <xf numFmtId="0" fontId="23" fillId="11" borderId="1" xfId="4" applyFont="1" applyFill="1" applyBorder="1" applyAlignment="1">
      <alignment horizontal="center" vertical="center" wrapText="1"/>
    </xf>
    <xf numFmtId="0" fontId="23" fillId="11" borderId="2" xfId="4" applyFont="1" applyFill="1" applyBorder="1" applyAlignment="1">
      <alignment horizontal="center" vertical="center" wrapText="1"/>
    </xf>
    <xf numFmtId="44" fontId="15" fillId="0" borderId="0" xfId="0" applyNumberFormat="1" applyFont="1"/>
    <xf numFmtId="0" fontId="18" fillId="3" borderId="6" xfId="0" applyFont="1" applyFill="1" applyBorder="1" applyAlignment="1">
      <alignment horizontal="center" vertical="center" wrapText="1"/>
    </xf>
    <xf numFmtId="0" fontId="19" fillId="0" borderId="5" xfId="0" applyFont="1" applyBorder="1" applyAlignment="1">
      <alignment horizontal="center" vertical="center" wrapText="1"/>
    </xf>
    <xf numFmtId="0" fontId="19" fillId="0" borderId="12" xfId="0" applyFont="1" applyBorder="1" applyAlignment="1">
      <alignment horizontal="center" vertical="center" wrapText="1"/>
    </xf>
    <xf numFmtId="0" fontId="24"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9" xfId="0" applyFont="1" applyBorder="1" applyAlignment="1">
      <alignment horizontal="center" vertical="center" wrapText="1"/>
    </xf>
    <xf numFmtId="44" fontId="19" fillId="0" borderId="0" xfId="0" applyNumberFormat="1" applyFont="1" applyBorder="1" applyAlignment="1">
      <alignment vertical="center"/>
    </xf>
    <xf numFmtId="44" fontId="19" fillId="4" borderId="0" xfId="0" applyNumberFormat="1" applyFont="1" applyFill="1" applyBorder="1" applyAlignment="1">
      <alignment vertical="center"/>
    </xf>
    <xf numFmtId="0" fontId="19" fillId="0" borderId="0" xfId="0" applyFont="1" applyBorder="1" applyAlignment="1">
      <alignment horizontal="center" vertical="center" wrapText="1"/>
    </xf>
    <xf numFmtId="165" fontId="19" fillId="0" borderId="0" xfId="0" applyNumberFormat="1" applyFont="1" applyBorder="1" applyAlignment="1">
      <alignment vertical="center"/>
    </xf>
    <xf numFmtId="0" fontId="24" fillId="0" borderId="0" xfId="0" applyFont="1" applyBorder="1" applyAlignment="1">
      <alignment horizontal="center" vertical="center" wrapText="1"/>
    </xf>
    <xf numFmtId="0" fontId="19" fillId="0" borderId="1" xfId="0" applyFont="1" applyBorder="1" applyAlignment="1">
      <alignment horizontal="center" vertical="center" wrapText="1"/>
    </xf>
    <xf numFmtId="44" fontId="19" fillId="0" borderId="1" xfId="0" applyNumberFormat="1" applyFont="1" applyBorder="1" applyAlignment="1">
      <alignment vertical="center"/>
    </xf>
    <xf numFmtId="44" fontId="19" fillId="0" borderId="2" xfId="0" applyNumberFormat="1" applyFont="1" applyBorder="1" applyAlignment="1">
      <alignment vertical="center"/>
    </xf>
    <xf numFmtId="44" fontId="18" fillId="15" borderId="6" xfId="0" applyNumberFormat="1" applyFont="1" applyFill="1" applyBorder="1" applyAlignment="1">
      <alignment vertical="center"/>
    </xf>
    <xf numFmtId="44" fontId="18" fillId="15" borderId="9" xfId="0" applyNumberFormat="1" applyFont="1" applyFill="1" applyBorder="1" applyAlignment="1">
      <alignment vertical="center"/>
    </xf>
    <xf numFmtId="0" fontId="24" fillId="0" borderId="0" xfId="0" applyFont="1" applyBorder="1" applyAlignment="1">
      <alignment horizontal="center" wrapText="1"/>
    </xf>
    <xf numFmtId="0" fontId="25" fillId="0" borderId="0" xfId="0" applyFont="1" applyBorder="1" applyAlignment="1">
      <alignment horizontal="center" wrapText="1"/>
    </xf>
    <xf numFmtId="44" fontId="18" fillId="15" borderId="8" xfId="0" applyNumberFormat="1" applyFont="1" applyFill="1" applyBorder="1" applyAlignment="1">
      <alignment vertical="center"/>
    </xf>
    <xf numFmtId="44" fontId="18" fillId="15" borderId="6" xfId="0" applyNumberFormat="1" applyFont="1" applyFill="1" applyBorder="1" applyAlignment="1">
      <alignment horizontal="center" vertical="center" wrapText="1"/>
    </xf>
    <xf numFmtId="44" fontId="14" fillId="15" borderId="8" xfId="0" applyNumberFormat="1" applyFont="1" applyFill="1" applyBorder="1" applyAlignment="1">
      <alignment vertical="center"/>
    </xf>
    <xf numFmtId="0" fontId="25" fillId="0" borderId="22" xfId="0" applyFont="1" applyBorder="1" applyAlignment="1">
      <alignment horizontal="center" wrapText="1"/>
    </xf>
    <xf numFmtId="0" fontId="24" fillId="0" borderId="22" xfId="0" applyFont="1" applyBorder="1" applyAlignment="1">
      <alignment horizontal="center" wrapText="1"/>
    </xf>
    <xf numFmtId="0" fontId="18" fillId="4" borderId="1" xfId="0" applyFont="1" applyFill="1" applyBorder="1" applyAlignment="1">
      <alignment horizontal="center" vertical="center" wrapText="1"/>
    </xf>
    <xf numFmtId="0" fontId="18" fillId="4" borderId="2" xfId="0" applyFont="1" applyFill="1" applyBorder="1" applyAlignment="1">
      <alignment horizontal="center" vertical="center" wrapText="1"/>
    </xf>
    <xf numFmtId="0" fontId="18" fillId="4" borderId="9" xfId="0" applyFont="1" applyFill="1" applyBorder="1" applyAlignment="1">
      <alignment horizontal="center" vertical="center" wrapText="1"/>
    </xf>
    <xf numFmtId="0" fontId="30" fillId="4" borderId="1" xfId="0" applyFont="1" applyFill="1" applyBorder="1" applyAlignment="1">
      <alignment horizontal="center" vertical="center" wrapText="1"/>
    </xf>
    <xf numFmtId="0" fontId="30" fillId="4" borderId="2" xfId="0" applyFont="1" applyFill="1" applyBorder="1" applyAlignment="1">
      <alignment horizontal="center" vertical="center" wrapText="1"/>
    </xf>
    <xf numFmtId="0" fontId="30" fillId="4" borderId="9"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8" fillId="4" borderId="6" xfId="0" applyFont="1" applyFill="1" applyBorder="1" applyAlignment="1">
      <alignment horizontal="center" vertical="center" wrapText="1"/>
    </xf>
    <xf numFmtId="165" fontId="18" fillId="4" borderId="0" xfId="1" applyNumberFormat="1" applyFont="1" applyFill="1"/>
    <xf numFmtId="165" fontId="19" fillId="4" borderId="0" xfId="1" applyNumberFormat="1" applyFont="1" applyFill="1"/>
    <xf numFmtId="0" fontId="19" fillId="0" borderId="20" xfId="0" applyFont="1" applyBorder="1" applyAlignment="1">
      <alignment horizontal="center" vertical="center" wrapText="1"/>
    </xf>
    <xf numFmtId="0" fontId="26" fillId="0" borderId="0" xfId="0" applyFont="1" applyBorder="1" applyAlignment="1">
      <alignment horizontal="center" vertical="center" wrapText="1"/>
    </xf>
    <xf numFmtId="0" fontId="26" fillId="0" borderId="27" xfId="0" applyFont="1" applyBorder="1" applyAlignment="1">
      <alignment horizontal="center" vertical="center" wrapText="1"/>
    </xf>
    <xf numFmtId="166" fontId="20" fillId="4" borderId="1" xfId="4" applyNumberFormat="1" applyFont="1" applyFill="1" applyBorder="1" applyAlignment="1">
      <alignment horizontal="center" vertical="center" wrapText="1"/>
    </xf>
    <xf numFmtId="166" fontId="20" fillId="4" borderId="2" xfId="4" applyNumberFormat="1" applyFont="1" applyFill="1" applyBorder="1" applyAlignment="1">
      <alignment horizontal="center" vertical="center" wrapText="1"/>
    </xf>
    <xf numFmtId="10" fontId="20" fillId="4" borderId="2" xfId="2" applyNumberFormat="1" applyFont="1" applyFill="1" applyBorder="1" applyAlignment="1">
      <alignment horizontal="center" vertical="center" wrapText="1"/>
    </xf>
    <xf numFmtId="44" fontId="18" fillId="16" borderId="6" xfId="0" applyNumberFormat="1" applyFont="1" applyFill="1" applyBorder="1" applyAlignment="1">
      <alignment vertical="center"/>
    </xf>
    <xf numFmtId="44" fontId="18" fillId="16" borderId="9" xfId="0" applyNumberFormat="1" applyFont="1" applyFill="1" applyBorder="1" applyAlignment="1">
      <alignment vertical="center"/>
    </xf>
    <xf numFmtId="44" fontId="19" fillId="16" borderId="6" xfId="0" applyNumberFormat="1" applyFont="1" applyFill="1" applyBorder="1" applyAlignment="1">
      <alignment vertical="center"/>
    </xf>
    <xf numFmtId="44" fontId="35" fillId="15" borderId="5" xfId="0" applyNumberFormat="1" applyFont="1" applyFill="1" applyBorder="1" applyAlignment="1">
      <alignment vertical="center"/>
    </xf>
    <xf numFmtId="0" fontId="23" fillId="12" borderId="6" xfId="4" applyFont="1" applyFill="1" applyBorder="1" applyAlignment="1">
      <alignment horizontal="center" vertical="center" wrapText="1"/>
    </xf>
    <xf numFmtId="0" fontId="23" fillId="12" borderId="2" xfId="4" applyFont="1" applyFill="1" applyBorder="1" applyAlignment="1">
      <alignment horizontal="center" vertical="center" wrapText="1"/>
    </xf>
    <xf numFmtId="166" fontId="20" fillId="12" borderId="2" xfId="4" applyNumberFormat="1" applyFont="1" applyFill="1" applyBorder="1" applyAlignment="1">
      <alignment horizontal="center" vertical="center" wrapText="1"/>
    </xf>
    <xf numFmtId="0" fontId="23" fillId="12" borderId="9" xfId="4" applyFont="1" applyFill="1" applyBorder="1" applyAlignment="1">
      <alignment horizontal="center" vertical="center" wrapText="1"/>
    </xf>
    <xf numFmtId="10" fontId="20" fillId="12" borderId="2" xfId="2" applyNumberFormat="1" applyFont="1" applyFill="1" applyBorder="1" applyAlignment="1">
      <alignment horizontal="center" vertical="center" wrapText="1"/>
    </xf>
    <xf numFmtId="44" fontId="26" fillId="0" borderId="8" xfId="1" applyNumberFormat="1" applyFont="1" applyBorder="1" applyAlignment="1">
      <alignment vertical="center" wrapText="1"/>
    </xf>
    <xf numFmtId="0" fontId="36" fillId="0" borderId="0" xfId="6"/>
    <xf numFmtId="17" fontId="18" fillId="17" borderId="6" xfId="0" applyNumberFormat="1" applyFont="1" applyFill="1" applyBorder="1" applyAlignment="1">
      <alignment horizontal="center" vertical="center" wrapText="1"/>
    </xf>
    <xf numFmtId="10" fontId="20" fillId="17" borderId="6" xfId="0" applyNumberFormat="1" applyFont="1" applyFill="1" applyBorder="1" applyAlignment="1">
      <alignment horizontal="center" vertical="center" wrapText="1"/>
    </xf>
    <xf numFmtId="44" fontId="26" fillId="0" borderId="6" xfId="1" applyNumberFormat="1" applyFont="1" applyBorder="1" applyAlignment="1">
      <alignment vertical="center" wrapText="1"/>
    </xf>
    <xf numFmtId="44" fontId="19" fillId="0" borderId="0" xfId="0" applyNumberFormat="1" applyFont="1" applyAlignment="1">
      <alignment vertical="center" wrapText="1"/>
    </xf>
    <xf numFmtId="44" fontId="26" fillId="0" borderId="6" xfId="1" applyNumberFormat="1" applyFont="1" applyFill="1" applyBorder="1" applyAlignment="1">
      <alignment vertical="center" wrapText="1"/>
    </xf>
    <xf numFmtId="44" fontId="26" fillId="0" borderId="4" xfId="1" applyNumberFormat="1" applyFont="1" applyBorder="1" applyAlignment="1">
      <alignment vertical="center" wrapText="1"/>
    </xf>
    <xf numFmtId="44" fontId="26" fillId="0" borderId="4" xfId="1" applyNumberFormat="1" applyFont="1" applyFill="1" applyBorder="1" applyAlignment="1">
      <alignment vertical="center" wrapText="1"/>
    </xf>
    <xf numFmtId="44" fontId="19" fillId="0" borderId="8" xfId="0" applyNumberFormat="1" applyFont="1" applyBorder="1" applyAlignment="1">
      <alignment vertical="center" wrapText="1"/>
    </xf>
    <xf numFmtId="44" fontId="19" fillId="0" borderId="8" xfId="1" applyNumberFormat="1" applyFont="1" applyFill="1" applyBorder="1" applyAlignment="1">
      <alignment vertical="center" wrapText="1"/>
    </xf>
    <xf numFmtId="168" fontId="20" fillId="4" borderId="6" xfId="4" applyNumberFormat="1" applyFont="1" applyFill="1" applyBorder="1" applyAlignment="1">
      <alignment horizontal="center" vertical="center" wrapText="1"/>
    </xf>
    <xf numFmtId="168" fontId="20" fillId="12" borderId="6" xfId="4" applyNumberFormat="1" applyFont="1" applyFill="1" applyBorder="1" applyAlignment="1">
      <alignment horizontal="center" vertical="center" wrapText="1"/>
    </xf>
    <xf numFmtId="44" fontId="19" fillId="0" borderId="6" xfId="1" applyNumberFormat="1" applyFont="1" applyFill="1" applyBorder="1" applyAlignment="1">
      <alignment vertical="center"/>
    </xf>
    <xf numFmtId="0" fontId="19" fillId="0" borderId="0" xfId="0" applyFont="1" applyAlignment="1">
      <alignment horizontal="left" vertical="center" wrapText="1"/>
    </xf>
    <xf numFmtId="0" fontId="18" fillId="3" borderId="6" xfId="0" applyFont="1" applyFill="1" applyBorder="1" applyAlignment="1">
      <alignment horizontal="center" vertical="center" wrapText="1"/>
    </xf>
    <xf numFmtId="0" fontId="19" fillId="0" borderId="5" xfId="0" applyFont="1" applyBorder="1" applyAlignment="1">
      <alignment horizontal="center" vertical="center" wrapText="1"/>
    </xf>
    <xf numFmtId="0" fontId="19" fillId="0" borderId="0" xfId="0" applyFont="1" applyAlignment="1">
      <alignment horizontal="left" vertical="center" wrapText="1"/>
    </xf>
    <xf numFmtId="0" fontId="21" fillId="0" borderId="0" xfId="0" applyFont="1" applyAlignment="1">
      <alignment vertical="center" wrapText="1"/>
    </xf>
    <xf numFmtId="0" fontId="23" fillId="11" borderId="6" xfId="4" applyFont="1" applyFill="1" applyBorder="1" applyAlignment="1">
      <alignment horizontal="center" vertical="center" wrapText="1"/>
    </xf>
    <xf numFmtId="0" fontId="23" fillId="12" borderId="6" xfId="4"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0" borderId="1" xfId="0" applyFont="1" applyBorder="1" applyAlignment="1">
      <alignment horizontal="center"/>
    </xf>
    <xf numFmtId="0" fontId="18" fillId="0" borderId="2" xfId="0" applyFont="1" applyBorder="1" applyAlignment="1">
      <alignment horizontal="center"/>
    </xf>
    <xf numFmtId="0" fontId="18" fillId="0" borderId="9" xfId="0" applyFont="1" applyBorder="1" applyAlignment="1">
      <alignment horizontal="center"/>
    </xf>
    <xf numFmtId="0" fontId="18" fillId="8" borderId="1" xfId="0" applyFont="1" applyFill="1" applyBorder="1" applyAlignment="1">
      <alignment horizontal="center" vertical="center"/>
    </xf>
    <xf numFmtId="0" fontId="18" fillId="8" borderId="2" xfId="0" applyFont="1" applyFill="1" applyBorder="1" applyAlignment="1">
      <alignment horizontal="center" vertical="center"/>
    </xf>
    <xf numFmtId="0" fontId="18" fillId="8" borderId="9" xfId="0" applyFont="1" applyFill="1" applyBorder="1" applyAlignment="1">
      <alignment horizontal="center" vertical="center"/>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1" xfId="0" applyFont="1" applyBorder="1" applyAlignment="1">
      <alignment horizontal="center" vertical="center" wrapText="1"/>
    </xf>
    <xf numFmtId="0" fontId="18" fillId="13" borderId="12" xfId="0" applyFont="1" applyFill="1" applyBorder="1" applyAlignment="1">
      <alignment horizontal="center" vertical="center" wrapText="1"/>
    </xf>
    <xf numFmtId="0" fontId="18" fillId="13" borderId="3"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9" fillId="0" borderId="10" xfId="0" applyFont="1" applyBorder="1" applyAlignment="1">
      <alignment horizontal="center"/>
    </xf>
    <xf numFmtId="0" fontId="19" fillId="0" borderId="11" xfId="0" applyFont="1" applyBorder="1" applyAlignment="1">
      <alignment horizontal="center"/>
    </xf>
    <xf numFmtId="0" fontId="19" fillId="0" borderId="12" xfId="0" applyFont="1" applyBorder="1" applyAlignment="1">
      <alignment horizontal="center"/>
    </xf>
    <xf numFmtId="0" fontId="19" fillId="0" borderId="7" xfId="0" applyFont="1" applyBorder="1" applyAlignment="1">
      <alignment horizontal="center"/>
    </xf>
    <xf numFmtId="0" fontId="19" fillId="0" borderId="15" xfId="0" applyFont="1" applyBorder="1" applyAlignment="1">
      <alignment horizontal="center" vertical="center" wrapText="1"/>
    </xf>
    <xf numFmtId="0" fontId="19" fillId="0" borderId="17" xfId="0" applyFont="1" applyBorder="1" applyAlignment="1">
      <alignment horizontal="center" vertical="center" wrapText="1"/>
    </xf>
    <xf numFmtId="0" fontId="18" fillId="13" borderId="6" xfId="0" applyFont="1" applyFill="1" applyBorder="1" applyAlignment="1">
      <alignment horizontal="center" vertical="center" wrapText="1"/>
    </xf>
    <xf numFmtId="0" fontId="19" fillId="0" borderId="0" xfId="0" applyFont="1" applyAlignment="1">
      <alignment horizontal="left" vertical="top" wrapText="1"/>
    </xf>
    <xf numFmtId="44" fontId="19" fillId="0" borderId="6" xfId="1" applyNumberFormat="1" applyFont="1" applyFill="1" applyBorder="1" applyAlignment="1">
      <alignment vertical="center"/>
    </xf>
    <xf numFmtId="165" fontId="19" fillId="9" borderId="6" xfId="1" applyNumberFormat="1" applyFont="1" applyFill="1" applyBorder="1" applyAlignment="1">
      <alignment vertical="center"/>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8" fillId="13" borderId="1" xfId="0" applyFont="1" applyFill="1" applyBorder="1" applyAlignment="1">
      <alignment horizontal="center" vertical="center" wrapText="1"/>
    </xf>
    <xf numFmtId="0" fontId="18" fillId="13" borderId="2" xfId="0" applyFont="1" applyFill="1" applyBorder="1" applyAlignment="1">
      <alignment horizontal="center" vertical="center" wrapText="1"/>
    </xf>
    <xf numFmtId="0" fontId="18" fillId="13" borderId="9" xfId="0" applyFont="1" applyFill="1" applyBorder="1" applyAlignment="1">
      <alignment horizontal="center" vertical="center" wrapText="1"/>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9" xfId="0" applyFont="1" applyBorder="1" applyAlignment="1">
      <alignment horizontal="center" vertical="center" wrapText="1"/>
    </xf>
    <xf numFmtId="0" fontId="18" fillId="3" borderId="1"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8" fillId="8" borderId="12" xfId="0" applyFont="1" applyFill="1" applyBorder="1" applyAlignment="1">
      <alignment horizontal="center" vertical="center" wrapText="1"/>
    </xf>
    <xf numFmtId="0" fontId="18" fillId="8" borderId="3" xfId="0" applyFont="1" applyFill="1" applyBorder="1" applyAlignment="1">
      <alignment horizontal="center" vertical="center" wrapText="1"/>
    </xf>
    <xf numFmtId="0" fontId="32" fillId="0" borderId="0" xfId="0" applyFont="1" applyAlignment="1">
      <alignment horizontal="left" vertical="center" wrapText="1"/>
    </xf>
    <xf numFmtId="0" fontId="32" fillId="0" borderId="0" xfId="0" applyFont="1" applyAlignment="1">
      <alignment horizontal="left" wrapText="1"/>
    </xf>
    <xf numFmtId="0" fontId="19" fillId="0" borderId="3" xfId="0" applyFont="1" applyBorder="1" applyAlignment="1">
      <alignment horizontal="center"/>
    </xf>
    <xf numFmtId="0" fontId="18" fillId="3" borderId="3"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9" fillId="4" borderId="8" xfId="0" applyFont="1" applyFill="1" applyBorder="1" applyAlignment="1" applyProtection="1">
      <alignment horizontal="center"/>
      <protection locked="0"/>
    </xf>
    <xf numFmtId="0" fontId="5" fillId="3" borderId="4" xfId="0" applyFont="1" applyFill="1" applyBorder="1" applyAlignment="1" applyProtection="1">
      <alignment horizontal="center" vertical="center" wrapText="1"/>
      <protection locked="0"/>
    </xf>
    <xf numFmtId="0" fontId="5" fillId="3" borderId="5"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4" fillId="0" borderId="3" xfId="0" applyFont="1" applyBorder="1" applyAlignment="1" applyProtection="1">
      <alignment horizontal="center" wrapText="1"/>
      <protection locked="0"/>
    </xf>
    <xf numFmtId="0" fontId="7" fillId="5" borderId="1" xfId="4" applyFont="1" applyFill="1" applyBorder="1" applyAlignment="1" applyProtection="1">
      <alignment horizontal="center" vertical="center" wrapText="1"/>
      <protection locked="0"/>
    </xf>
    <xf numFmtId="0" fontId="7" fillId="5" borderId="2" xfId="4"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protection locked="0"/>
    </xf>
    <xf numFmtId="0" fontId="18" fillId="8" borderId="28" xfId="0" applyFont="1" applyFill="1" applyBorder="1" applyAlignment="1">
      <alignment horizontal="center" vertical="center" wrapText="1"/>
    </xf>
    <xf numFmtId="0" fontId="18" fillId="8" borderId="29" xfId="0" applyFont="1" applyFill="1" applyBorder="1" applyAlignment="1">
      <alignment horizontal="center" vertical="center" wrapText="1"/>
    </xf>
    <xf numFmtId="0" fontId="18" fillId="3" borderId="12" xfId="0" applyFont="1" applyFill="1" applyBorder="1" applyAlignment="1">
      <alignment horizontal="center" vertical="center" wrapText="1"/>
    </xf>
    <xf numFmtId="0" fontId="19" fillId="0" borderId="20" xfId="0" applyFont="1" applyBorder="1" applyAlignment="1">
      <alignment horizontal="center"/>
    </xf>
    <xf numFmtId="0" fontId="19" fillId="0" borderId="0" xfId="0" applyFont="1" applyBorder="1" applyAlignment="1">
      <alignment horizontal="center"/>
    </xf>
    <xf numFmtId="0" fontId="19" fillId="0" borderId="31" xfId="0" applyFont="1" applyBorder="1" applyAlignment="1">
      <alignment horizontal="center" vertical="center" wrapText="1"/>
    </xf>
    <xf numFmtId="0" fontId="19" fillId="0" borderId="30" xfId="0" applyFont="1" applyBorder="1" applyAlignment="1">
      <alignment horizontal="center" vertical="center" wrapText="1"/>
    </xf>
    <xf numFmtId="0" fontId="19" fillId="0" borderId="32" xfId="0" applyFont="1" applyBorder="1" applyAlignment="1">
      <alignment horizontal="center" vertical="center" wrapText="1"/>
    </xf>
  </cellXfs>
  <cellStyles count="7">
    <cellStyle name="Hipervínculo" xfId="6" builtinId="8"/>
    <cellStyle name="Moneda" xfId="1" builtinId="4"/>
    <cellStyle name="Moneda 2" xfId="5"/>
    <cellStyle name="Normal" xfId="0" builtinId="0"/>
    <cellStyle name="Normal 2" xfId="3"/>
    <cellStyle name="Normal_HERRAMIENTAS PARA TRANSPORTE" xfId="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290926</xdr:colOff>
      <xdr:row>1</xdr:row>
      <xdr:rowOff>250550</xdr:rowOff>
    </xdr:from>
    <xdr:to>
      <xdr:col>1</xdr:col>
      <xdr:colOff>1855304</xdr:colOff>
      <xdr:row>2</xdr:row>
      <xdr:rowOff>459907</xdr:rowOff>
    </xdr:to>
    <xdr:pic>
      <xdr:nvPicPr>
        <xdr:cNvPr id="2" name="Imagen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stretch>
          <a:fillRect/>
        </a:stretch>
      </xdr:blipFill>
      <xdr:spPr>
        <a:xfrm>
          <a:off x="290830" y="469265"/>
          <a:ext cx="2043430" cy="552450"/>
        </a:xfrm>
        <a:prstGeom prst="rect">
          <a:avLst/>
        </a:prstGeom>
      </xdr:spPr>
    </xdr:pic>
    <xdr:clientData/>
  </xdr:twoCellAnchor>
  <xdr:twoCellAnchor>
    <xdr:from>
      <xdr:col>0</xdr:col>
      <xdr:colOff>336405</xdr:colOff>
      <xdr:row>27</xdr:row>
      <xdr:rowOff>1</xdr:rowOff>
    </xdr:from>
    <xdr:to>
      <xdr:col>2</xdr:col>
      <xdr:colOff>207065</xdr:colOff>
      <xdr:row>30</xdr:row>
      <xdr:rowOff>82827</xdr:rowOff>
    </xdr:to>
    <xdr:sp macro="" textlink="">
      <xdr:nvSpPr>
        <xdr:cNvPr id="3" name="Text Box 4">
          <a:extLst>
            <a:ext uri="{FF2B5EF4-FFF2-40B4-BE49-F238E27FC236}">
              <a16:creationId xmlns:a16="http://schemas.microsoft.com/office/drawing/2014/main" xmlns="" id="{00000000-0008-0000-0000-000003000000}"/>
            </a:ext>
          </a:extLst>
        </xdr:cNvPr>
        <xdr:cNvSpPr txBox="1">
          <a:spLocks noChangeArrowheads="1"/>
        </xdr:cNvSpPr>
      </xdr:nvSpPr>
      <xdr:spPr>
        <a:xfrm>
          <a:off x="336405" y="11090414"/>
          <a:ext cx="2628769" cy="1093304"/>
        </a:xfrm>
        <a:prstGeom prst="rect">
          <a:avLst/>
        </a:prstGeom>
        <a:solidFill>
          <a:srgbClr val="FFFFFF"/>
        </a:solidFill>
        <a:ln w="9525">
          <a:solidFill>
            <a:schemeClr val="bg1"/>
          </a:solidFill>
          <a:miter lim="800000"/>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Proyecto: Claudia Lorena Benavides Eraso</a:t>
          </a:r>
        </a:p>
        <a:p>
          <a:pPr marL="0" marR="0" indent="0" algn="l" defTabSz="914400" rtl="0" eaLnBrk="1" fontAlgn="auto" latinLnBrk="0" hangingPunct="1">
            <a:lnSpc>
              <a:spcPct val="100000"/>
            </a:lnSpc>
            <a:spcBef>
              <a:spcPts val="0"/>
            </a:spcBef>
            <a:spcAft>
              <a:spcPts val="0"/>
            </a:spcAft>
            <a:buClrTx/>
            <a:buSzTx/>
            <a:buFontTx/>
            <a:buNone/>
            <a:defRPr sz="1000"/>
          </a:pPr>
          <a:endPar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xdr:txBody>
    </xdr:sp>
    <xdr:clientData/>
  </xdr:twoCellAnchor>
  <xdr:twoCellAnchor>
    <xdr:from>
      <xdr:col>2</xdr:col>
      <xdr:colOff>745436</xdr:colOff>
      <xdr:row>27</xdr:row>
      <xdr:rowOff>1</xdr:rowOff>
    </xdr:from>
    <xdr:to>
      <xdr:col>8</xdr:col>
      <xdr:colOff>24848</xdr:colOff>
      <xdr:row>29</xdr:row>
      <xdr:rowOff>99392</xdr:rowOff>
    </xdr:to>
    <xdr:sp macro="" textlink="">
      <xdr:nvSpPr>
        <xdr:cNvPr id="4" name="Text Box 4">
          <a:extLst>
            <a:ext uri="{FF2B5EF4-FFF2-40B4-BE49-F238E27FC236}">
              <a16:creationId xmlns:a16="http://schemas.microsoft.com/office/drawing/2014/main" xmlns="" id="{00000000-0008-0000-0000-000004000000}"/>
            </a:ext>
          </a:extLst>
        </xdr:cNvPr>
        <xdr:cNvSpPr txBox="1">
          <a:spLocks noChangeArrowheads="1"/>
        </xdr:cNvSpPr>
      </xdr:nvSpPr>
      <xdr:spPr>
        <a:xfrm>
          <a:off x="3503545" y="11090414"/>
          <a:ext cx="2658716" cy="902804"/>
        </a:xfrm>
        <a:prstGeom prst="rect">
          <a:avLst/>
        </a:prstGeom>
        <a:solidFill>
          <a:srgbClr val="FFFFFF"/>
        </a:solidFill>
        <a:ln w="9525">
          <a:solidFill>
            <a:schemeClr val="bg1"/>
          </a:solidFill>
          <a:miter lim="800000"/>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Reviso y aprobó:	Miguel Eduardo Gonzalez Rebellon</a:t>
          </a:r>
        </a:p>
        <a:p>
          <a:pPr marL="0" marR="0" indent="0" algn="l" defTabSz="914400" rtl="0" eaLnBrk="1" fontAlgn="auto" latinLnBrk="0" hangingPunct="1">
            <a:lnSpc>
              <a:spcPts val="8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xdr:txBody>
    </xdr:sp>
    <xdr:clientData/>
  </xdr:twoCellAnchor>
  <xdr:twoCellAnchor editAs="oneCell">
    <xdr:from>
      <xdr:col>1</xdr:col>
      <xdr:colOff>0</xdr:colOff>
      <xdr:row>26</xdr:row>
      <xdr:rowOff>0</xdr:rowOff>
    </xdr:from>
    <xdr:to>
      <xdr:col>1</xdr:col>
      <xdr:colOff>1247140</xdr:colOff>
      <xdr:row>26</xdr:row>
      <xdr:rowOff>317500</xdr:rowOff>
    </xdr:to>
    <xdr:pic>
      <xdr:nvPicPr>
        <xdr:cNvPr id="5" name="Imagen 4">
          <a:extLst>
            <a:ext uri="{FF2B5EF4-FFF2-40B4-BE49-F238E27FC236}">
              <a16:creationId xmlns:a16="http://schemas.microsoft.com/office/drawing/2014/main" xmlns="" id="{00000000-0008-0000-0000-000005000000}"/>
            </a:ext>
          </a:extLst>
        </xdr:cNvPr>
        <xdr:cNvPicPr/>
      </xdr:nvPicPr>
      <xdr:blipFill>
        <a:blip xmlns:r="http://schemas.openxmlformats.org/officeDocument/2006/relationships" r:embed="rId2"/>
        <a:stretch>
          <a:fillRect/>
        </a:stretch>
      </xdr:blipFill>
      <xdr:spPr>
        <a:xfrm>
          <a:off x="480391" y="8961783"/>
          <a:ext cx="1247140" cy="317500"/>
        </a:xfrm>
        <a:prstGeom prst="rect">
          <a:avLst/>
        </a:prstGeom>
      </xdr:spPr>
    </xdr:pic>
    <xdr:clientData/>
  </xdr:twoCellAnchor>
  <xdr:twoCellAnchor editAs="oneCell">
    <xdr:from>
      <xdr:col>3</xdr:col>
      <xdr:colOff>447261</xdr:colOff>
      <xdr:row>26</xdr:row>
      <xdr:rowOff>256761</xdr:rowOff>
    </xdr:from>
    <xdr:to>
      <xdr:col>6</xdr:col>
      <xdr:colOff>133111</xdr:colOff>
      <xdr:row>27</xdr:row>
      <xdr:rowOff>198434</xdr:rowOff>
    </xdr:to>
    <xdr:pic>
      <xdr:nvPicPr>
        <xdr:cNvPr id="6" name="Imagen 5">
          <a:extLst>
            <a:ext uri="{FF2B5EF4-FFF2-40B4-BE49-F238E27FC236}">
              <a16:creationId xmlns:a16="http://schemas.microsoft.com/office/drawing/2014/main" xmlns="" id="{00000000-0008-0000-00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31804" y="9218544"/>
          <a:ext cx="1527810" cy="31439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290926</xdr:colOff>
      <xdr:row>1</xdr:row>
      <xdr:rowOff>250550</xdr:rowOff>
    </xdr:from>
    <xdr:to>
      <xdr:col>1</xdr:col>
      <xdr:colOff>1813891</xdr:colOff>
      <xdr:row>2</xdr:row>
      <xdr:rowOff>459908</xdr:rowOff>
    </xdr:to>
    <xdr:pic>
      <xdr:nvPicPr>
        <xdr:cNvPr id="2" name="Imagen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a:stretch>
          <a:fillRect/>
        </a:stretch>
      </xdr:blipFill>
      <xdr:spPr>
        <a:xfrm>
          <a:off x="290830" y="469265"/>
          <a:ext cx="2043430" cy="552450"/>
        </a:xfrm>
        <a:prstGeom prst="rect">
          <a:avLst/>
        </a:prstGeom>
      </xdr:spPr>
    </xdr:pic>
    <xdr:clientData/>
  </xdr:twoCellAnchor>
  <xdr:twoCellAnchor>
    <xdr:from>
      <xdr:col>0</xdr:col>
      <xdr:colOff>336405</xdr:colOff>
      <xdr:row>14</xdr:row>
      <xdr:rowOff>99392</xdr:rowOff>
    </xdr:from>
    <xdr:to>
      <xdr:col>10</xdr:col>
      <xdr:colOff>57977</xdr:colOff>
      <xdr:row>18</xdr:row>
      <xdr:rowOff>205977</xdr:rowOff>
    </xdr:to>
    <xdr:sp macro="" textlink="">
      <xdr:nvSpPr>
        <xdr:cNvPr id="3" name="Text Box 4">
          <a:extLst>
            <a:ext uri="{FF2B5EF4-FFF2-40B4-BE49-F238E27FC236}">
              <a16:creationId xmlns:a16="http://schemas.microsoft.com/office/drawing/2014/main" xmlns="" id="{00000000-0008-0000-0100-000003000000}"/>
            </a:ext>
          </a:extLst>
        </xdr:cNvPr>
        <xdr:cNvSpPr txBox="1">
          <a:spLocks noChangeArrowheads="1"/>
        </xdr:cNvSpPr>
      </xdr:nvSpPr>
      <xdr:spPr>
        <a:xfrm>
          <a:off x="336405" y="9235109"/>
          <a:ext cx="7672876" cy="727781"/>
        </a:xfrm>
        <a:prstGeom prst="rect">
          <a:avLst/>
        </a:prstGeom>
        <a:solidFill>
          <a:srgbClr val="FFFFFF"/>
        </a:solidFill>
        <a:ln w="9525">
          <a:solidFill>
            <a:schemeClr val="bg1"/>
          </a:solidFill>
          <a:miter lim="800000"/>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Proyecto:</a:t>
          </a:r>
          <a:r>
            <a:rPr lang="es-CO" sz="1000" b="1" i="0" baseline="0">
              <a:effectLst/>
              <a:latin typeface="+mn-lt"/>
              <a:ea typeface="+mn-ea"/>
              <a:cs typeface="+mn-cs"/>
            </a:rPr>
            <a:t>Claudia Lorena Benavides Eraso</a:t>
          </a:r>
          <a:endParaRPr lang="es-CO" sz="800">
            <a:effectLst/>
          </a:endParaRPr>
        </a:p>
        <a:p>
          <a:pPr marL="0" marR="0" indent="0" algn="l" defTabSz="914400" rtl="0" eaLnBrk="1" fontAlgn="auto" latinLnBrk="0" hangingPunct="1">
            <a:lnSpc>
              <a:spcPct val="100000"/>
            </a:lnSpc>
            <a:spcBef>
              <a:spcPts val="0"/>
            </a:spcBef>
            <a:spcAft>
              <a:spcPts val="0"/>
            </a:spcAft>
            <a:buClrTx/>
            <a:buSzTx/>
            <a:buFontTx/>
            <a:buNone/>
            <a:defRPr sz="1000"/>
          </a:pPr>
          <a:endPar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ct val="100000"/>
            </a:lnSpc>
            <a:spcBef>
              <a:spcPts val="0"/>
            </a:spcBef>
            <a:spcAft>
              <a:spcPts val="0"/>
            </a:spcAft>
            <a:buClrTx/>
            <a:buSzTx/>
            <a:buFontTx/>
            <a:buNone/>
            <a:defRPr sz="1000"/>
          </a:pPr>
          <a:endPar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xdr:txBody>
    </xdr:sp>
    <xdr:clientData/>
  </xdr:twoCellAnchor>
  <xdr:twoCellAnchor>
    <xdr:from>
      <xdr:col>2</xdr:col>
      <xdr:colOff>745436</xdr:colOff>
      <xdr:row>13</xdr:row>
      <xdr:rowOff>182218</xdr:rowOff>
    </xdr:from>
    <xdr:to>
      <xdr:col>10</xdr:col>
      <xdr:colOff>571501</xdr:colOff>
      <xdr:row>18</xdr:row>
      <xdr:rowOff>82422</xdr:rowOff>
    </xdr:to>
    <xdr:sp macro="" textlink="">
      <xdr:nvSpPr>
        <xdr:cNvPr id="4" name="Text Box 4">
          <a:extLst>
            <a:ext uri="{FF2B5EF4-FFF2-40B4-BE49-F238E27FC236}">
              <a16:creationId xmlns:a16="http://schemas.microsoft.com/office/drawing/2014/main" xmlns="" id="{00000000-0008-0000-0100-000004000000}"/>
            </a:ext>
          </a:extLst>
        </xdr:cNvPr>
        <xdr:cNvSpPr txBox="1">
          <a:spLocks noChangeArrowheads="1"/>
        </xdr:cNvSpPr>
      </xdr:nvSpPr>
      <xdr:spPr>
        <a:xfrm>
          <a:off x="3503545" y="9110870"/>
          <a:ext cx="5019260" cy="728465"/>
        </a:xfrm>
        <a:prstGeom prst="rect">
          <a:avLst/>
        </a:prstGeom>
        <a:solidFill>
          <a:srgbClr val="FFFFFF"/>
        </a:solidFill>
        <a:ln w="9525">
          <a:solidFill>
            <a:schemeClr val="bg1"/>
          </a:solidFill>
          <a:miter lim="800000"/>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Reviso y aprobó:	</a:t>
          </a:r>
          <a:r>
            <a:rPr lang="es-CO" sz="1000" b="1" i="0" baseline="0">
              <a:effectLst/>
              <a:latin typeface="+mn-lt"/>
              <a:ea typeface="+mn-ea"/>
              <a:cs typeface="+mn-cs"/>
            </a:rPr>
            <a:t>Miguel Eduardo Gonzalez Rebellon</a:t>
          </a:r>
          <a:endPar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ts val="8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xdr:txBody>
    </xdr:sp>
    <xdr:clientData/>
  </xdr:twoCellAnchor>
  <xdr:twoCellAnchor editAs="oneCell">
    <xdr:from>
      <xdr:col>1</xdr:col>
      <xdr:colOff>0</xdr:colOff>
      <xdr:row>14</xdr:row>
      <xdr:rowOff>0</xdr:rowOff>
    </xdr:from>
    <xdr:to>
      <xdr:col>1</xdr:col>
      <xdr:colOff>1247140</xdr:colOff>
      <xdr:row>15</xdr:row>
      <xdr:rowOff>110434</xdr:rowOff>
    </xdr:to>
    <xdr:pic>
      <xdr:nvPicPr>
        <xdr:cNvPr id="6" name="Imagen 5">
          <a:extLst>
            <a:ext uri="{FF2B5EF4-FFF2-40B4-BE49-F238E27FC236}">
              <a16:creationId xmlns:a16="http://schemas.microsoft.com/office/drawing/2014/main" xmlns="" id="{00000000-0008-0000-0100-000006000000}"/>
            </a:ext>
          </a:extLst>
        </xdr:cNvPr>
        <xdr:cNvPicPr/>
      </xdr:nvPicPr>
      <xdr:blipFill>
        <a:blip xmlns:r="http://schemas.openxmlformats.org/officeDocument/2006/relationships" r:embed="rId2"/>
        <a:stretch>
          <a:fillRect/>
        </a:stretch>
      </xdr:blipFill>
      <xdr:spPr>
        <a:xfrm>
          <a:off x="521804" y="8763000"/>
          <a:ext cx="1247140" cy="317500"/>
        </a:xfrm>
        <a:prstGeom prst="rect">
          <a:avLst/>
        </a:prstGeom>
      </xdr:spPr>
    </xdr:pic>
    <xdr:clientData/>
  </xdr:twoCellAnchor>
  <xdr:twoCellAnchor editAs="oneCell">
    <xdr:from>
      <xdr:col>3</xdr:col>
      <xdr:colOff>795131</xdr:colOff>
      <xdr:row>14</xdr:row>
      <xdr:rowOff>8283</xdr:rowOff>
    </xdr:from>
    <xdr:to>
      <xdr:col>5</xdr:col>
      <xdr:colOff>1130246</xdr:colOff>
      <xdr:row>15</xdr:row>
      <xdr:rowOff>115608</xdr:rowOff>
    </xdr:to>
    <xdr:pic>
      <xdr:nvPicPr>
        <xdr:cNvPr id="7" name="Imagen 6">
          <a:extLst>
            <a:ext uri="{FF2B5EF4-FFF2-40B4-BE49-F238E27FC236}">
              <a16:creationId xmlns:a16="http://schemas.microsoft.com/office/drawing/2014/main" xmlns=""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91979" y="8771283"/>
          <a:ext cx="1527810" cy="314391"/>
        </a:xfrm>
        <a:prstGeom prst="rect">
          <a:avLst/>
        </a:prstGeom>
        <a:noFill/>
        <a:ln>
          <a:noFill/>
        </a:ln>
      </xdr:spPr>
    </xdr:pic>
    <xdr:clientData/>
  </xdr:twoCellAnchor>
  <xdr:twoCellAnchor editAs="oneCell">
    <xdr:from>
      <xdr:col>12</xdr:col>
      <xdr:colOff>223630</xdr:colOff>
      <xdr:row>3</xdr:row>
      <xdr:rowOff>8282</xdr:rowOff>
    </xdr:from>
    <xdr:to>
      <xdr:col>24</xdr:col>
      <xdr:colOff>455957</xdr:colOff>
      <xdr:row>9</xdr:row>
      <xdr:rowOff>500968</xdr:rowOff>
    </xdr:to>
    <xdr:pic>
      <xdr:nvPicPr>
        <xdr:cNvPr id="8" name="Imagen 1">
          <a:extLst>
            <a:ext uri="{FF2B5EF4-FFF2-40B4-BE49-F238E27FC236}">
              <a16:creationId xmlns:a16="http://schemas.microsoft.com/office/drawing/2014/main" xmlns="" id="{F41C0E46-A487-4460-98FB-6E6455260EB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579087" y="2070652"/>
          <a:ext cx="9376327" cy="34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50730</xdr:colOff>
      <xdr:row>2</xdr:row>
      <xdr:rowOff>93180</xdr:rowOff>
    </xdr:from>
    <xdr:to>
      <xdr:col>1</xdr:col>
      <xdr:colOff>1894130</xdr:colOff>
      <xdr:row>2</xdr:row>
      <xdr:rowOff>588065</xdr:rowOff>
    </xdr:to>
    <xdr:pic>
      <xdr:nvPicPr>
        <xdr:cNvPr id="2" name="Imagen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440690" y="597535"/>
          <a:ext cx="1843405" cy="495300"/>
        </a:xfrm>
        <a:prstGeom prst="rect">
          <a:avLst/>
        </a:prstGeom>
      </xdr:spPr>
    </xdr:pic>
    <xdr:clientData/>
  </xdr:twoCellAnchor>
  <xdr:twoCellAnchor>
    <xdr:from>
      <xdr:col>1</xdr:col>
      <xdr:colOff>13384</xdr:colOff>
      <xdr:row>23</xdr:row>
      <xdr:rowOff>219074</xdr:rowOff>
    </xdr:from>
    <xdr:to>
      <xdr:col>2</xdr:col>
      <xdr:colOff>590551</xdr:colOff>
      <xdr:row>27</xdr:row>
      <xdr:rowOff>209549</xdr:rowOff>
    </xdr:to>
    <xdr:sp macro="" textlink="">
      <xdr:nvSpPr>
        <xdr:cNvPr id="3" name="Text Box 4">
          <a:extLst>
            <a:ext uri="{FF2B5EF4-FFF2-40B4-BE49-F238E27FC236}">
              <a16:creationId xmlns:a16="http://schemas.microsoft.com/office/drawing/2014/main" xmlns="" id="{00000000-0008-0000-0200-000003000000}"/>
            </a:ext>
          </a:extLst>
        </xdr:cNvPr>
        <xdr:cNvSpPr txBox="1">
          <a:spLocks noChangeArrowheads="1"/>
        </xdr:cNvSpPr>
      </xdr:nvSpPr>
      <xdr:spPr>
        <a:xfrm>
          <a:off x="403909" y="8105774"/>
          <a:ext cx="3158442" cy="1190625"/>
        </a:xfrm>
        <a:prstGeom prst="rect">
          <a:avLst/>
        </a:prstGeom>
        <a:solidFill>
          <a:srgbClr val="FFFFFF"/>
        </a:solidFill>
        <a:ln w="9525">
          <a:solidFill>
            <a:schemeClr val="bg1"/>
          </a:solidFill>
          <a:miter lim="800000"/>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Proyecto: CLAUDIA LORENA BENAVIDES ERASO</a:t>
          </a: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Lider Grupo Evidencia Traza CTI</a:t>
          </a: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xdr:txBody>
    </xdr:sp>
    <xdr:clientData/>
  </xdr:twoCellAnchor>
  <xdr:twoCellAnchor>
    <xdr:from>
      <xdr:col>4</xdr:col>
      <xdr:colOff>378101</xdr:colOff>
      <xdr:row>24</xdr:row>
      <xdr:rowOff>38100</xdr:rowOff>
    </xdr:from>
    <xdr:to>
      <xdr:col>10</xdr:col>
      <xdr:colOff>209550</xdr:colOff>
      <xdr:row>27</xdr:row>
      <xdr:rowOff>195059</xdr:rowOff>
    </xdr:to>
    <xdr:sp macro="" textlink="">
      <xdr:nvSpPr>
        <xdr:cNvPr id="4" name="Text Box 4">
          <a:extLst>
            <a:ext uri="{FF2B5EF4-FFF2-40B4-BE49-F238E27FC236}">
              <a16:creationId xmlns:a16="http://schemas.microsoft.com/office/drawing/2014/main" xmlns="" id="{00000000-0008-0000-0200-000004000000}"/>
            </a:ext>
          </a:extLst>
        </xdr:cNvPr>
        <xdr:cNvSpPr txBox="1">
          <a:spLocks noChangeArrowheads="1"/>
        </xdr:cNvSpPr>
      </xdr:nvSpPr>
      <xdr:spPr>
        <a:xfrm>
          <a:off x="4807226" y="8143875"/>
          <a:ext cx="3546199" cy="1138034"/>
        </a:xfrm>
        <a:prstGeom prst="rect">
          <a:avLst/>
        </a:prstGeom>
        <a:solidFill>
          <a:srgbClr val="FFFFFF"/>
        </a:solidFill>
        <a:ln w="9525">
          <a:solidFill>
            <a:schemeClr val="bg1"/>
          </a:solidFill>
          <a:miter lim="800000"/>
        </a:ln>
      </xdr:spPr>
      <xdr:txBody>
        <a:bodyPr vertOverflow="clip" wrap="square" lIns="18288" tIns="18288" rIns="18288" bIns="0" anchor="ctr" upright="1"/>
        <a:lstStyle/>
        <a:p>
          <a:pPr marL="0" marR="0" indent="0" algn="l" defTabSz="914400" rtl="0" eaLnBrk="1" fontAlgn="auto" latinLnBrk="0" hangingPunct="1">
            <a:lnSpc>
              <a:spcPts val="8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Reviso y aprobó:	MIGUEL EDUARDO GONZALEZ REBELLON</a:t>
          </a:r>
        </a:p>
        <a:p>
          <a:pPr marL="0" marR="0" indent="0" algn="l" defTabSz="914400" rtl="0" eaLnBrk="1" fontAlgn="auto" latinLnBrk="0" hangingPunct="1">
            <a:lnSpc>
              <a:spcPts val="8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Jefe Grupo Apoyo Contractual CTI				</a:t>
          </a:r>
        </a:p>
      </xdr:txBody>
    </xdr:sp>
    <xdr:clientData/>
  </xdr:twoCellAnchor>
  <xdr:twoCellAnchor editAs="oneCell">
    <xdr:from>
      <xdr:col>1</xdr:col>
      <xdr:colOff>778291</xdr:colOff>
      <xdr:row>23</xdr:row>
      <xdr:rowOff>173355</xdr:rowOff>
    </xdr:from>
    <xdr:to>
      <xdr:col>1</xdr:col>
      <xdr:colOff>2025431</xdr:colOff>
      <xdr:row>24</xdr:row>
      <xdr:rowOff>274081</xdr:rowOff>
    </xdr:to>
    <xdr:pic>
      <xdr:nvPicPr>
        <xdr:cNvPr id="5" name="Imagen 4">
          <a:extLst>
            <a:ext uri="{FF2B5EF4-FFF2-40B4-BE49-F238E27FC236}">
              <a16:creationId xmlns:a16="http://schemas.microsoft.com/office/drawing/2014/main" xmlns="" id="{00000000-0008-0000-0200-000005000000}"/>
            </a:ext>
          </a:extLst>
        </xdr:cNvPr>
        <xdr:cNvPicPr/>
      </xdr:nvPicPr>
      <xdr:blipFill>
        <a:blip xmlns:r="http://schemas.openxmlformats.org/officeDocument/2006/relationships" r:embed="rId2"/>
        <a:stretch>
          <a:fillRect/>
        </a:stretch>
      </xdr:blipFill>
      <xdr:spPr>
        <a:xfrm>
          <a:off x="1165860" y="11623062"/>
          <a:ext cx="1247140" cy="317500"/>
        </a:xfrm>
        <a:prstGeom prst="rect">
          <a:avLst/>
        </a:prstGeom>
      </xdr:spPr>
    </xdr:pic>
    <xdr:clientData/>
  </xdr:twoCellAnchor>
  <xdr:twoCellAnchor editAs="oneCell">
    <xdr:from>
      <xdr:col>6</xdr:col>
      <xdr:colOff>198820</xdr:colOff>
      <xdr:row>24</xdr:row>
      <xdr:rowOff>124810</xdr:rowOff>
    </xdr:from>
    <xdr:to>
      <xdr:col>8</xdr:col>
      <xdr:colOff>334010</xdr:colOff>
      <xdr:row>24</xdr:row>
      <xdr:rowOff>439201</xdr:rowOff>
    </xdr:to>
    <xdr:pic>
      <xdr:nvPicPr>
        <xdr:cNvPr id="6" name="Imagen 5">
          <a:extLst>
            <a:ext uri="{FF2B5EF4-FFF2-40B4-BE49-F238E27FC236}">
              <a16:creationId xmlns:a16="http://schemas.microsoft.com/office/drawing/2014/main" xmlns="" id="{00000000-0008-0000-02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43079" y="11791293"/>
          <a:ext cx="1527810" cy="314391"/>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50730</xdr:colOff>
      <xdr:row>2</xdr:row>
      <xdr:rowOff>93180</xdr:rowOff>
    </xdr:from>
    <xdr:to>
      <xdr:col>1</xdr:col>
      <xdr:colOff>1894130</xdr:colOff>
      <xdr:row>2</xdr:row>
      <xdr:rowOff>588065</xdr:rowOff>
    </xdr:to>
    <xdr:pic>
      <xdr:nvPicPr>
        <xdr:cNvPr id="2" name="Imagen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441255" y="588480"/>
          <a:ext cx="1843400" cy="494885"/>
        </a:xfrm>
        <a:prstGeom prst="rect">
          <a:avLst/>
        </a:prstGeom>
      </xdr:spPr>
    </xdr:pic>
    <xdr:clientData/>
  </xdr:twoCellAnchor>
  <xdr:twoCellAnchor>
    <xdr:from>
      <xdr:col>1</xdr:col>
      <xdr:colOff>13383</xdr:colOff>
      <xdr:row>24</xdr:row>
      <xdr:rowOff>0</xdr:rowOff>
    </xdr:from>
    <xdr:to>
      <xdr:col>12</xdr:col>
      <xdr:colOff>33130</xdr:colOff>
      <xdr:row>27</xdr:row>
      <xdr:rowOff>81737</xdr:rowOff>
    </xdr:to>
    <xdr:sp macro="" textlink="">
      <xdr:nvSpPr>
        <xdr:cNvPr id="3" name="Text Box 4">
          <a:extLst>
            <a:ext uri="{FF2B5EF4-FFF2-40B4-BE49-F238E27FC236}">
              <a16:creationId xmlns:a16="http://schemas.microsoft.com/office/drawing/2014/main" xmlns="" id="{00000000-0008-0000-0300-000003000000}"/>
            </a:ext>
          </a:extLst>
        </xdr:cNvPr>
        <xdr:cNvSpPr txBox="1">
          <a:spLocks noChangeArrowheads="1"/>
        </xdr:cNvSpPr>
      </xdr:nvSpPr>
      <xdr:spPr>
        <a:xfrm>
          <a:off x="403908" y="11401425"/>
          <a:ext cx="9763822" cy="710387"/>
        </a:xfrm>
        <a:prstGeom prst="rect">
          <a:avLst/>
        </a:prstGeom>
        <a:solidFill>
          <a:srgbClr val="FFFFFF"/>
        </a:solidFill>
        <a:ln w="9525">
          <a:solidFill>
            <a:schemeClr val="bg1"/>
          </a:solidFill>
          <a:miter lim="800000"/>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Proyecto:</a:t>
          </a:r>
        </a:p>
        <a:p>
          <a:pPr marL="0" marR="0" indent="0" algn="l" defTabSz="914400" rtl="0" eaLnBrk="1" fontAlgn="auto" latinLnBrk="0" hangingPunct="1">
            <a:lnSpc>
              <a:spcPct val="100000"/>
            </a:lnSpc>
            <a:spcBef>
              <a:spcPts val="0"/>
            </a:spcBef>
            <a:spcAft>
              <a:spcPts val="0"/>
            </a:spcAft>
            <a:buClrTx/>
            <a:buSzTx/>
            <a:buFontTx/>
            <a:buNone/>
            <a:defRPr sz="1000"/>
          </a:pPr>
          <a:endPar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a:p>
          <a:pPr rtl="0" eaLnBrk="1" fontAlgn="auto" latinLnBrk="0" hangingPunct="1"/>
          <a:r>
            <a:rPr lang="es-CO" sz="1100" b="1" i="0" baseline="0">
              <a:effectLst/>
              <a:latin typeface="+mn-lt"/>
              <a:ea typeface="+mn-ea"/>
              <a:cs typeface="+mn-cs"/>
            </a:rPr>
            <a:t>CLAUDIA LORENA BENAVIDES ERASO</a:t>
          </a:r>
          <a:endParaRPr lang="es-CO" sz="800">
            <a:effectLst/>
          </a:endParaRPr>
        </a:p>
        <a:p>
          <a:pPr rtl="0" eaLnBrk="1" fontAlgn="auto" latinLnBrk="0" hangingPunct="1"/>
          <a:r>
            <a:rPr lang="es-CO" sz="1100" b="1" i="0" baseline="0">
              <a:effectLst/>
              <a:latin typeface="+mn-lt"/>
              <a:ea typeface="+mn-ea"/>
              <a:cs typeface="+mn-cs"/>
            </a:rPr>
            <a:t>Lider Grupo Evidencia Traza CTI</a:t>
          </a:r>
          <a:endParaRPr lang="es-CO" sz="800">
            <a:effectLst/>
          </a:endParaRPr>
        </a:p>
        <a:p>
          <a:pPr marL="0" marR="0" indent="0" algn="l" defTabSz="914400" rtl="0" eaLnBrk="1" fontAlgn="auto" latinLnBrk="0" hangingPunct="1">
            <a:lnSpc>
              <a:spcPct val="1000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xdr:txBody>
    </xdr:sp>
    <xdr:clientData/>
  </xdr:twoCellAnchor>
  <xdr:twoCellAnchor>
    <xdr:from>
      <xdr:col>3</xdr:col>
      <xdr:colOff>273326</xdr:colOff>
      <xdr:row>24</xdr:row>
      <xdr:rowOff>174625</xdr:rowOff>
    </xdr:from>
    <xdr:to>
      <xdr:col>12</xdr:col>
      <xdr:colOff>444500</xdr:colOff>
      <xdr:row>26</xdr:row>
      <xdr:rowOff>95250</xdr:rowOff>
    </xdr:to>
    <xdr:sp macro="" textlink="">
      <xdr:nvSpPr>
        <xdr:cNvPr id="4" name="Text Box 4">
          <a:extLst>
            <a:ext uri="{FF2B5EF4-FFF2-40B4-BE49-F238E27FC236}">
              <a16:creationId xmlns:a16="http://schemas.microsoft.com/office/drawing/2014/main" xmlns="" id="{00000000-0008-0000-0300-000004000000}"/>
            </a:ext>
          </a:extLst>
        </xdr:cNvPr>
        <xdr:cNvSpPr txBox="1">
          <a:spLocks noChangeArrowheads="1"/>
        </xdr:cNvSpPr>
      </xdr:nvSpPr>
      <xdr:spPr>
        <a:xfrm>
          <a:off x="4305576" y="14176375"/>
          <a:ext cx="6156049" cy="571500"/>
        </a:xfrm>
        <a:prstGeom prst="rect">
          <a:avLst/>
        </a:prstGeom>
        <a:solidFill>
          <a:srgbClr val="FFFFFF"/>
        </a:solidFill>
        <a:ln w="9525">
          <a:solidFill>
            <a:schemeClr val="bg1"/>
          </a:solidFill>
          <a:miter lim="800000"/>
        </a:ln>
      </xdr:spPr>
      <xdr:txBody>
        <a:bodyPr vertOverflow="clip" wrap="square" lIns="18288" tIns="18288" rIns="18288" bIns="0" anchor="ctr" upright="1"/>
        <a:lstStyle/>
        <a:p>
          <a:pPr rtl="0" eaLnBrk="1" fontAlgn="auto" latinLnBrk="0" hangingPunct="1"/>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Reviso y aprobó:	</a:t>
          </a:r>
          <a:r>
            <a:rPr lang="es-CO" sz="1100" b="1" i="0" baseline="0">
              <a:effectLst/>
              <a:latin typeface="+mn-lt"/>
              <a:ea typeface="+mn-ea"/>
              <a:cs typeface="+mn-cs"/>
            </a:rPr>
            <a:t>MIGUEL EDUARDO GONZALEZ REBELLON</a:t>
          </a:r>
          <a:endParaRPr lang="es-CO" sz="800">
            <a:effectLst/>
          </a:endParaRPr>
        </a:p>
        <a:p>
          <a:r>
            <a:rPr lang="es-CO" sz="1100" b="1" i="0" baseline="0">
              <a:effectLst/>
              <a:latin typeface="+mn-lt"/>
              <a:ea typeface="+mn-ea"/>
              <a:cs typeface="+mn-cs"/>
            </a:rPr>
            <a:t>	Jefe Grupo Apoyo Contractual CTI	</a:t>
          </a:r>
          <a:endPar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endParaRPr>
        </a:p>
        <a:p>
          <a:pPr marL="0" marR="0" indent="0" algn="l" defTabSz="914400" rtl="0" eaLnBrk="1" fontAlgn="auto" latinLnBrk="0" hangingPunct="1">
            <a:lnSpc>
              <a:spcPts val="800"/>
            </a:lnSpc>
            <a:spcBef>
              <a:spcPts val="0"/>
            </a:spcBef>
            <a:spcAft>
              <a:spcPts val="0"/>
            </a:spcAft>
            <a:buClrTx/>
            <a:buSzTx/>
            <a:buFontTx/>
            <a:buNone/>
            <a:defRPr sz="1000"/>
          </a:pPr>
          <a:r>
            <a:rPr lang="es-CO" sz="800" b="1" i="0" u="none" strike="noStrike" baseline="0">
              <a:solidFill>
                <a:sysClr val="windowText" lastClr="000000"/>
              </a:solidFill>
              <a:effectLst/>
              <a:latin typeface="Arial" panose="020B0604020202020204" pitchFamily="7" charset="0"/>
              <a:ea typeface="+mn-ea"/>
              <a:cs typeface="Arial" panose="020B0604020202020204" pitchFamily="7" charset="0"/>
            </a:rPr>
            <a:t>					</a:t>
          </a:r>
        </a:p>
      </xdr:txBody>
    </xdr:sp>
    <xdr:clientData/>
  </xdr:twoCellAnchor>
  <xdr:twoCellAnchor editAs="oneCell">
    <xdr:from>
      <xdr:col>1</xdr:col>
      <xdr:colOff>574701</xdr:colOff>
      <xdr:row>24</xdr:row>
      <xdr:rowOff>50253</xdr:rowOff>
    </xdr:from>
    <xdr:to>
      <xdr:col>1</xdr:col>
      <xdr:colOff>1821841</xdr:colOff>
      <xdr:row>24</xdr:row>
      <xdr:rowOff>367753</xdr:rowOff>
    </xdr:to>
    <xdr:pic>
      <xdr:nvPicPr>
        <xdr:cNvPr id="5" name="Imagen 4">
          <a:extLst>
            <a:ext uri="{FF2B5EF4-FFF2-40B4-BE49-F238E27FC236}">
              <a16:creationId xmlns:a16="http://schemas.microsoft.com/office/drawing/2014/main" xmlns="" id="{00000000-0008-0000-0300-000005000000}"/>
            </a:ext>
          </a:extLst>
        </xdr:cNvPr>
        <xdr:cNvPicPr/>
      </xdr:nvPicPr>
      <xdr:blipFill>
        <a:blip xmlns:r="http://schemas.openxmlformats.org/officeDocument/2006/relationships" r:embed="rId2"/>
        <a:stretch>
          <a:fillRect/>
        </a:stretch>
      </xdr:blipFill>
      <xdr:spPr>
        <a:xfrm>
          <a:off x="962270" y="9700063"/>
          <a:ext cx="1247140" cy="317500"/>
        </a:xfrm>
        <a:prstGeom prst="rect">
          <a:avLst/>
        </a:prstGeom>
      </xdr:spPr>
    </xdr:pic>
    <xdr:clientData/>
  </xdr:twoCellAnchor>
  <xdr:twoCellAnchor editAs="oneCell">
    <xdr:from>
      <xdr:col>4</xdr:col>
      <xdr:colOff>656734</xdr:colOff>
      <xdr:row>23</xdr:row>
      <xdr:rowOff>193128</xdr:rowOff>
    </xdr:from>
    <xdr:to>
      <xdr:col>9</xdr:col>
      <xdr:colOff>1192083</xdr:colOff>
      <xdr:row>24</xdr:row>
      <xdr:rowOff>192209</xdr:rowOff>
    </xdr:to>
    <xdr:pic>
      <xdr:nvPicPr>
        <xdr:cNvPr id="6" name="Imagen 5">
          <a:extLst>
            <a:ext uri="{FF2B5EF4-FFF2-40B4-BE49-F238E27FC236}">
              <a16:creationId xmlns:a16="http://schemas.microsoft.com/office/drawing/2014/main" xmlns="" id="{00000000-0008-0000-03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435109" y="13877378"/>
          <a:ext cx="1535474" cy="31658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www.dane.gov.co/index.php/estadisticas-por-tema/precios-y-costos/indice-de-precios-al-consumidor-ipc"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3"/>
  <sheetViews>
    <sheetView showGridLines="0" zoomScale="90" zoomScaleNormal="90" workbookViewId="0">
      <selection activeCell="Q4" sqref="Q4"/>
    </sheetView>
  </sheetViews>
  <sheetFormatPr baseColWidth="10" defaultColWidth="11.42578125" defaultRowHeight="16.5" outlineLevelCol="1"/>
  <cols>
    <col min="1" max="1" width="7.140625" style="20" customWidth="1"/>
    <col min="2" max="2" width="35.7109375" style="20" customWidth="1"/>
    <col min="3" max="3" width="15.28515625" style="20" customWidth="1"/>
    <col min="4" max="5" width="12.140625" style="20" customWidth="1"/>
    <col min="6" max="6" width="3.28515625" style="21" customWidth="1"/>
    <col min="7" max="7" width="18.42578125" style="23" customWidth="1"/>
    <col min="8" max="8" width="3.28515625" style="23" customWidth="1"/>
    <col min="9" max="9" width="19.28515625" style="23" customWidth="1"/>
    <col min="10" max="10" width="2" style="22" customWidth="1"/>
    <col min="11" max="11" width="16.42578125" style="22" customWidth="1" outlineLevel="1"/>
    <col min="12" max="12" width="13.5703125" style="22" customWidth="1" outlineLevel="1"/>
    <col min="13" max="13" width="16" style="22" customWidth="1" outlineLevel="1"/>
    <col min="14" max="14" width="15.7109375" style="22" customWidth="1" outlineLevel="1"/>
    <col min="15" max="15" width="17.5703125" style="22" customWidth="1" outlineLevel="1"/>
    <col min="16" max="16" width="1.7109375" style="22" customWidth="1" outlineLevel="1"/>
    <col min="17" max="17" width="16.7109375" style="22" customWidth="1"/>
    <col min="18" max="18" width="14" style="22" customWidth="1"/>
    <col min="19" max="19" width="15.5703125" style="22" customWidth="1"/>
    <col min="20" max="20" width="15.42578125" style="22" customWidth="1"/>
    <col min="21" max="16384" width="11.42578125" style="20"/>
  </cols>
  <sheetData>
    <row r="1" spans="1:22" ht="17.25" thickBot="1">
      <c r="A1" s="189" t="s">
        <v>0</v>
      </c>
      <c r="B1" s="190"/>
      <c r="C1" s="190"/>
      <c r="D1" s="190"/>
      <c r="E1" s="190"/>
      <c r="F1" s="190"/>
      <c r="G1" s="190"/>
      <c r="H1" s="190"/>
      <c r="I1" s="190"/>
      <c r="J1" s="190"/>
      <c r="K1" s="190"/>
      <c r="L1" s="190"/>
      <c r="M1" s="190"/>
      <c r="N1" s="190"/>
      <c r="O1" s="190"/>
      <c r="P1" s="190"/>
      <c r="Q1" s="190"/>
      <c r="R1" s="190"/>
      <c r="S1" s="190"/>
      <c r="T1" s="191"/>
    </row>
    <row r="2" spans="1:22" ht="27" customHeight="1" thickBot="1">
      <c r="A2" s="202"/>
      <c r="B2" s="203"/>
      <c r="C2" s="192" t="s">
        <v>1</v>
      </c>
      <c r="D2" s="193"/>
      <c r="E2" s="193"/>
      <c r="F2" s="193"/>
      <c r="G2" s="193"/>
      <c r="H2" s="193"/>
      <c r="I2" s="193"/>
      <c r="J2" s="193"/>
      <c r="K2" s="193"/>
      <c r="L2" s="193"/>
      <c r="M2" s="193"/>
      <c r="N2" s="193"/>
      <c r="O2" s="193"/>
      <c r="P2" s="193"/>
      <c r="Q2" s="193"/>
      <c r="R2" s="193"/>
      <c r="S2" s="193"/>
      <c r="T2" s="194"/>
    </row>
    <row r="3" spans="1:22" ht="108" customHeight="1" thickBot="1">
      <c r="A3" s="204"/>
      <c r="B3" s="205"/>
      <c r="C3" s="195" t="s">
        <v>67</v>
      </c>
      <c r="D3" s="196"/>
      <c r="E3" s="196"/>
      <c r="F3" s="196"/>
      <c r="G3" s="196"/>
      <c r="H3" s="196"/>
      <c r="I3" s="196"/>
      <c r="J3" s="196"/>
      <c r="K3" s="196"/>
      <c r="L3" s="196"/>
      <c r="M3" s="196"/>
      <c r="N3" s="196"/>
      <c r="O3" s="196"/>
      <c r="P3" s="196"/>
      <c r="Q3" s="197"/>
      <c r="R3" s="197"/>
      <c r="S3" s="197"/>
      <c r="T3" s="198"/>
    </row>
    <row r="4" spans="1:22" ht="60.75" customHeight="1" thickBot="1">
      <c r="A4" s="86"/>
      <c r="B4" s="86"/>
      <c r="C4" s="87"/>
      <c r="D4" s="87"/>
      <c r="E4" s="87"/>
      <c r="F4" s="87"/>
      <c r="G4" s="91" t="s">
        <v>82</v>
      </c>
      <c r="H4" s="87"/>
      <c r="I4" s="76" t="s">
        <v>96</v>
      </c>
      <c r="J4" s="87"/>
      <c r="K4" s="76"/>
      <c r="L4" s="76"/>
      <c r="M4" s="76"/>
      <c r="N4" s="76"/>
      <c r="O4" s="76"/>
      <c r="P4" s="76"/>
      <c r="Q4" s="77"/>
      <c r="R4" s="77"/>
      <c r="S4" s="77"/>
      <c r="T4" s="78"/>
    </row>
    <row r="5" spans="1:22" ht="31.5" customHeight="1" thickBot="1">
      <c r="A5" s="25"/>
      <c r="B5" s="25"/>
      <c r="C5" s="25"/>
      <c r="D5" s="37"/>
      <c r="E5" s="37"/>
      <c r="F5" s="37"/>
      <c r="G5" s="39" t="s">
        <v>2</v>
      </c>
      <c r="H5" s="26"/>
      <c r="I5" s="39" t="s">
        <v>3</v>
      </c>
      <c r="J5" s="27"/>
      <c r="K5" s="186" t="s">
        <v>4</v>
      </c>
      <c r="L5" s="187" t="s">
        <v>5</v>
      </c>
      <c r="M5" s="186" t="s">
        <v>6</v>
      </c>
      <c r="N5" s="186" t="s">
        <v>7</v>
      </c>
      <c r="O5" s="187" t="s">
        <v>104</v>
      </c>
      <c r="P5" s="46"/>
      <c r="Q5" s="188" t="s">
        <v>1</v>
      </c>
      <c r="R5" s="188"/>
      <c r="S5" s="188"/>
      <c r="T5" s="188"/>
    </row>
    <row r="6" spans="1:22" ht="31.5" customHeight="1" thickBot="1">
      <c r="A6" s="25"/>
      <c r="B6" s="25"/>
      <c r="C6" s="25"/>
      <c r="D6" s="37"/>
      <c r="E6" s="37"/>
      <c r="F6" s="37"/>
      <c r="G6" s="39" t="s">
        <v>68</v>
      </c>
      <c r="H6" s="26"/>
      <c r="I6" s="39" t="s">
        <v>69</v>
      </c>
      <c r="J6" s="27"/>
      <c r="K6" s="186"/>
      <c r="L6" s="187"/>
      <c r="M6" s="186"/>
      <c r="N6" s="186"/>
      <c r="O6" s="187"/>
      <c r="P6" s="46"/>
      <c r="Q6" s="188"/>
      <c r="R6" s="188"/>
      <c r="S6" s="188"/>
      <c r="T6" s="188"/>
    </row>
    <row r="7" spans="1:22" ht="46.5" customHeight="1" thickBot="1">
      <c r="A7" s="107" t="s">
        <v>75</v>
      </c>
      <c r="B7" s="108" t="s">
        <v>9</v>
      </c>
      <c r="C7" s="108" t="s">
        <v>10</v>
      </c>
      <c r="D7" s="109" t="s">
        <v>78</v>
      </c>
      <c r="E7" s="110" t="s">
        <v>83</v>
      </c>
      <c r="F7" s="28"/>
      <c r="G7" s="39" t="s">
        <v>12</v>
      </c>
      <c r="H7" s="29"/>
      <c r="I7" s="39" t="s">
        <v>80</v>
      </c>
      <c r="J7" s="27"/>
      <c r="K7" s="81" t="s">
        <v>12</v>
      </c>
      <c r="L7" s="162" t="s">
        <v>12</v>
      </c>
      <c r="M7" s="81" t="s">
        <v>12</v>
      </c>
      <c r="N7" s="62" t="s">
        <v>13</v>
      </c>
      <c r="O7" s="162" t="s">
        <v>12</v>
      </c>
      <c r="P7" s="46"/>
      <c r="Q7" s="39" t="s">
        <v>84</v>
      </c>
      <c r="R7" s="82" t="s">
        <v>85</v>
      </c>
      <c r="S7" s="82" t="s">
        <v>86</v>
      </c>
      <c r="T7" s="39" t="s">
        <v>81</v>
      </c>
    </row>
    <row r="8" spans="1:22" ht="46.5" customHeight="1" thickBot="1">
      <c r="A8" s="83"/>
      <c r="B8" s="82" t="s">
        <v>91</v>
      </c>
      <c r="C8" s="84"/>
      <c r="D8" s="84"/>
      <c r="E8" s="115"/>
      <c r="F8" s="28"/>
      <c r="G8" s="82"/>
      <c r="H8" s="29"/>
      <c r="I8" s="82"/>
      <c r="J8" s="27"/>
      <c r="K8" s="116"/>
      <c r="L8" s="163"/>
      <c r="M8" s="117"/>
      <c r="N8" s="117"/>
      <c r="O8" s="165"/>
      <c r="P8" s="46"/>
      <c r="Q8" s="83"/>
      <c r="R8" s="84"/>
      <c r="S8" s="84"/>
      <c r="T8" s="85"/>
    </row>
    <row r="9" spans="1:22" ht="47.25" customHeight="1" thickBot="1">
      <c r="A9" s="111">
        <v>1</v>
      </c>
      <c r="B9" s="112" t="s">
        <v>70</v>
      </c>
      <c r="C9" s="113" t="s">
        <v>14</v>
      </c>
      <c r="D9" s="114">
        <v>1</v>
      </c>
      <c r="E9" s="114">
        <v>2</v>
      </c>
      <c r="F9" s="25"/>
      <c r="G9" s="171">
        <f>ROUND(24149859,2)</f>
        <v>24149859</v>
      </c>
      <c r="H9" s="172"/>
      <c r="I9" s="173">
        <f>ROUND(24250000,2)</f>
        <v>24250000</v>
      </c>
      <c r="J9" s="27"/>
      <c r="K9" s="178">
        <f>ROUND(MIN(G9,I9),2)</f>
        <v>24149859</v>
      </c>
      <c r="L9" s="179">
        <f>ROUND(AVERAGE(G9,I9),2)</f>
        <v>24199929.5</v>
      </c>
      <c r="M9" s="178">
        <f>ROUND(+MAX(G9,I9),2)</f>
        <v>24250000</v>
      </c>
      <c r="N9" s="47">
        <f>+(M9/K9)-1</f>
        <v>4.1466494690507449E-3</v>
      </c>
      <c r="O9" s="179">
        <f>+ROUND(AVERAGE(K9,L9),2)</f>
        <v>24174894.25</v>
      </c>
      <c r="P9" s="46"/>
      <c r="Q9" s="49">
        <f>ROUND(+O9,2)</f>
        <v>24174894.25</v>
      </c>
      <c r="R9" s="49">
        <f>ROUND(Q9*19%,2)</f>
        <v>4593229.91</v>
      </c>
      <c r="S9" s="49">
        <f>ROUND(Q9+R9,2)</f>
        <v>28768124.16</v>
      </c>
      <c r="T9" s="49">
        <f>ROUND(S9*D9*E9,2)</f>
        <v>57536248.32</v>
      </c>
      <c r="V9" s="24"/>
    </row>
    <row r="10" spans="1:22" ht="32.25" customHeight="1" thickBot="1">
      <c r="A10" s="152"/>
      <c r="B10" s="129"/>
      <c r="C10" s="127"/>
      <c r="D10" s="153"/>
      <c r="E10" s="154"/>
      <c r="F10" s="25"/>
      <c r="G10" s="88"/>
      <c r="H10" s="30"/>
      <c r="I10" s="94"/>
      <c r="J10" s="27"/>
      <c r="K10" s="155"/>
      <c r="L10" s="164"/>
      <c r="M10" s="156"/>
      <c r="N10" s="157"/>
      <c r="O10" s="166"/>
      <c r="P10" s="46"/>
      <c r="Q10" s="131"/>
      <c r="R10" s="132"/>
      <c r="S10" s="158" t="s">
        <v>97</v>
      </c>
      <c r="T10" s="159">
        <f>ROUND(SUM(T9),2)</f>
        <v>57536248.32</v>
      </c>
      <c r="V10" s="24"/>
    </row>
    <row r="11" spans="1:22" ht="46.5" customHeight="1" thickBot="1">
      <c r="A11" s="83"/>
      <c r="B11" s="82" t="s">
        <v>92</v>
      </c>
      <c r="C11" s="84"/>
      <c r="D11" s="84"/>
      <c r="E11" s="115"/>
      <c r="F11" s="28"/>
      <c r="G11" s="82"/>
      <c r="H11" s="29"/>
      <c r="I11" s="82"/>
      <c r="J11" s="27"/>
      <c r="K11" s="116"/>
      <c r="L11" s="163"/>
      <c r="M11" s="117"/>
      <c r="N11" s="117"/>
      <c r="O11" s="165"/>
      <c r="P11" s="46"/>
      <c r="Q11" s="83"/>
      <c r="R11" s="84"/>
      <c r="S11" s="84"/>
      <c r="T11" s="85"/>
    </row>
    <row r="12" spans="1:22" ht="52.5" customHeight="1" thickBot="1">
      <c r="A12" s="72">
        <v>2</v>
      </c>
      <c r="B12" s="66" t="s">
        <v>71</v>
      </c>
      <c r="C12" s="67" t="s">
        <v>14</v>
      </c>
      <c r="D12" s="89">
        <v>1</v>
      </c>
      <c r="E12" s="89">
        <v>2</v>
      </c>
      <c r="F12" s="25"/>
      <c r="G12" s="171">
        <f>ROUND(24149859,2)</f>
        <v>24149859</v>
      </c>
      <c r="H12" s="172"/>
      <c r="I12" s="173">
        <f>ROUND(24250000,2)</f>
        <v>24250000</v>
      </c>
      <c r="J12" s="27"/>
      <c r="K12" s="178">
        <f>ROUND(MIN(G12,I12),2)</f>
        <v>24149859</v>
      </c>
      <c r="L12" s="179">
        <f>ROUND(AVERAGE(G12,I12),2)</f>
        <v>24199929.5</v>
      </c>
      <c r="M12" s="178">
        <f>ROUND(+MAX(G12,I12),2)</f>
        <v>24250000</v>
      </c>
      <c r="N12" s="47">
        <f>+(M12/K12)-1</f>
        <v>4.1466494690507449E-3</v>
      </c>
      <c r="O12" s="179">
        <f>+ROUND(AVERAGE(K12,L12),2)</f>
        <v>24174894.25</v>
      </c>
      <c r="P12" s="46"/>
      <c r="Q12" s="49">
        <f>ROUND(O12,2)</f>
        <v>24174894.25</v>
      </c>
      <c r="R12" s="49">
        <f t="shared" ref="R12:R19" si="0">ROUND(Q12*19%,2)</f>
        <v>4593229.91</v>
      </c>
      <c r="S12" s="49">
        <f t="shared" ref="S12:S19" si="1">ROUND(Q12+R12,2)</f>
        <v>28768124.16</v>
      </c>
      <c r="T12" s="49">
        <f t="shared" ref="T12:T19" si="2">ROUND(S12*D12*E12,2)</f>
        <v>57536248.32</v>
      </c>
      <c r="V12" s="24" t="s">
        <v>15</v>
      </c>
    </row>
    <row r="13" spans="1:22" ht="32.25" customHeight="1" thickBot="1">
      <c r="A13" s="152"/>
      <c r="B13" s="129"/>
      <c r="C13" s="127"/>
      <c r="D13" s="153"/>
      <c r="E13" s="154"/>
      <c r="F13" s="25"/>
      <c r="G13" s="88"/>
      <c r="H13" s="30"/>
      <c r="I13" s="94"/>
      <c r="J13" s="27"/>
      <c r="K13" s="155"/>
      <c r="L13" s="164"/>
      <c r="M13" s="156"/>
      <c r="N13" s="157"/>
      <c r="O13" s="166"/>
      <c r="P13" s="46"/>
      <c r="Q13" s="131"/>
      <c r="R13" s="132"/>
      <c r="S13" s="158" t="s">
        <v>98</v>
      </c>
      <c r="T13" s="159">
        <f>ROUND(SUM(T12),2)</f>
        <v>57536248.32</v>
      </c>
      <c r="V13" s="24"/>
    </row>
    <row r="14" spans="1:22" ht="46.5" customHeight="1" thickBot="1">
      <c r="A14" s="83"/>
      <c r="B14" s="82" t="s">
        <v>93</v>
      </c>
      <c r="C14" s="84"/>
      <c r="D14" s="84"/>
      <c r="E14" s="115"/>
      <c r="F14" s="28"/>
      <c r="G14" s="82"/>
      <c r="H14" s="29"/>
      <c r="I14" s="82"/>
      <c r="J14" s="27"/>
      <c r="K14" s="116"/>
      <c r="L14" s="163"/>
      <c r="M14" s="117"/>
      <c r="N14" s="117"/>
      <c r="O14" s="165"/>
      <c r="P14" s="46"/>
      <c r="Q14" s="83"/>
      <c r="R14" s="84"/>
      <c r="S14" s="84"/>
      <c r="T14" s="85"/>
    </row>
    <row r="15" spans="1:22" ht="40.5" customHeight="1" thickBot="1">
      <c r="A15" s="72">
        <v>3</v>
      </c>
      <c r="B15" s="68" t="s">
        <v>72</v>
      </c>
      <c r="C15" s="67" t="s">
        <v>14</v>
      </c>
      <c r="D15" s="89">
        <v>1</v>
      </c>
      <c r="E15" s="89">
        <v>2</v>
      </c>
      <c r="F15" s="25"/>
      <c r="G15" s="171">
        <f>ROUND(24149859,2)</f>
        <v>24149859</v>
      </c>
      <c r="H15" s="172"/>
      <c r="I15" s="173">
        <f>ROUND(28500000,2)</f>
        <v>28500000</v>
      </c>
      <c r="J15" s="27"/>
      <c r="K15" s="178">
        <f>ROUND(MIN(G15,I15),2)</f>
        <v>24149859</v>
      </c>
      <c r="L15" s="179">
        <f>ROUND(AVERAGE(G15,I15),2)</f>
        <v>26324929.5</v>
      </c>
      <c r="M15" s="178">
        <f>ROUND(+MAX(G15,I15),2)</f>
        <v>28500000</v>
      </c>
      <c r="N15" s="47">
        <f>+(M15/K15)-1</f>
        <v>0.18013111380898739</v>
      </c>
      <c r="O15" s="179">
        <f>+ROUND(AVERAGE(K15,L15),2)</f>
        <v>25237394.25</v>
      </c>
      <c r="P15" s="46"/>
      <c r="Q15" s="49">
        <f>ROUND(O15,2)</f>
        <v>25237394.25</v>
      </c>
      <c r="R15" s="49">
        <f t="shared" si="0"/>
        <v>4795104.91</v>
      </c>
      <c r="S15" s="49">
        <f t="shared" si="1"/>
        <v>30032499.16</v>
      </c>
      <c r="T15" s="49">
        <f t="shared" si="2"/>
        <v>60064998.32</v>
      </c>
    </row>
    <row r="16" spans="1:22" ht="32.25" customHeight="1" thickBot="1">
      <c r="A16" s="152"/>
      <c r="B16" s="129"/>
      <c r="C16" s="127"/>
      <c r="D16" s="153"/>
      <c r="E16" s="154"/>
      <c r="F16" s="25"/>
      <c r="G16" s="88"/>
      <c r="H16" s="30"/>
      <c r="I16" s="94"/>
      <c r="J16" s="27"/>
      <c r="K16" s="155"/>
      <c r="L16" s="164"/>
      <c r="M16" s="156"/>
      <c r="N16" s="157"/>
      <c r="O16" s="166"/>
      <c r="P16" s="46"/>
      <c r="Q16" s="131"/>
      <c r="R16" s="132"/>
      <c r="S16" s="158" t="s">
        <v>99</v>
      </c>
      <c r="T16" s="159">
        <f>ROUND(SUM(T15),2)</f>
        <v>60064998.32</v>
      </c>
      <c r="V16" s="24"/>
    </row>
    <row r="17" spans="1:22" ht="46.5" customHeight="1" thickBot="1">
      <c r="A17" s="83"/>
      <c r="B17" s="82" t="s">
        <v>94</v>
      </c>
      <c r="C17" s="84"/>
      <c r="D17" s="84"/>
      <c r="E17" s="115"/>
      <c r="F17" s="28"/>
      <c r="G17" s="82"/>
      <c r="H17" s="29"/>
      <c r="I17" s="82"/>
      <c r="J17" s="27"/>
      <c r="K17" s="116"/>
      <c r="L17" s="163"/>
      <c r="M17" s="117"/>
      <c r="N17" s="117"/>
      <c r="O17" s="165"/>
      <c r="P17" s="46"/>
      <c r="Q17" s="83"/>
      <c r="R17" s="84"/>
      <c r="S17" s="84"/>
      <c r="T17" s="85"/>
    </row>
    <row r="18" spans="1:22" ht="65.25" customHeight="1" thickBot="1">
      <c r="A18" s="206">
        <v>4</v>
      </c>
      <c r="B18" s="65" t="s">
        <v>76</v>
      </c>
      <c r="C18" s="67" t="s">
        <v>14</v>
      </c>
      <c r="D18" s="89">
        <v>1</v>
      </c>
      <c r="E18" s="89">
        <v>2</v>
      </c>
      <c r="F18" s="25"/>
      <c r="G18" s="174">
        <f>ROUND(5509618,2)</f>
        <v>5509618</v>
      </c>
      <c r="H18" s="172"/>
      <c r="I18" s="175">
        <f>ROUND(5850000,2)</f>
        <v>5850000</v>
      </c>
      <c r="J18" s="27"/>
      <c r="K18" s="178">
        <f>ROUND(MIN(G18,I18),2)</f>
        <v>5509618</v>
      </c>
      <c r="L18" s="179">
        <f>ROUND(AVERAGE(G18,I18),2)</f>
        <v>5679809</v>
      </c>
      <c r="M18" s="178">
        <f>ROUND(+MAX(G18,I18),2)</f>
        <v>5850000</v>
      </c>
      <c r="N18" s="47">
        <f>+(M18/K18)-1</f>
        <v>6.1779600691009851E-2</v>
      </c>
      <c r="O18" s="179">
        <f>+ROUND(AVERAGE(K18,L18),2)</f>
        <v>5594713.5</v>
      </c>
      <c r="P18" s="69"/>
      <c r="Q18" s="95">
        <f>ROUND(O18,2)</f>
        <v>5594713.5</v>
      </c>
      <c r="R18" s="49">
        <f t="shared" si="0"/>
        <v>1062995.57</v>
      </c>
      <c r="S18" s="49">
        <f t="shared" si="1"/>
        <v>6657709.0700000003</v>
      </c>
      <c r="T18" s="49">
        <f t="shared" si="2"/>
        <v>13315418.140000001</v>
      </c>
    </row>
    <row r="19" spans="1:22" ht="65.25" customHeight="1" thickBot="1">
      <c r="A19" s="207"/>
      <c r="B19" s="73" t="s">
        <v>77</v>
      </c>
      <c r="C19" s="74" t="s">
        <v>14</v>
      </c>
      <c r="D19" s="90">
        <v>1</v>
      </c>
      <c r="E19" s="90">
        <v>2</v>
      </c>
      <c r="F19" s="71"/>
      <c r="G19" s="167">
        <f>ROUND(4732000,2)</f>
        <v>4732000</v>
      </c>
      <c r="H19" s="176"/>
      <c r="I19" s="177">
        <f>ROUND(5200000,2)</f>
        <v>5200000</v>
      </c>
      <c r="J19" s="70"/>
      <c r="K19" s="178">
        <f>ROUND(MIN(G19,I19),2)</f>
        <v>4732000</v>
      </c>
      <c r="L19" s="179">
        <f>ROUND(AVERAGE(G19,I19),2)</f>
        <v>4966000</v>
      </c>
      <c r="M19" s="178">
        <f>ROUND(+MAX(G19,I19),2)</f>
        <v>5200000</v>
      </c>
      <c r="N19" s="47">
        <f>+(M19/K19)-1</f>
        <v>9.8901098901098994E-2</v>
      </c>
      <c r="O19" s="179">
        <f>+ROUND(AVERAGE(K19,L19),2)</f>
        <v>4849000</v>
      </c>
      <c r="P19" s="70"/>
      <c r="Q19" s="96">
        <f>ROUND(O19,2)</f>
        <v>4849000</v>
      </c>
      <c r="R19" s="49">
        <f t="shared" si="0"/>
        <v>921310</v>
      </c>
      <c r="S19" s="49">
        <f t="shared" si="1"/>
        <v>5770310</v>
      </c>
      <c r="T19" s="49">
        <f t="shared" si="2"/>
        <v>11540620</v>
      </c>
    </row>
    <row r="20" spans="1:22" ht="32.25" customHeight="1" thickBot="1">
      <c r="A20" s="152"/>
      <c r="B20" s="129"/>
      <c r="C20" s="127"/>
      <c r="D20" s="153"/>
      <c r="E20" s="154"/>
      <c r="F20" s="25"/>
      <c r="G20" s="88"/>
      <c r="H20" s="30"/>
      <c r="I20" s="94"/>
      <c r="J20" s="27"/>
      <c r="K20" s="155"/>
      <c r="L20" s="156"/>
      <c r="M20" s="156"/>
      <c r="N20" s="157"/>
      <c r="O20" s="157"/>
      <c r="P20" s="46"/>
      <c r="Q20" s="131"/>
      <c r="R20" s="132"/>
      <c r="S20" s="160" t="s">
        <v>100</v>
      </c>
      <c r="T20" s="159">
        <f>ROUND(SUM(T18:T19),2)</f>
        <v>24856038.140000001</v>
      </c>
      <c r="V20" s="24"/>
    </row>
    <row r="21" spans="1:22" s="19" customFormat="1" ht="39" customHeight="1" thickBot="1">
      <c r="A21" s="199" t="s">
        <v>16</v>
      </c>
      <c r="B21" s="200"/>
      <c r="C21" s="200"/>
      <c r="D21" s="201"/>
      <c r="E21" s="93"/>
      <c r="F21" s="25"/>
      <c r="G21" s="167">
        <f>ROUND(SUM(G9:G19),2)</f>
        <v>82691195</v>
      </c>
      <c r="H21" s="27"/>
      <c r="I21" s="167">
        <f>ROUND(SUM(I9:I19),2)</f>
        <v>88050000</v>
      </c>
      <c r="J21" s="32"/>
      <c r="K21" s="40"/>
      <c r="L21" s="41"/>
      <c r="M21" s="40"/>
      <c r="N21" s="40"/>
      <c r="O21" s="40"/>
      <c r="P21" s="32"/>
      <c r="Q21" s="97"/>
      <c r="R21" s="97"/>
      <c r="S21" s="138" t="s">
        <v>101</v>
      </c>
      <c r="T21" s="98">
        <f>ROUND(SUM(T10+T13+T16+T20),2)</f>
        <v>199993533.09999999</v>
      </c>
    </row>
    <row r="22" spans="1:22" ht="28.5" customHeight="1">
      <c r="A22" s="33"/>
      <c r="B22" s="33"/>
      <c r="C22" s="33"/>
      <c r="D22" s="25"/>
      <c r="E22" s="25"/>
      <c r="F22" s="34"/>
      <c r="G22" s="35"/>
      <c r="H22" s="34"/>
      <c r="I22" s="36"/>
      <c r="J22" s="27"/>
      <c r="K22" s="27"/>
      <c r="L22" s="27"/>
      <c r="M22" s="27"/>
      <c r="N22" s="27"/>
      <c r="O22" s="27"/>
      <c r="P22" s="27"/>
      <c r="Q22" s="99"/>
      <c r="R22" s="99"/>
      <c r="S22" s="99"/>
      <c r="T22" s="99"/>
    </row>
    <row r="23" spans="1:22">
      <c r="A23" s="37"/>
      <c r="B23" s="42" t="s">
        <v>17</v>
      </c>
      <c r="C23" s="42"/>
      <c r="D23" s="43"/>
      <c r="E23" s="43"/>
      <c r="F23" s="43"/>
      <c r="G23" s="43"/>
      <c r="H23" s="43"/>
      <c r="I23" s="43"/>
      <c r="J23" s="43"/>
      <c r="K23" s="43"/>
      <c r="L23" s="43"/>
      <c r="M23" s="43"/>
      <c r="N23" s="43"/>
      <c r="O23" s="43"/>
      <c r="P23" s="43"/>
      <c r="Q23" s="27"/>
      <c r="R23" s="27"/>
      <c r="S23" s="27"/>
      <c r="T23" s="27"/>
    </row>
    <row r="24" spans="1:22" ht="20.25" customHeight="1">
      <c r="A24" s="37"/>
      <c r="B24" s="184" t="s">
        <v>62</v>
      </c>
      <c r="C24" s="184"/>
      <c r="D24" s="184"/>
      <c r="E24" s="184"/>
      <c r="F24" s="184"/>
      <c r="G24" s="184"/>
      <c r="H24" s="185"/>
      <c r="I24" s="185"/>
      <c r="J24" s="185"/>
      <c r="K24" s="185"/>
      <c r="L24" s="185"/>
      <c r="M24" s="185"/>
      <c r="N24" s="185"/>
      <c r="O24" s="185"/>
      <c r="P24" s="185"/>
      <c r="Q24" s="185"/>
      <c r="R24" s="185"/>
      <c r="S24" s="185"/>
      <c r="T24" s="185"/>
    </row>
    <row r="25" spans="1:22" ht="41.25" customHeight="1">
      <c r="A25" s="37"/>
      <c r="B25" s="184" t="s">
        <v>73</v>
      </c>
      <c r="C25" s="184"/>
      <c r="D25" s="184"/>
      <c r="E25" s="184"/>
      <c r="F25" s="184"/>
      <c r="G25" s="184"/>
      <c r="H25" s="185"/>
      <c r="I25" s="185"/>
      <c r="J25" s="185"/>
      <c r="K25" s="185"/>
      <c r="L25" s="185"/>
      <c r="M25" s="185"/>
      <c r="N25" s="185"/>
      <c r="O25" s="185"/>
      <c r="P25" s="185"/>
      <c r="Q25" s="185"/>
      <c r="R25" s="185"/>
      <c r="S25" s="185"/>
      <c r="T25" s="185"/>
    </row>
    <row r="26" spans="1:22" ht="29.25" customHeight="1">
      <c r="A26" s="37"/>
      <c r="B26" s="33" t="s">
        <v>66</v>
      </c>
      <c r="C26" s="60"/>
      <c r="D26" s="60"/>
      <c r="E26" s="79"/>
      <c r="F26" s="60"/>
      <c r="G26" s="60"/>
      <c r="H26" s="61"/>
      <c r="I26" s="61"/>
      <c r="J26" s="61"/>
      <c r="K26" s="61"/>
      <c r="L26" s="61"/>
      <c r="M26" s="61"/>
      <c r="N26" s="61"/>
      <c r="O26" s="61"/>
      <c r="P26" s="61"/>
      <c r="Q26" s="61"/>
      <c r="R26" s="80"/>
      <c r="S26" s="80"/>
      <c r="T26" s="61"/>
    </row>
    <row r="27" spans="1:22" ht="29.25" customHeight="1">
      <c r="A27" s="37"/>
      <c r="B27" s="33"/>
      <c r="C27" s="63"/>
      <c r="D27" s="63"/>
      <c r="E27" s="79"/>
      <c r="F27" s="63"/>
      <c r="G27" s="63"/>
      <c r="H27" s="64"/>
      <c r="I27" s="64"/>
      <c r="J27" s="64"/>
      <c r="K27" s="64"/>
      <c r="L27" s="64"/>
      <c r="M27" s="64"/>
      <c r="N27" s="64"/>
      <c r="O27" s="64"/>
      <c r="P27" s="64"/>
      <c r="Q27" s="64"/>
      <c r="R27" s="80"/>
      <c r="S27" s="80"/>
      <c r="T27" s="64"/>
    </row>
    <row r="28" spans="1:22" ht="47.25" customHeight="1">
      <c r="A28" s="37"/>
      <c r="B28" s="25"/>
      <c r="C28" s="25"/>
      <c r="D28" s="25"/>
      <c r="E28" s="25"/>
      <c r="F28" s="25"/>
      <c r="G28" s="27"/>
      <c r="H28" s="27"/>
      <c r="I28" s="27"/>
      <c r="J28" s="27"/>
      <c r="K28" s="27"/>
      <c r="L28" s="27"/>
      <c r="M28" s="27"/>
      <c r="N28" s="27"/>
      <c r="O28" s="27"/>
      <c r="P28" s="27"/>
      <c r="Q28" s="27"/>
      <c r="R28" s="27"/>
      <c r="S28" s="27"/>
      <c r="T28" s="27"/>
    </row>
    <row r="29" spans="1:22">
      <c r="A29" s="37"/>
      <c r="B29" s="44"/>
      <c r="C29" s="44"/>
      <c r="D29" s="44"/>
      <c r="E29" s="44"/>
      <c r="F29" s="44"/>
      <c r="G29" s="43"/>
      <c r="H29" s="43"/>
      <c r="I29" s="43"/>
      <c r="J29" s="43"/>
      <c r="K29" s="43"/>
      <c r="L29" s="43"/>
      <c r="M29" s="43"/>
      <c r="N29" s="43"/>
      <c r="O29" s="43"/>
      <c r="P29" s="43"/>
      <c r="Q29" s="27"/>
      <c r="R29" s="27"/>
      <c r="S29" s="27"/>
      <c r="T29" s="27"/>
    </row>
    <row r="30" spans="1:22">
      <c r="A30" s="37"/>
      <c r="B30" s="44"/>
      <c r="C30" s="44"/>
      <c r="D30" s="44"/>
      <c r="E30" s="44"/>
      <c r="F30" s="44"/>
      <c r="G30" s="43"/>
      <c r="H30" s="43"/>
      <c r="I30" s="43"/>
      <c r="J30" s="43"/>
      <c r="K30" s="43"/>
      <c r="L30" s="43"/>
      <c r="M30" s="43"/>
      <c r="N30" s="43"/>
      <c r="O30" s="43"/>
      <c r="P30" s="43"/>
      <c r="Q30" s="27"/>
      <c r="R30" s="27"/>
      <c r="S30" s="27"/>
      <c r="T30" s="27"/>
    </row>
    <row r="31" spans="1:22">
      <c r="A31" s="37"/>
      <c r="B31" s="44"/>
      <c r="C31" s="44"/>
      <c r="D31" s="44"/>
      <c r="E31" s="44"/>
      <c r="F31" s="44"/>
      <c r="G31" s="43"/>
      <c r="H31" s="43"/>
      <c r="I31" s="43"/>
      <c r="J31" s="43"/>
      <c r="K31" s="43"/>
      <c r="L31" s="43"/>
      <c r="M31" s="43"/>
      <c r="N31" s="43"/>
      <c r="O31" s="43"/>
      <c r="P31" s="43"/>
      <c r="Q31" s="27"/>
      <c r="R31" s="27"/>
      <c r="S31" s="27"/>
      <c r="T31" s="27"/>
    </row>
    <row r="32" spans="1:22">
      <c r="A32" s="37"/>
      <c r="B32" s="44"/>
      <c r="C32" s="44"/>
      <c r="D32" s="44"/>
      <c r="E32" s="44"/>
      <c r="F32" s="44"/>
      <c r="G32" s="43"/>
      <c r="H32" s="43"/>
      <c r="I32" s="43"/>
      <c r="J32" s="43"/>
      <c r="K32" s="43"/>
      <c r="L32" s="43"/>
      <c r="M32" s="43"/>
      <c r="N32" s="43"/>
      <c r="O32" s="43"/>
      <c r="P32" s="43"/>
      <c r="Q32" s="27"/>
      <c r="R32" s="27"/>
      <c r="S32" s="27"/>
      <c r="T32" s="27"/>
    </row>
    <row r="33" spans="1:20">
      <c r="A33" s="37"/>
      <c r="B33" s="38"/>
      <c r="C33" s="38"/>
      <c r="D33" s="25"/>
      <c r="E33" s="25"/>
      <c r="F33" s="25"/>
      <c r="G33" s="27"/>
      <c r="H33" s="27"/>
      <c r="I33" s="27"/>
      <c r="J33" s="27"/>
      <c r="K33" s="27"/>
      <c r="L33" s="27"/>
      <c r="M33" s="27"/>
      <c r="N33" s="27"/>
      <c r="O33" s="27"/>
      <c r="P33" s="27"/>
      <c r="Q33" s="27"/>
      <c r="R33" s="27"/>
      <c r="S33" s="27"/>
      <c r="T33" s="27"/>
    </row>
    <row r="34" spans="1:20">
      <c r="A34" s="37"/>
      <c r="B34" s="38"/>
      <c r="C34" s="38"/>
      <c r="D34" s="25"/>
      <c r="E34" s="25"/>
      <c r="F34" s="25"/>
      <c r="G34" s="27"/>
      <c r="H34" s="27"/>
      <c r="I34" s="27"/>
      <c r="J34" s="27"/>
      <c r="K34" s="27"/>
      <c r="L34" s="27"/>
      <c r="M34" s="27"/>
      <c r="N34" s="27"/>
      <c r="O34" s="27"/>
      <c r="P34" s="27"/>
      <c r="Q34" s="27"/>
      <c r="R34" s="27"/>
      <c r="S34" s="27"/>
      <c r="T34" s="27"/>
    </row>
    <row r="35" spans="1:20">
      <c r="A35" s="37"/>
      <c r="B35" s="38"/>
      <c r="C35" s="38"/>
      <c r="D35" s="25"/>
      <c r="E35" s="25"/>
      <c r="F35" s="25"/>
      <c r="G35" s="27"/>
      <c r="H35" s="27"/>
      <c r="I35" s="27"/>
      <c r="J35" s="27"/>
      <c r="K35" s="27"/>
      <c r="L35" s="27"/>
      <c r="M35" s="27"/>
      <c r="N35" s="27"/>
      <c r="O35" s="27"/>
      <c r="P35" s="27"/>
      <c r="Q35" s="27"/>
      <c r="R35" s="27"/>
      <c r="S35" s="27"/>
      <c r="T35" s="27"/>
    </row>
    <row r="36" spans="1:20">
      <c r="A36" s="25"/>
      <c r="B36" s="25"/>
      <c r="C36" s="25"/>
      <c r="D36" s="25"/>
      <c r="E36" s="25"/>
      <c r="F36" s="28"/>
      <c r="G36" s="26"/>
      <c r="H36" s="26"/>
      <c r="I36" s="26"/>
      <c r="J36" s="27"/>
      <c r="K36" s="27"/>
      <c r="L36" s="27"/>
      <c r="M36" s="27"/>
      <c r="N36" s="27"/>
      <c r="O36" s="27"/>
      <c r="P36" s="27"/>
      <c r="Q36" s="27"/>
      <c r="R36" s="27"/>
      <c r="S36" s="27"/>
      <c r="T36" s="27"/>
    </row>
    <row r="37" spans="1:20">
      <c r="A37" s="25"/>
      <c r="B37" s="25"/>
      <c r="C37" s="25"/>
      <c r="D37" s="25"/>
      <c r="E37" s="25"/>
      <c r="F37" s="28"/>
      <c r="G37" s="26"/>
      <c r="H37" s="26"/>
      <c r="I37" s="26"/>
      <c r="J37" s="27"/>
      <c r="K37" s="27"/>
      <c r="L37" s="27"/>
      <c r="M37" s="27"/>
      <c r="N37" s="27"/>
      <c r="O37" s="27"/>
      <c r="P37" s="27"/>
      <c r="Q37" s="27"/>
      <c r="R37" s="27"/>
      <c r="S37" s="27"/>
      <c r="T37" s="27"/>
    </row>
    <row r="38" spans="1:20">
      <c r="A38" s="25"/>
      <c r="B38" s="25"/>
      <c r="C38" s="25"/>
      <c r="D38" s="25"/>
      <c r="E38" s="25"/>
      <c r="F38" s="28"/>
      <c r="G38" s="26"/>
      <c r="H38" s="26"/>
      <c r="I38" s="26"/>
      <c r="J38" s="27"/>
      <c r="K38" s="27"/>
      <c r="L38" s="27"/>
      <c r="M38" s="27"/>
      <c r="N38" s="27"/>
      <c r="O38" s="27"/>
      <c r="P38" s="27"/>
      <c r="Q38" s="27"/>
      <c r="R38" s="27"/>
      <c r="S38" s="27"/>
      <c r="T38" s="27"/>
    </row>
    <row r="39" spans="1:20">
      <c r="A39" s="25"/>
      <c r="B39" s="25"/>
      <c r="C39" s="25"/>
      <c r="D39" s="25"/>
      <c r="E39" s="25"/>
      <c r="F39" s="28"/>
      <c r="G39" s="26"/>
      <c r="H39" s="26"/>
      <c r="I39" s="26"/>
      <c r="J39" s="27"/>
      <c r="K39" s="27"/>
      <c r="L39" s="27"/>
      <c r="M39" s="27"/>
      <c r="N39" s="27"/>
      <c r="O39" s="27"/>
      <c r="P39" s="27"/>
      <c r="Q39" s="27"/>
      <c r="R39" s="27"/>
      <c r="S39" s="27"/>
      <c r="T39" s="27"/>
    </row>
    <row r="40" spans="1:20">
      <c r="A40" s="25"/>
      <c r="B40" s="25"/>
      <c r="C40" s="25"/>
      <c r="D40" s="25"/>
      <c r="E40" s="25"/>
      <c r="F40" s="28"/>
      <c r="G40" s="26"/>
      <c r="H40" s="26"/>
      <c r="I40" s="26"/>
      <c r="J40" s="27"/>
      <c r="K40" s="27"/>
      <c r="L40" s="27"/>
      <c r="M40" s="27"/>
      <c r="N40" s="27"/>
      <c r="O40" s="27"/>
      <c r="P40" s="27"/>
      <c r="Q40" s="27"/>
      <c r="R40" s="27"/>
      <c r="S40" s="27"/>
      <c r="T40" s="27"/>
    </row>
    <row r="41" spans="1:20">
      <c r="A41" s="25"/>
      <c r="B41" s="25"/>
      <c r="C41" s="25"/>
      <c r="D41" s="25"/>
      <c r="E41" s="25"/>
      <c r="F41" s="28"/>
      <c r="G41" s="26"/>
      <c r="H41" s="26"/>
      <c r="I41" s="26"/>
      <c r="J41" s="27"/>
      <c r="K41" s="27"/>
      <c r="L41" s="27"/>
      <c r="M41" s="27"/>
      <c r="N41" s="27"/>
      <c r="O41" s="27"/>
      <c r="P41" s="27"/>
      <c r="Q41" s="27"/>
      <c r="R41" s="27"/>
      <c r="S41" s="27"/>
      <c r="T41" s="27"/>
    </row>
    <row r="42" spans="1:20">
      <c r="A42" s="25"/>
      <c r="B42" s="25"/>
      <c r="C42" s="25"/>
      <c r="D42" s="25"/>
      <c r="E42" s="25"/>
      <c r="F42" s="28"/>
      <c r="G42" s="26"/>
      <c r="H42" s="26"/>
      <c r="I42" s="26"/>
      <c r="J42" s="27"/>
      <c r="K42" s="27"/>
      <c r="L42" s="27"/>
      <c r="M42" s="27"/>
      <c r="N42" s="27"/>
      <c r="O42" s="27"/>
      <c r="P42" s="27"/>
      <c r="Q42" s="27"/>
      <c r="R42" s="27"/>
      <c r="S42" s="27"/>
      <c r="T42" s="27"/>
    </row>
    <row r="43" spans="1:20">
      <c r="A43" s="25"/>
      <c r="B43" s="25"/>
      <c r="C43" s="25"/>
      <c r="D43" s="25"/>
      <c r="E43" s="25"/>
      <c r="F43" s="28"/>
      <c r="G43" s="26"/>
      <c r="H43" s="26"/>
      <c r="I43" s="26"/>
      <c r="J43" s="27"/>
      <c r="K43" s="27"/>
      <c r="L43" s="27"/>
      <c r="M43" s="27"/>
      <c r="N43" s="27"/>
      <c r="O43" s="27"/>
      <c r="P43" s="27"/>
      <c r="Q43" s="27"/>
      <c r="R43" s="27"/>
      <c r="S43" s="27"/>
      <c r="T43" s="27"/>
    </row>
  </sheetData>
  <mergeCells count="16">
    <mergeCell ref="A1:T1"/>
    <mergeCell ref="C2:T2"/>
    <mergeCell ref="C3:T3"/>
    <mergeCell ref="A21:D21"/>
    <mergeCell ref="B24:G24"/>
    <mergeCell ref="H24:T24"/>
    <mergeCell ref="A2:B3"/>
    <mergeCell ref="A18:A19"/>
    <mergeCell ref="B25:G25"/>
    <mergeCell ref="H25:T25"/>
    <mergeCell ref="K5:K6"/>
    <mergeCell ref="L5:L6"/>
    <mergeCell ref="M5:M6"/>
    <mergeCell ref="N5:N6"/>
    <mergeCell ref="O5:O6"/>
    <mergeCell ref="Q5:T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3"/>
  <sheetViews>
    <sheetView showGridLines="0" zoomScale="84" zoomScaleNormal="84" workbookViewId="0">
      <selection activeCell="L6" sqref="L6:L10"/>
    </sheetView>
  </sheetViews>
  <sheetFormatPr baseColWidth="10" defaultColWidth="11.42578125" defaultRowHeight="16.5"/>
  <cols>
    <col min="1" max="1" width="7.85546875" style="20" customWidth="1"/>
    <col min="2" max="2" width="47.42578125" style="20" customWidth="1"/>
    <col min="3" max="3" width="13.7109375" style="20" customWidth="1"/>
    <col min="4" max="4" width="14.7109375" style="20" customWidth="1"/>
    <col min="5" max="5" width="3.28515625" style="21" customWidth="1"/>
    <col min="6" max="6" width="23.85546875" style="23" customWidth="1"/>
    <col min="7" max="7" width="3.28515625" style="23" customWidth="1"/>
    <col min="8" max="8" width="10" style="23" customWidth="1"/>
    <col min="9" max="9" width="8.42578125" style="23" customWidth="1"/>
    <col min="10" max="10" width="3.28515625" style="22" customWidth="1"/>
    <col min="11" max="11" width="17.28515625" style="22" customWidth="1"/>
    <col min="12" max="12" width="17.42578125" style="22" customWidth="1"/>
    <col min="13" max="16384" width="11.42578125" style="20"/>
  </cols>
  <sheetData>
    <row r="1" spans="1:17">
      <c r="A1" s="189" t="s">
        <v>18</v>
      </c>
      <c r="B1" s="190"/>
      <c r="C1" s="190"/>
      <c r="D1" s="190"/>
      <c r="E1" s="190"/>
      <c r="F1" s="190"/>
      <c r="G1" s="190"/>
      <c r="H1" s="190"/>
      <c r="I1" s="190"/>
      <c r="J1" s="190"/>
      <c r="K1" s="190"/>
      <c r="L1" s="191"/>
    </row>
    <row r="2" spans="1:17" ht="27" customHeight="1" thickBot="1">
      <c r="A2" s="202"/>
      <c r="B2" s="203"/>
      <c r="C2" s="192" t="s">
        <v>19</v>
      </c>
      <c r="D2" s="193"/>
      <c r="E2" s="193"/>
      <c r="F2" s="193"/>
      <c r="G2" s="193"/>
      <c r="H2" s="193"/>
      <c r="I2" s="193"/>
      <c r="J2" s="193"/>
      <c r="K2" s="193"/>
      <c r="L2" s="194"/>
    </row>
    <row r="3" spans="1:17" ht="119.25" customHeight="1" thickBot="1">
      <c r="A3" s="204"/>
      <c r="B3" s="205"/>
      <c r="C3" s="195" t="s">
        <v>67</v>
      </c>
      <c r="D3" s="196"/>
      <c r="E3" s="196"/>
      <c r="F3" s="196"/>
      <c r="G3" s="196"/>
      <c r="H3" s="196"/>
      <c r="I3" s="196"/>
      <c r="J3" s="196"/>
      <c r="K3" s="196"/>
      <c r="L3" s="196"/>
      <c r="M3" s="196"/>
      <c r="N3" s="196"/>
      <c r="O3" s="196"/>
      <c r="P3" s="197"/>
      <c r="Q3" s="198"/>
    </row>
    <row r="4" spans="1:17" ht="31.5" customHeight="1" thickBot="1">
      <c r="A4" s="25"/>
      <c r="B4" s="25"/>
      <c r="C4" s="25"/>
      <c r="D4" s="37"/>
      <c r="E4" s="37"/>
      <c r="F4" s="53" t="s">
        <v>74</v>
      </c>
      <c r="G4" s="26"/>
      <c r="H4" s="169">
        <v>45444</v>
      </c>
      <c r="I4" s="54">
        <v>45689</v>
      </c>
      <c r="J4" s="27"/>
      <c r="K4" s="188" t="s">
        <v>19</v>
      </c>
      <c r="L4" s="188"/>
    </row>
    <row r="5" spans="1:17" ht="33" customHeight="1" thickBot="1">
      <c r="A5" s="39" t="s">
        <v>75</v>
      </c>
      <c r="B5" s="39" t="s">
        <v>9</v>
      </c>
      <c r="C5" s="39" t="s">
        <v>10</v>
      </c>
      <c r="D5" s="39" t="s">
        <v>78</v>
      </c>
      <c r="E5" s="28"/>
      <c r="F5" s="39" t="s">
        <v>89</v>
      </c>
      <c r="G5" s="26"/>
      <c r="H5" s="170">
        <v>1.4338</v>
      </c>
      <c r="I5" s="55">
        <v>1.4790000000000001</v>
      </c>
      <c r="J5" s="27"/>
      <c r="K5" s="39" t="s">
        <v>12</v>
      </c>
      <c r="L5" s="39" t="s">
        <v>65</v>
      </c>
    </row>
    <row r="6" spans="1:17" ht="40.5" customHeight="1" thickBot="1">
      <c r="A6" s="45">
        <v>1</v>
      </c>
      <c r="B6" s="65" t="s">
        <v>70</v>
      </c>
      <c r="C6" s="45" t="s">
        <v>14</v>
      </c>
      <c r="D6" s="45">
        <v>1</v>
      </c>
      <c r="E6" s="25"/>
      <c r="F6" s="100">
        <f>ROUND(21954417,2)</f>
        <v>21954417</v>
      </c>
      <c r="G6" s="27"/>
      <c r="H6" s="210">
        <f>ROUND($I$5/$H$5*F6,2)</f>
        <v>22646521.649999999</v>
      </c>
      <c r="I6" s="210"/>
      <c r="J6" s="27"/>
      <c r="K6" s="49">
        <f>+ROUND(H6,2)</f>
        <v>22646521.649999999</v>
      </c>
      <c r="L6" s="49">
        <f>ROUND(K6*D6,2)</f>
        <v>22646521.649999999</v>
      </c>
    </row>
    <row r="7" spans="1:17" ht="40.5" customHeight="1" thickBot="1">
      <c r="A7" s="45">
        <v>2</v>
      </c>
      <c r="B7" s="66" t="s">
        <v>71</v>
      </c>
      <c r="C7" s="45" t="s">
        <v>14</v>
      </c>
      <c r="D7" s="45">
        <v>1</v>
      </c>
      <c r="E7" s="25"/>
      <c r="F7" s="100">
        <f>ROUND(21954417,2)</f>
        <v>21954417</v>
      </c>
      <c r="G7" s="27"/>
      <c r="H7" s="210">
        <f>ROUND($I$5/$H$5*F7,2)</f>
        <v>22646521.649999999</v>
      </c>
      <c r="I7" s="210"/>
      <c r="J7" s="27"/>
      <c r="K7" s="49">
        <f>+ROUND(H7,2)</f>
        <v>22646521.649999999</v>
      </c>
      <c r="L7" s="49">
        <f>ROUND(K7*D7,2)</f>
        <v>22646521.649999999</v>
      </c>
    </row>
    <row r="8" spans="1:17" ht="40.5" customHeight="1" thickBot="1">
      <c r="A8" s="45">
        <v>3</v>
      </c>
      <c r="B8" s="68" t="s">
        <v>72</v>
      </c>
      <c r="C8" s="45" t="s">
        <v>14</v>
      </c>
      <c r="D8" s="45">
        <v>1</v>
      </c>
      <c r="E8" s="25"/>
      <c r="F8" s="50">
        <v>0</v>
      </c>
      <c r="G8" s="27"/>
      <c r="H8" s="211">
        <f t="shared" ref="H8" si="0">ROUND($I$5/$H$5*F8,0)</f>
        <v>0</v>
      </c>
      <c r="I8" s="211"/>
      <c r="J8" s="27"/>
      <c r="K8" s="75">
        <f t="shared" ref="K8" si="1">+ROUND(H8,2)</f>
        <v>0</v>
      </c>
      <c r="L8" s="75">
        <f>ROUND(K8*D8,2)</f>
        <v>0</v>
      </c>
    </row>
    <row r="9" spans="1:17" ht="48.75" customHeight="1" thickBot="1">
      <c r="A9" s="212">
        <v>4</v>
      </c>
      <c r="B9" s="65" t="s">
        <v>76</v>
      </c>
      <c r="C9" s="45" t="s">
        <v>14</v>
      </c>
      <c r="D9" s="45">
        <v>1</v>
      </c>
      <c r="E9" s="25"/>
      <c r="F9" s="100">
        <f>ROUND(5509618,2)</f>
        <v>5509618</v>
      </c>
      <c r="G9" s="27"/>
      <c r="H9" s="210">
        <f>ROUND($I$5/$H$5*F9,2)</f>
        <v>5683306.6100000003</v>
      </c>
      <c r="I9" s="210"/>
      <c r="J9" s="27"/>
      <c r="K9" s="49">
        <f>+ROUND(H9,2)</f>
        <v>5683306.6100000003</v>
      </c>
      <c r="L9" s="49">
        <f t="shared" ref="L9:L10" si="2">ROUND(K9*D9,2)</f>
        <v>5683306.6100000003</v>
      </c>
    </row>
    <row r="10" spans="1:17" ht="40.5" customHeight="1" thickBot="1">
      <c r="A10" s="213"/>
      <c r="B10" s="73" t="s">
        <v>77</v>
      </c>
      <c r="C10" s="45" t="s">
        <v>14</v>
      </c>
      <c r="D10" s="45">
        <v>1</v>
      </c>
      <c r="E10" s="25"/>
      <c r="F10" s="180">
        <f>ROUND(4732818,2)</f>
        <v>4732818</v>
      </c>
      <c r="G10" s="27"/>
      <c r="H10" s="210">
        <f>ROUND($I$5/$H$5*F10,2)</f>
        <v>4882018.29</v>
      </c>
      <c r="I10" s="210"/>
      <c r="J10" s="27"/>
      <c r="K10" s="49">
        <f>+ROUND(H10,2)</f>
        <v>4882018.29</v>
      </c>
      <c r="L10" s="49">
        <f t="shared" si="2"/>
        <v>4882018.29</v>
      </c>
    </row>
    <row r="11" spans="1:17" s="19" customFormat="1" ht="28.5" customHeight="1" thickBot="1">
      <c r="A11" s="208" t="s">
        <v>16</v>
      </c>
      <c r="B11" s="208"/>
      <c r="C11" s="208"/>
      <c r="D11" s="208"/>
      <c r="E11" s="25"/>
      <c r="F11" s="31"/>
      <c r="G11" s="27"/>
      <c r="H11" s="32"/>
      <c r="I11" s="32"/>
      <c r="J11" s="32"/>
      <c r="K11" s="32"/>
      <c r="L11" s="52">
        <f>ROUND(SUM(L6:L10),2)</f>
        <v>55858368.200000003</v>
      </c>
    </row>
    <row r="12" spans="1:17" ht="28.5" customHeight="1">
      <c r="A12" s="33"/>
      <c r="B12" s="33"/>
      <c r="C12" s="33"/>
      <c r="D12" s="25"/>
      <c r="E12" s="34"/>
      <c r="F12" s="35"/>
      <c r="G12" s="34"/>
      <c r="H12" s="36"/>
      <c r="I12" s="36"/>
      <c r="J12" s="27"/>
      <c r="K12" s="27"/>
      <c r="L12" s="27"/>
      <c r="N12" s="168" t="s">
        <v>87</v>
      </c>
    </row>
    <row r="13" spans="1:17" ht="194.25" customHeight="1">
      <c r="A13" s="37"/>
      <c r="B13" s="209" t="s">
        <v>88</v>
      </c>
      <c r="C13" s="209"/>
      <c r="D13" s="209"/>
      <c r="E13" s="209"/>
      <c r="F13" s="209"/>
      <c r="G13" s="27"/>
      <c r="H13" s="27"/>
      <c r="I13" s="27"/>
      <c r="J13" s="27"/>
      <c r="K13" s="27"/>
      <c r="L13" s="27"/>
    </row>
    <row r="14" spans="1:17">
      <c r="A14" s="37"/>
      <c r="B14" s="33" t="s">
        <v>66</v>
      </c>
      <c r="C14" s="44"/>
      <c r="D14" s="44"/>
      <c r="E14" s="44"/>
      <c r="F14" s="43"/>
      <c r="G14" s="43"/>
      <c r="H14" s="43"/>
      <c r="I14" s="43"/>
      <c r="J14" s="43"/>
      <c r="K14" s="27"/>
      <c r="L14" s="27"/>
    </row>
    <row r="15" spans="1:17">
      <c r="A15" s="37"/>
      <c r="B15" s="44"/>
      <c r="C15" s="44"/>
      <c r="D15" s="44"/>
      <c r="E15" s="44"/>
      <c r="F15" s="43"/>
      <c r="G15" s="43"/>
      <c r="H15" s="43"/>
      <c r="I15" s="43"/>
      <c r="J15" s="43"/>
      <c r="K15" s="27"/>
      <c r="L15" s="27"/>
    </row>
    <row r="16" spans="1:17">
      <c r="A16" s="37"/>
      <c r="B16" s="44"/>
      <c r="C16" s="44"/>
      <c r="D16" s="44"/>
      <c r="E16" s="44"/>
      <c r="F16" s="43"/>
      <c r="G16" s="43"/>
      <c r="H16" s="43"/>
      <c r="I16" s="43"/>
      <c r="J16" s="43"/>
      <c r="K16" s="27"/>
      <c r="L16" s="27"/>
    </row>
    <row r="17" spans="1:12">
      <c r="A17" s="37"/>
      <c r="B17" s="44"/>
      <c r="C17" s="44"/>
      <c r="D17" s="44"/>
      <c r="E17" s="44"/>
      <c r="F17" s="43"/>
      <c r="G17" s="43"/>
      <c r="H17" s="43"/>
      <c r="I17" s="43"/>
      <c r="J17" s="43"/>
      <c r="K17" s="27"/>
      <c r="L17" s="27"/>
    </row>
    <row r="18" spans="1:12">
      <c r="A18" s="37"/>
      <c r="B18" s="44"/>
      <c r="C18" s="44"/>
      <c r="D18" s="44"/>
      <c r="E18" s="44"/>
      <c r="F18" s="43"/>
      <c r="G18" s="43"/>
      <c r="H18" s="43"/>
      <c r="I18" s="43"/>
      <c r="J18" s="43"/>
      <c r="K18" s="27"/>
      <c r="L18" s="27"/>
    </row>
    <row r="19" spans="1:12">
      <c r="A19" s="37"/>
      <c r="B19" s="38"/>
      <c r="C19" s="38"/>
      <c r="D19" s="25"/>
      <c r="E19" s="25"/>
      <c r="F19" s="27"/>
      <c r="G19" s="27"/>
      <c r="H19" s="27"/>
      <c r="I19" s="27"/>
      <c r="J19" s="27"/>
      <c r="K19" s="27"/>
      <c r="L19" s="27"/>
    </row>
    <row r="20" spans="1:12">
      <c r="A20" s="37"/>
      <c r="B20" s="38"/>
      <c r="C20" s="38"/>
      <c r="D20" s="25"/>
      <c r="E20" s="25"/>
      <c r="F20" s="27"/>
      <c r="G20" s="27"/>
      <c r="H20" s="27"/>
      <c r="I20" s="27"/>
      <c r="J20" s="27"/>
      <c r="K20" s="27"/>
      <c r="L20" s="27"/>
    </row>
    <row r="21" spans="1:12">
      <c r="A21" s="37"/>
      <c r="B21" s="38"/>
      <c r="C21" s="38"/>
      <c r="D21" s="25"/>
      <c r="E21" s="25"/>
      <c r="F21" s="27"/>
      <c r="G21" s="27"/>
      <c r="H21" s="27"/>
      <c r="I21" s="27"/>
      <c r="J21" s="27"/>
      <c r="K21" s="27"/>
      <c r="L21" s="27"/>
    </row>
    <row r="22" spans="1:12">
      <c r="A22" s="25"/>
      <c r="B22" s="25"/>
      <c r="C22" s="25"/>
      <c r="D22" s="25"/>
      <c r="E22" s="28"/>
      <c r="F22" s="26"/>
      <c r="G22" s="26"/>
      <c r="H22" s="26"/>
      <c r="I22" s="26"/>
      <c r="J22" s="27"/>
      <c r="K22" s="27"/>
      <c r="L22" s="27"/>
    </row>
    <row r="23" spans="1:12">
      <c r="A23" s="25"/>
      <c r="B23" s="25"/>
      <c r="C23" s="25"/>
      <c r="D23" s="25"/>
      <c r="E23" s="28"/>
      <c r="F23" s="26"/>
      <c r="G23" s="26"/>
      <c r="H23" s="26"/>
      <c r="I23" s="26"/>
      <c r="J23" s="27"/>
      <c r="K23" s="27"/>
      <c r="L23" s="27"/>
    </row>
    <row r="24" spans="1:12">
      <c r="A24" s="25"/>
      <c r="B24" s="25"/>
      <c r="C24" s="25"/>
      <c r="D24" s="25"/>
      <c r="E24" s="28"/>
      <c r="F24" s="26"/>
      <c r="G24" s="26"/>
      <c r="H24" s="26"/>
      <c r="I24" s="26"/>
      <c r="J24" s="27"/>
      <c r="K24" s="27"/>
      <c r="L24" s="27"/>
    </row>
    <row r="25" spans="1:12">
      <c r="A25" s="25"/>
      <c r="B25" s="25"/>
      <c r="C25" s="25"/>
      <c r="D25" s="25"/>
      <c r="E25" s="28"/>
      <c r="F25" s="26"/>
      <c r="G25" s="26"/>
      <c r="H25" s="26"/>
      <c r="I25" s="26"/>
      <c r="J25" s="27"/>
      <c r="K25" s="27"/>
      <c r="L25" s="27"/>
    </row>
    <row r="26" spans="1:12">
      <c r="A26" s="25"/>
      <c r="B26" s="25"/>
      <c r="C26" s="25"/>
      <c r="D26" s="25"/>
      <c r="E26" s="28"/>
      <c r="F26" s="26"/>
      <c r="G26" s="26"/>
      <c r="H26" s="26"/>
      <c r="I26" s="26"/>
      <c r="J26" s="27"/>
      <c r="K26" s="27"/>
      <c r="L26" s="27"/>
    </row>
    <row r="27" spans="1:12">
      <c r="A27" s="25"/>
      <c r="B27" s="25"/>
      <c r="C27" s="25"/>
      <c r="D27" s="25"/>
      <c r="E27" s="28"/>
      <c r="F27" s="26"/>
      <c r="G27" s="26"/>
      <c r="H27" s="26"/>
      <c r="I27" s="26"/>
      <c r="J27" s="27"/>
      <c r="K27" s="27"/>
      <c r="L27" s="27"/>
    </row>
    <row r="28" spans="1:12">
      <c r="A28" s="25"/>
      <c r="B28" s="25"/>
      <c r="C28" s="25"/>
      <c r="D28" s="25"/>
      <c r="E28" s="28"/>
      <c r="F28" s="26"/>
      <c r="G28" s="26"/>
      <c r="H28" s="26"/>
      <c r="I28" s="26"/>
      <c r="J28" s="27"/>
      <c r="K28" s="27"/>
      <c r="L28" s="27"/>
    </row>
    <row r="29" spans="1:12">
      <c r="A29" s="25"/>
      <c r="B29" s="25"/>
      <c r="C29" s="25"/>
      <c r="D29" s="25"/>
      <c r="E29" s="28"/>
      <c r="F29" s="26"/>
      <c r="G29" s="26"/>
      <c r="H29" s="26"/>
      <c r="I29" s="26"/>
      <c r="J29" s="27"/>
      <c r="K29" s="27"/>
      <c r="L29" s="27"/>
    </row>
    <row r="30" spans="1:12">
      <c r="A30" s="25"/>
      <c r="B30" s="25"/>
      <c r="C30" s="25"/>
      <c r="D30" s="25"/>
      <c r="E30" s="28"/>
      <c r="F30" s="26"/>
      <c r="G30" s="26"/>
      <c r="H30" s="26"/>
      <c r="I30" s="26"/>
      <c r="J30" s="27"/>
      <c r="K30" s="27"/>
      <c r="L30" s="27"/>
    </row>
    <row r="31" spans="1:12">
      <c r="A31" s="25"/>
      <c r="B31" s="25"/>
      <c r="C31" s="25"/>
      <c r="D31" s="25"/>
      <c r="E31" s="28"/>
      <c r="F31" s="26"/>
      <c r="G31" s="26"/>
      <c r="H31" s="26"/>
      <c r="I31" s="26"/>
      <c r="J31" s="27"/>
      <c r="K31" s="27"/>
      <c r="L31" s="27"/>
    </row>
    <row r="32" spans="1:12">
      <c r="A32" s="25"/>
      <c r="B32" s="25"/>
      <c r="C32" s="25"/>
      <c r="D32" s="25"/>
      <c r="E32" s="28"/>
      <c r="F32" s="26"/>
      <c r="G32" s="26"/>
      <c r="H32" s="26"/>
      <c r="I32" s="26"/>
      <c r="J32" s="27"/>
      <c r="K32" s="27"/>
      <c r="L32" s="27"/>
    </row>
    <row r="33" spans="1:12">
      <c r="A33" s="25"/>
      <c r="B33" s="25"/>
      <c r="C33" s="25"/>
      <c r="D33" s="25"/>
      <c r="E33" s="28"/>
      <c r="F33" s="26"/>
      <c r="G33" s="26"/>
      <c r="H33" s="26"/>
      <c r="I33" s="26"/>
      <c r="J33" s="27"/>
      <c r="K33" s="27"/>
      <c r="L33" s="27"/>
    </row>
  </sheetData>
  <mergeCells count="13">
    <mergeCell ref="A1:L1"/>
    <mergeCell ref="C2:L2"/>
    <mergeCell ref="K4:L4"/>
    <mergeCell ref="H6:I6"/>
    <mergeCell ref="C3:Q3"/>
    <mergeCell ref="A11:D11"/>
    <mergeCell ref="A2:B3"/>
    <mergeCell ref="B13:F13"/>
    <mergeCell ref="H7:I7"/>
    <mergeCell ref="H8:I8"/>
    <mergeCell ref="H9:I9"/>
    <mergeCell ref="H10:I10"/>
    <mergeCell ref="A9:A10"/>
  </mergeCells>
  <hyperlinks>
    <hyperlink ref="N12" r:id="rId1"/>
  </hyperlinks>
  <pageMargins left="0.7" right="0.7" top="0.75" bottom="0.75" header="0.3" footer="0.3"/>
  <pageSetup orientation="portrait"/>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showGridLines="0" zoomScale="80" zoomScaleNormal="80" workbookViewId="0">
      <selection activeCell="G29" sqref="G29"/>
    </sheetView>
  </sheetViews>
  <sheetFormatPr baseColWidth="10" defaultColWidth="11.42578125" defaultRowHeight="16.5"/>
  <cols>
    <col min="1" max="1" width="5.85546875" style="20" customWidth="1"/>
    <col min="2" max="2" width="38.7109375" style="20" customWidth="1"/>
    <col min="3" max="3" width="10.5703125" style="20" customWidth="1"/>
    <col min="4" max="5" width="11.28515625" style="20" customWidth="1"/>
    <col min="6" max="6" width="3.28515625" style="21" customWidth="1"/>
    <col min="7" max="7" width="18.42578125" style="20" customWidth="1"/>
    <col min="8" max="8" width="2.42578125" style="21" customWidth="1"/>
    <col min="9" max="9" width="17" style="20" customWidth="1"/>
    <col min="10" max="10" width="3.28515625" style="21" customWidth="1"/>
    <col min="11" max="12" width="16.5703125" style="22" customWidth="1"/>
    <col min="13" max="13" width="16" style="20" customWidth="1"/>
    <col min="14" max="14" width="17" style="20" customWidth="1"/>
    <col min="15" max="15" width="11.42578125" style="20"/>
    <col min="16" max="18" width="14" style="20" customWidth="1"/>
    <col min="19" max="16384" width="11.42578125" style="20"/>
  </cols>
  <sheetData>
    <row r="1" spans="1:14">
      <c r="A1" s="189" t="s">
        <v>21</v>
      </c>
      <c r="B1" s="190"/>
      <c r="C1" s="190"/>
      <c r="D1" s="190"/>
      <c r="E1" s="190"/>
      <c r="F1" s="190"/>
      <c r="G1" s="190"/>
      <c r="H1" s="190"/>
      <c r="I1" s="190"/>
      <c r="J1" s="190"/>
      <c r="K1" s="190"/>
      <c r="L1" s="191"/>
    </row>
    <row r="2" spans="1:14" ht="22.5" customHeight="1" thickBot="1">
      <c r="A2" s="202"/>
      <c r="B2" s="203"/>
      <c r="C2" s="192" t="s">
        <v>22</v>
      </c>
      <c r="D2" s="193"/>
      <c r="E2" s="193"/>
      <c r="F2" s="193"/>
      <c r="G2" s="193"/>
      <c r="H2" s="193"/>
      <c r="I2" s="193"/>
      <c r="J2" s="193"/>
      <c r="K2" s="193"/>
      <c r="L2" s="194"/>
    </row>
    <row r="3" spans="1:14" ht="102" customHeight="1" thickBot="1">
      <c r="A3" s="204"/>
      <c r="B3" s="205"/>
      <c r="C3" s="217" t="s">
        <v>103</v>
      </c>
      <c r="D3" s="218"/>
      <c r="E3" s="218"/>
      <c r="F3" s="218"/>
      <c r="G3" s="218"/>
      <c r="H3" s="218"/>
      <c r="I3" s="218"/>
      <c r="J3" s="218"/>
      <c r="K3" s="218"/>
      <c r="L3" s="219"/>
    </row>
    <row r="4" spans="1:14" ht="45.75" customHeight="1" thickBot="1">
      <c r="A4" s="220" t="s">
        <v>23</v>
      </c>
      <c r="B4" s="221"/>
      <c r="C4" s="221"/>
      <c r="D4" s="221"/>
      <c r="E4" s="222"/>
      <c r="F4" s="37"/>
      <c r="G4" s="104" t="s">
        <v>1</v>
      </c>
      <c r="H4" s="106"/>
      <c r="I4" s="104" t="s">
        <v>19</v>
      </c>
      <c r="J4" s="37"/>
      <c r="K4" s="223" t="s">
        <v>22</v>
      </c>
      <c r="L4" s="224"/>
      <c r="M4" s="224"/>
      <c r="N4" s="224"/>
    </row>
    <row r="5" spans="1:14" ht="45.75" customHeight="1" thickBot="1">
      <c r="A5" s="39" t="s">
        <v>75</v>
      </c>
      <c r="B5" s="39" t="str">
        <f>+'ANEXO 2 - COSTO HISTORICO'!B5</f>
        <v>DESCRIPCIÓN</v>
      </c>
      <c r="C5" s="39" t="str">
        <f>+'ANEXO 2 - COSTO HISTORICO'!C5</f>
        <v>UNIDAD DE MEDIDA</v>
      </c>
      <c r="D5" s="82" t="str">
        <f>+'ANEXO 2 - COSTO HISTORICO'!C5</f>
        <v>UNIDAD DE MEDIDA</v>
      </c>
      <c r="E5" s="39" t="s">
        <v>83</v>
      </c>
      <c r="F5" s="28"/>
      <c r="G5" s="39" t="s">
        <v>12</v>
      </c>
      <c r="H5" s="56"/>
      <c r="I5" s="59" t="s">
        <v>89</v>
      </c>
      <c r="J5" s="28"/>
      <c r="K5" s="82" t="s">
        <v>84</v>
      </c>
      <c r="L5" s="82" t="s">
        <v>85</v>
      </c>
      <c r="M5" s="82" t="s">
        <v>86</v>
      </c>
      <c r="N5" s="82" t="s">
        <v>81</v>
      </c>
    </row>
    <row r="6" spans="1:14" ht="27" customHeight="1" thickBot="1">
      <c r="A6" s="148"/>
      <c r="B6" s="119" t="s">
        <v>91</v>
      </c>
      <c r="C6" s="142"/>
      <c r="D6" s="143"/>
      <c r="E6" s="144"/>
      <c r="F6" s="151"/>
      <c r="G6" s="149"/>
      <c r="H6" s="150"/>
      <c r="I6" s="149"/>
      <c r="J6" s="151"/>
      <c r="K6" s="142"/>
      <c r="L6" s="143"/>
      <c r="M6" s="143"/>
      <c r="N6" s="144"/>
    </row>
    <row r="7" spans="1:14" ht="37.5" customHeight="1" thickBot="1">
      <c r="A7" s="57">
        <v>1</v>
      </c>
      <c r="B7" s="112" t="s">
        <v>70</v>
      </c>
      <c r="C7" s="45" t="s">
        <v>14</v>
      </c>
      <c r="D7" s="45">
        <v>1</v>
      </c>
      <c r="E7" s="45">
        <v>2</v>
      </c>
      <c r="F7" s="25"/>
      <c r="G7" s="49">
        <f>'ANEXO 1 - COTIZACION'!Q9</f>
        <v>24174894.25</v>
      </c>
      <c r="H7" s="25"/>
      <c r="I7" s="101">
        <f>'ANEXO 2 - COSTO HISTORICO'!K6</f>
        <v>22646521.649999999</v>
      </c>
      <c r="J7" s="25"/>
      <c r="K7" s="49">
        <f>ROUND(AVERAGE(G7,I7),2)</f>
        <v>23410707.949999999</v>
      </c>
      <c r="L7" s="49">
        <f>ROUND(K7*19%,2)</f>
        <v>4448034.51</v>
      </c>
      <c r="M7" s="49">
        <f>ROUND(K7+L7,2)</f>
        <v>27858742.460000001</v>
      </c>
      <c r="N7" s="49">
        <f>ROUND(M7*D7*E7,2)</f>
        <v>55717484.920000002</v>
      </c>
    </row>
    <row r="8" spans="1:14" ht="37.5" customHeight="1" thickBot="1">
      <c r="A8" s="120"/>
      <c r="B8" s="129"/>
      <c r="C8" s="130"/>
      <c r="D8" s="123"/>
      <c r="E8" s="124"/>
      <c r="F8" s="25"/>
      <c r="G8" s="49"/>
      <c r="H8" s="25"/>
      <c r="I8" s="101"/>
      <c r="J8" s="25"/>
      <c r="K8" s="131"/>
      <c r="L8" s="132"/>
      <c r="M8" s="133" t="s">
        <v>97</v>
      </c>
      <c r="N8" s="133">
        <f>ROUND(SUM(N7),2)</f>
        <v>55717484.920000002</v>
      </c>
    </row>
    <row r="9" spans="1:14" ht="27" customHeight="1" thickBot="1">
      <c r="A9" s="148"/>
      <c r="B9" s="119" t="s">
        <v>92</v>
      </c>
      <c r="C9" s="142"/>
      <c r="D9" s="143"/>
      <c r="E9" s="144"/>
      <c r="F9" s="151"/>
      <c r="G9" s="149"/>
      <c r="H9" s="150"/>
      <c r="I9" s="149"/>
      <c r="J9" s="151"/>
      <c r="K9" s="142"/>
      <c r="L9" s="143"/>
      <c r="M9" s="143"/>
      <c r="N9" s="144"/>
    </row>
    <row r="10" spans="1:14" ht="37.5" customHeight="1" thickBot="1">
      <c r="A10" s="57">
        <v>2</v>
      </c>
      <c r="B10" s="141" t="s">
        <v>71</v>
      </c>
      <c r="C10" s="45" t="s">
        <v>14</v>
      </c>
      <c r="D10" s="45">
        <v>1</v>
      </c>
      <c r="E10" s="45">
        <v>2</v>
      </c>
      <c r="F10" s="25"/>
      <c r="G10" s="49">
        <f>'ANEXO 1 - COTIZACION'!Q12</f>
        <v>24174894.25</v>
      </c>
      <c r="H10" s="25"/>
      <c r="I10" s="101">
        <f>'ANEXO 2 - COSTO HISTORICO'!K7</f>
        <v>22646521.649999999</v>
      </c>
      <c r="J10" s="25"/>
      <c r="K10" s="49">
        <f>ROUND(AVERAGE(G10,I10),2)</f>
        <v>23410707.949999999</v>
      </c>
      <c r="L10" s="49">
        <f t="shared" ref="L10:L17" si="0">ROUND(K10*19%,2)</f>
        <v>4448034.51</v>
      </c>
      <c r="M10" s="49">
        <f t="shared" ref="M10:M17" si="1">ROUND(K10+L10,2)</f>
        <v>27858742.460000001</v>
      </c>
      <c r="N10" s="49">
        <f t="shared" ref="N10:N17" si="2">ROUND(M10*D10*E10,2)</f>
        <v>55717484.920000002</v>
      </c>
    </row>
    <row r="11" spans="1:14" ht="37.5" customHeight="1" thickBot="1">
      <c r="A11" s="120"/>
      <c r="B11" s="135"/>
      <c r="C11" s="130"/>
      <c r="D11" s="123"/>
      <c r="E11" s="124"/>
      <c r="F11" s="25"/>
      <c r="G11" s="49"/>
      <c r="H11" s="25"/>
      <c r="I11" s="101"/>
      <c r="J11" s="25"/>
      <c r="K11" s="131"/>
      <c r="L11" s="132"/>
      <c r="M11" s="133" t="s">
        <v>98</v>
      </c>
      <c r="N11" s="133">
        <f>ROUND(SUM(N10),2)</f>
        <v>55717484.920000002</v>
      </c>
    </row>
    <row r="12" spans="1:14" ht="27" customHeight="1" thickBot="1">
      <c r="A12" s="148"/>
      <c r="B12" s="119" t="s">
        <v>93</v>
      </c>
      <c r="C12" s="83"/>
      <c r="D12" s="143"/>
      <c r="E12" s="144"/>
      <c r="F12" s="151"/>
      <c r="G12" s="149"/>
      <c r="H12" s="150"/>
      <c r="I12" s="149"/>
      <c r="J12" s="151"/>
      <c r="K12" s="142"/>
      <c r="L12" s="143"/>
      <c r="M12" s="143"/>
      <c r="N12" s="144"/>
    </row>
    <row r="13" spans="1:14" ht="37.5" customHeight="1" thickBot="1">
      <c r="A13" s="57">
        <v>3</v>
      </c>
      <c r="B13" s="140" t="s">
        <v>72</v>
      </c>
      <c r="C13" s="45" t="s">
        <v>14</v>
      </c>
      <c r="D13" s="45">
        <v>1</v>
      </c>
      <c r="E13" s="45">
        <v>2</v>
      </c>
      <c r="F13" s="25"/>
      <c r="G13" s="49">
        <f>'ANEXO 1 - COTIZACION'!Q15</f>
        <v>25237394.25</v>
      </c>
      <c r="H13" s="25"/>
      <c r="I13" s="102">
        <f>'ANEXO 2 - COSTO HISTORICO'!K8</f>
        <v>0</v>
      </c>
      <c r="J13" s="25"/>
      <c r="K13" s="49">
        <f>ROUND(+G13,2)</f>
        <v>25237394.25</v>
      </c>
      <c r="L13" s="49">
        <f t="shared" si="0"/>
        <v>4795104.91</v>
      </c>
      <c r="M13" s="49">
        <f t="shared" si="1"/>
        <v>30032499.16</v>
      </c>
      <c r="N13" s="49">
        <f t="shared" si="2"/>
        <v>60064998.32</v>
      </c>
    </row>
    <row r="14" spans="1:14" ht="37.5" customHeight="1" thickBot="1">
      <c r="A14" s="120"/>
      <c r="B14" s="136"/>
      <c r="C14" s="130"/>
      <c r="D14" s="123"/>
      <c r="E14" s="124"/>
      <c r="F14" s="25"/>
      <c r="G14" s="49"/>
      <c r="H14" s="25"/>
      <c r="I14" s="101"/>
      <c r="J14" s="25"/>
      <c r="K14" s="131"/>
      <c r="L14" s="132"/>
      <c r="M14" s="133" t="s">
        <v>99</v>
      </c>
      <c r="N14" s="133">
        <f>ROUND(SUM(N13),2)</f>
        <v>60064998.32</v>
      </c>
    </row>
    <row r="15" spans="1:14" ht="27" customHeight="1" thickBot="1">
      <c r="A15" s="148"/>
      <c r="B15" s="119" t="s">
        <v>94</v>
      </c>
      <c r="C15" s="142"/>
      <c r="D15" s="143"/>
      <c r="E15" s="144"/>
      <c r="F15" s="151"/>
      <c r="G15" s="149"/>
      <c r="H15" s="150"/>
      <c r="I15" s="149"/>
      <c r="J15" s="151"/>
      <c r="K15" s="142"/>
      <c r="L15" s="143"/>
      <c r="M15" s="143"/>
      <c r="N15" s="144"/>
    </row>
    <row r="16" spans="1:14" ht="37.5" customHeight="1" thickBot="1">
      <c r="A16" s="212">
        <v>4</v>
      </c>
      <c r="B16" s="112" t="s">
        <v>76</v>
      </c>
      <c r="C16" s="45" t="s">
        <v>14</v>
      </c>
      <c r="D16" s="45">
        <v>1</v>
      </c>
      <c r="E16" s="45">
        <v>2</v>
      </c>
      <c r="F16" s="25"/>
      <c r="G16" s="49">
        <f>'ANEXO 1 - COTIZACION'!Q18</f>
        <v>5594713.5</v>
      </c>
      <c r="H16" s="25"/>
      <c r="I16" s="101">
        <f>'ANEXO 2 - COSTO HISTORICO'!K9</f>
        <v>5683306.6100000003</v>
      </c>
      <c r="J16" s="25"/>
      <c r="K16" s="49">
        <f>ROUND(AVERAGE(G16,I16),2)</f>
        <v>5639010.0599999996</v>
      </c>
      <c r="L16" s="49">
        <f t="shared" si="0"/>
        <v>1071411.9099999999</v>
      </c>
      <c r="M16" s="49">
        <f t="shared" si="1"/>
        <v>6710421.9699999997</v>
      </c>
      <c r="N16" s="49">
        <f t="shared" si="2"/>
        <v>13420843.939999999</v>
      </c>
    </row>
    <row r="17" spans="1:14" ht="37.5" customHeight="1" thickBot="1">
      <c r="A17" s="213"/>
      <c r="B17" s="73" t="s">
        <v>77</v>
      </c>
      <c r="C17" s="45" t="s">
        <v>14</v>
      </c>
      <c r="D17" s="45">
        <v>1</v>
      </c>
      <c r="E17" s="45">
        <v>2</v>
      </c>
      <c r="F17" s="25"/>
      <c r="G17" s="49">
        <f>'ANEXO 1 - COTIZACION'!Q19</f>
        <v>4849000</v>
      </c>
      <c r="H17" s="25"/>
      <c r="I17" s="101">
        <f>'ANEXO 2 - COSTO HISTORICO'!K10</f>
        <v>4882018.29</v>
      </c>
      <c r="J17" s="25"/>
      <c r="K17" s="49">
        <f>ROUND(AVERAGE(G17,I17),2)</f>
        <v>4865509.1500000004</v>
      </c>
      <c r="L17" s="49">
        <f t="shared" si="0"/>
        <v>924446.74</v>
      </c>
      <c r="M17" s="49">
        <f t="shared" si="1"/>
        <v>5789955.8899999997</v>
      </c>
      <c r="N17" s="95">
        <f t="shared" si="2"/>
        <v>11579911.779999999</v>
      </c>
    </row>
    <row r="18" spans="1:14" ht="33.75" customHeight="1" thickBot="1">
      <c r="A18" s="121"/>
      <c r="B18" s="122"/>
      <c r="C18" s="123"/>
      <c r="D18" s="123"/>
      <c r="E18" s="124"/>
      <c r="F18" s="25"/>
      <c r="G18" s="125"/>
      <c r="H18" s="25"/>
      <c r="I18" s="126"/>
      <c r="J18" s="25"/>
      <c r="K18" s="125"/>
      <c r="L18" s="125"/>
      <c r="M18" s="133" t="s">
        <v>100</v>
      </c>
      <c r="N18" s="137">
        <f>ROUND(SUM(N16:N17),2)</f>
        <v>25000755.719999999</v>
      </c>
    </row>
    <row r="19" spans="1:14" s="19" customFormat="1" ht="44.25" customHeight="1" thickBot="1">
      <c r="A19" s="214" t="s">
        <v>16</v>
      </c>
      <c r="B19" s="215"/>
      <c r="C19" s="215"/>
      <c r="D19" s="215"/>
      <c r="E19" s="216"/>
      <c r="F19" s="25"/>
      <c r="G19" s="38"/>
      <c r="H19" s="25"/>
      <c r="I19" s="32"/>
      <c r="J19" s="25"/>
      <c r="K19" s="38"/>
      <c r="L19" s="38"/>
      <c r="M19" s="138" t="s">
        <v>101</v>
      </c>
      <c r="N19" s="139">
        <f>ROUND(SUM(N8+N11+N14+N18),2)</f>
        <v>196500723.88</v>
      </c>
    </row>
    <row r="20" spans="1:14" ht="22.5" customHeight="1">
      <c r="A20" s="33"/>
      <c r="B20" s="33"/>
      <c r="C20" s="25"/>
      <c r="D20" s="25"/>
      <c r="E20" s="25"/>
      <c r="F20" s="25"/>
      <c r="G20" s="25"/>
      <c r="H20" s="25"/>
      <c r="I20" s="25"/>
      <c r="J20" s="25"/>
      <c r="K20" s="27"/>
      <c r="L20" s="27"/>
    </row>
    <row r="21" spans="1:14">
      <c r="A21" s="37"/>
      <c r="B21" s="42" t="s">
        <v>17</v>
      </c>
      <c r="C21" s="42"/>
      <c r="D21" s="43"/>
      <c r="E21" s="43"/>
      <c r="F21" s="43"/>
      <c r="G21" s="43"/>
      <c r="H21" s="43"/>
      <c r="I21" s="43"/>
      <c r="J21" s="43"/>
      <c r="K21" s="27"/>
      <c r="L21" s="27"/>
    </row>
    <row r="22" spans="1:14" ht="51" customHeight="1">
      <c r="A22" s="37"/>
      <c r="B22" s="184" t="s">
        <v>90</v>
      </c>
      <c r="C22" s="184"/>
      <c r="D22" s="184"/>
      <c r="E22" s="184"/>
      <c r="F22" s="184"/>
      <c r="G22" s="184"/>
      <c r="H22" s="184"/>
      <c r="I22" s="184"/>
      <c r="J22" s="184"/>
      <c r="K22" s="184"/>
      <c r="L22" s="27"/>
    </row>
    <row r="23" spans="1:14" ht="96.75" customHeight="1">
      <c r="A23" s="37"/>
      <c r="B23" s="184" t="s">
        <v>102</v>
      </c>
      <c r="C23" s="184"/>
      <c r="D23" s="184"/>
      <c r="E23" s="184"/>
      <c r="F23" s="184"/>
      <c r="G23" s="184"/>
      <c r="H23" s="184"/>
      <c r="I23" s="184"/>
      <c r="J23" s="184"/>
      <c r="K23" s="184"/>
      <c r="L23" s="27"/>
    </row>
    <row r="24" spans="1:14" ht="17.25" customHeight="1">
      <c r="A24" s="37"/>
      <c r="B24" s="33" t="s">
        <v>66</v>
      </c>
      <c r="C24" s="60"/>
      <c r="D24" s="79"/>
      <c r="E24" s="60"/>
      <c r="F24" s="60"/>
      <c r="G24" s="60"/>
      <c r="H24" s="60"/>
      <c r="I24" s="60"/>
      <c r="J24" s="60"/>
      <c r="K24" s="60"/>
      <c r="L24" s="27"/>
    </row>
    <row r="25" spans="1:14" ht="44.25" customHeight="1">
      <c r="A25" s="37"/>
      <c r="B25" s="25"/>
      <c r="C25" s="25"/>
      <c r="D25" s="25"/>
      <c r="E25" s="25"/>
      <c r="F25" s="25"/>
      <c r="G25" s="25"/>
      <c r="H25" s="25"/>
      <c r="I25" s="25"/>
      <c r="J25" s="25"/>
      <c r="K25" s="27"/>
      <c r="L25" s="27"/>
    </row>
    <row r="26" spans="1:14">
      <c r="A26" s="37"/>
      <c r="B26" s="44"/>
      <c r="C26" s="44"/>
      <c r="D26" s="44"/>
      <c r="E26" s="44"/>
      <c r="F26" s="44"/>
      <c r="G26" s="44"/>
      <c r="H26" s="44"/>
      <c r="I26" s="44"/>
      <c r="J26" s="44"/>
      <c r="K26" s="27"/>
      <c r="L26" s="27"/>
    </row>
    <row r="27" spans="1:14">
      <c r="A27" s="37"/>
      <c r="B27" s="44"/>
      <c r="C27" s="44"/>
      <c r="D27" s="44"/>
      <c r="E27" s="44"/>
      <c r="F27" s="44"/>
      <c r="G27" s="44"/>
      <c r="H27" s="44"/>
      <c r="I27" s="44"/>
      <c r="J27" s="44"/>
      <c r="K27" s="27"/>
      <c r="L27" s="27"/>
    </row>
    <row r="28" spans="1:14">
      <c r="A28" s="37"/>
      <c r="B28" s="44"/>
      <c r="C28" s="44"/>
      <c r="D28" s="44"/>
      <c r="E28" s="44"/>
      <c r="F28" s="44"/>
      <c r="G28" s="44"/>
      <c r="H28" s="44"/>
      <c r="I28" s="44"/>
      <c r="J28" s="44"/>
      <c r="K28" s="27"/>
      <c r="L28" s="27"/>
    </row>
    <row r="29" spans="1:14">
      <c r="A29" s="37"/>
      <c r="B29" s="44"/>
      <c r="C29" s="44"/>
      <c r="D29" s="44"/>
      <c r="E29" s="44"/>
      <c r="F29" s="44"/>
      <c r="G29" s="44"/>
      <c r="H29" s="44"/>
      <c r="I29" s="44"/>
      <c r="J29" s="44"/>
      <c r="K29" s="27"/>
      <c r="L29" s="27"/>
    </row>
    <row r="30" spans="1:14">
      <c r="A30" s="37"/>
      <c r="B30" s="38"/>
      <c r="C30" s="38"/>
      <c r="D30" s="25"/>
      <c r="E30" s="25"/>
      <c r="F30" s="25"/>
      <c r="G30" s="25"/>
      <c r="H30" s="25"/>
      <c r="I30" s="25"/>
      <c r="J30" s="25"/>
      <c r="K30" s="27"/>
      <c r="L30" s="27"/>
    </row>
    <row r="31" spans="1:14">
      <c r="A31" s="37"/>
      <c r="B31" s="38"/>
      <c r="C31" s="38"/>
      <c r="D31" s="25"/>
      <c r="E31" s="25"/>
      <c r="F31" s="25"/>
      <c r="G31" s="25"/>
      <c r="H31" s="25"/>
      <c r="I31" s="25"/>
      <c r="J31" s="25"/>
      <c r="K31" s="27"/>
      <c r="L31" s="27"/>
    </row>
    <row r="32" spans="1:14">
      <c r="A32" s="37"/>
      <c r="B32" s="38"/>
      <c r="C32" s="38"/>
      <c r="D32" s="25"/>
      <c r="E32" s="25"/>
      <c r="F32" s="25"/>
      <c r="G32" s="25"/>
      <c r="H32" s="25"/>
      <c r="I32" s="25"/>
      <c r="J32" s="25"/>
      <c r="K32" s="27"/>
      <c r="L32" s="27"/>
    </row>
    <row r="33" spans="1:12">
      <c r="A33" s="25"/>
      <c r="B33" s="25"/>
      <c r="C33" s="25"/>
      <c r="D33" s="25"/>
      <c r="E33" s="25"/>
      <c r="F33" s="28"/>
      <c r="G33" s="25"/>
      <c r="H33" s="28"/>
      <c r="I33" s="25"/>
      <c r="J33" s="28"/>
      <c r="K33" s="27"/>
      <c r="L33" s="27"/>
    </row>
    <row r="34" spans="1:12">
      <c r="A34" s="25"/>
      <c r="B34" s="25"/>
      <c r="C34" s="25"/>
      <c r="D34" s="25"/>
      <c r="E34" s="25"/>
      <c r="F34" s="28"/>
      <c r="G34" s="25"/>
      <c r="H34" s="28"/>
      <c r="I34" s="25"/>
      <c r="J34" s="28"/>
      <c r="K34" s="27"/>
      <c r="L34" s="27"/>
    </row>
    <row r="35" spans="1:12">
      <c r="A35" s="25"/>
      <c r="B35" s="25"/>
      <c r="C35" s="25"/>
      <c r="D35" s="25"/>
      <c r="E35" s="25"/>
      <c r="F35" s="28"/>
      <c r="G35" s="25"/>
      <c r="H35" s="28"/>
      <c r="I35" s="25"/>
      <c r="J35" s="28"/>
      <c r="K35" s="27"/>
      <c r="L35" s="27"/>
    </row>
    <row r="36" spans="1:12">
      <c r="A36" s="25"/>
      <c r="B36" s="25"/>
      <c r="C36" s="25"/>
      <c r="D36" s="25"/>
      <c r="E36" s="25"/>
      <c r="F36" s="28"/>
      <c r="G36" s="25"/>
      <c r="H36" s="28"/>
      <c r="I36" s="25"/>
      <c r="J36" s="28"/>
      <c r="K36" s="27"/>
      <c r="L36" s="27"/>
    </row>
    <row r="37" spans="1:12">
      <c r="A37" s="25"/>
      <c r="B37" s="25" t="s">
        <v>15</v>
      </c>
      <c r="C37" s="25"/>
      <c r="D37" s="25"/>
      <c r="E37" s="25"/>
      <c r="F37" s="28"/>
      <c r="G37" s="25"/>
      <c r="H37" s="28"/>
      <c r="I37" s="25"/>
      <c r="J37" s="28"/>
      <c r="K37" s="27"/>
      <c r="L37" s="27"/>
    </row>
    <row r="38" spans="1:12">
      <c r="A38" s="25"/>
      <c r="B38" s="25"/>
      <c r="C38" s="25"/>
      <c r="D38" s="25"/>
      <c r="E38" s="25"/>
      <c r="F38" s="28"/>
      <c r="G38" s="25"/>
      <c r="H38" s="28"/>
      <c r="I38" s="25"/>
      <c r="J38" s="28"/>
      <c r="K38" s="27"/>
      <c r="L38" s="27"/>
    </row>
    <row r="39" spans="1:12">
      <c r="A39" s="25"/>
      <c r="B39" s="25"/>
      <c r="C39" s="25"/>
      <c r="D39" s="25"/>
      <c r="E39" s="25"/>
      <c r="F39" s="28"/>
      <c r="G39" s="25"/>
      <c r="H39" s="28"/>
      <c r="I39" s="25"/>
      <c r="J39" s="28"/>
      <c r="K39" s="27"/>
      <c r="L39" s="27"/>
    </row>
    <row r="40" spans="1:12">
      <c r="A40" s="25"/>
      <c r="B40" s="25"/>
      <c r="C40" s="25"/>
      <c r="D40" s="25"/>
      <c r="E40" s="25"/>
      <c r="F40" s="28"/>
      <c r="G40" s="25"/>
      <c r="H40" s="28"/>
      <c r="I40" s="25"/>
      <c r="J40" s="28"/>
      <c r="K40" s="27"/>
      <c r="L40" s="27"/>
    </row>
  </sheetData>
  <mergeCells count="10">
    <mergeCell ref="A19:E19"/>
    <mergeCell ref="B22:K22"/>
    <mergeCell ref="B23:K23"/>
    <mergeCell ref="A1:L1"/>
    <mergeCell ref="C2:L2"/>
    <mergeCell ref="C3:L3"/>
    <mergeCell ref="A4:E4"/>
    <mergeCell ref="A2:B3"/>
    <mergeCell ref="A16:A17"/>
    <mergeCell ref="K4:N4"/>
  </mergeCells>
  <phoneticPr fontId="31" type="noConversion"/>
  <pageMargins left="0.25" right="0.25" top="0.75" bottom="0.75" header="0.3" footer="0.3"/>
  <pageSetup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showGridLines="0" tabSelected="1" zoomScaleNormal="100" zoomScaleSheetLayoutView="100" workbookViewId="0">
      <selection activeCell="I7" sqref="I7"/>
    </sheetView>
  </sheetViews>
  <sheetFormatPr baseColWidth="10" defaultColWidth="11.42578125" defaultRowHeight="16.5"/>
  <cols>
    <col min="1" max="1" width="11.28515625" style="20" customWidth="1"/>
    <col min="2" max="2" width="38.7109375" style="20" customWidth="1"/>
    <col min="3" max="3" width="10.5703125" style="20" customWidth="1"/>
    <col min="4" max="4" width="11.28515625" style="20" customWidth="1"/>
    <col min="5" max="5" width="10.28515625" style="20" customWidth="1"/>
    <col min="6" max="6" width="0.28515625" style="20" customWidth="1"/>
    <col min="7" max="7" width="8.42578125" style="21" hidden="1" customWidth="1"/>
    <col min="8" max="8" width="4.85546875" style="20" hidden="1" customWidth="1"/>
    <col min="9" max="9" width="4.42578125" style="21" customWidth="1"/>
    <col min="10" max="10" width="21.28515625" style="22" customWidth="1"/>
    <col min="11" max="11" width="18.7109375" style="22" customWidth="1"/>
    <col min="12" max="13" width="23.5703125" style="20" customWidth="1"/>
    <col min="14" max="14" width="14.85546875" style="20" bestFit="1" customWidth="1"/>
    <col min="15" max="17" width="14" style="20" customWidth="1"/>
    <col min="18" max="16384" width="11.42578125" style="20"/>
  </cols>
  <sheetData>
    <row r="1" spans="1:14" ht="28.5" customHeight="1" thickBot="1">
      <c r="A1" s="189" t="s">
        <v>24</v>
      </c>
      <c r="B1" s="190"/>
      <c r="C1" s="190"/>
      <c r="D1" s="190"/>
      <c r="E1" s="190"/>
      <c r="F1" s="190"/>
      <c r="G1" s="190"/>
      <c r="H1" s="190"/>
      <c r="I1" s="190"/>
      <c r="J1" s="190"/>
      <c r="K1" s="190"/>
      <c r="L1" s="190"/>
      <c r="M1" s="191"/>
    </row>
    <row r="2" spans="1:14" ht="39" customHeight="1" thickBot="1">
      <c r="A2" s="244"/>
      <c r="B2" s="245"/>
      <c r="C2" s="192" t="s">
        <v>63</v>
      </c>
      <c r="D2" s="193"/>
      <c r="E2" s="193"/>
      <c r="F2" s="193"/>
      <c r="G2" s="193"/>
      <c r="H2" s="193"/>
      <c r="I2" s="193"/>
      <c r="J2" s="193"/>
      <c r="K2" s="193"/>
      <c r="L2" s="193"/>
      <c r="M2" s="194"/>
    </row>
    <row r="3" spans="1:14" ht="135" customHeight="1" thickBot="1">
      <c r="A3" s="204"/>
      <c r="B3" s="227"/>
      <c r="C3" s="246" t="s">
        <v>79</v>
      </c>
      <c r="D3" s="247"/>
      <c r="E3" s="247"/>
      <c r="F3" s="247"/>
      <c r="G3" s="247"/>
      <c r="H3" s="247"/>
      <c r="I3" s="247"/>
      <c r="J3" s="247"/>
      <c r="K3" s="247"/>
      <c r="L3" s="247"/>
      <c r="M3" s="248"/>
    </row>
    <row r="4" spans="1:14" ht="48" customHeight="1" thickTop="1" thickBot="1">
      <c r="A4" s="243" t="s">
        <v>23</v>
      </c>
      <c r="B4" s="228"/>
      <c r="C4" s="228"/>
      <c r="D4" s="229"/>
      <c r="E4" s="37"/>
      <c r="F4" s="105" t="s">
        <v>1</v>
      </c>
      <c r="G4" s="58"/>
      <c r="H4" s="105" t="s">
        <v>19</v>
      </c>
      <c r="I4" s="37"/>
      <c r="J4" s="241" t="s">
        <v>64</v>
      </c>
      <c r="K4" s="242"/>
      <c r="L4" s="242"/>
      <c r="M4" s="242"/>
    </row>
    <row r="5" spans="1:14" ht="73.5" customHeight="1" thickBot="1">
      <c r="A5" s="182" t="s">
        <v>75</v>
      </c>
      <c r="B5" s="182" t="str">
        <f>+'ANEXO 2 - COSTO HISTORICO'!B5</f>
        <v>DESCRIPCIÓN</v>
      </c>
      <c r="C5" s="182" t="str">
        <f>+'ANEXO 2 - COSTO HISTORICO'!C5</f>
        <v>UNIDAD DE MEDIDA</v>
      </c>
      <c r="D5" s="182" t="str">
        <f>+'ANEXO 2 - COSTO HISTORICO'!D5</f>
        <v>CANTIDAD EQUIPOS</v>
      </c>
      <c r="E5" s="103" t="s">
        <v>83</v>
      </c>
      <c r="F5" s="182" t="s">
        <v>20</v>
      </c>
      <c r="G5" s="56"/>
      <c r="H5" s="182" t="s">
        <v>20</v>
      </c>
      <c r="I5" s="28"/>
      <c r="J5" s="104" t="s">
        <v>84</v>
      </c>
      <c r="K5" s="104" t="s">
        <v>85</v>
      </c>
      <c r="L5" s="104" t="s">
        <v>86</v>
      </c>
      <c r="M5" s="104" t="s">
        <v>81</v>
      </c>
    </row>
    <row r="6" spans="1:14" ht="34.5" customHeight="1" thickBot="1">
      <c r="A6" s="148"/>
      <c r="B6" s="92" t="s">
        <v>91</v>
      </c>
      <c r="C6" s="142"/>
      <c r="D6" s="143"/>
      <c r="E6" s="144"/>
      <c r="F6" s="182"/>
      <c r="G6" s="56"/>
      <c r="H6" s="182"/>
      <c r="I6" s="28"/>
      <c r="J6" s="145"/>
      <c r="K6" s="146"/>
      <c r="L6" s="146"/>
      <c r="M6" s="147"/>
    </row>
    <row r="7" spans="1:14" ht="64.5" customHeight="1" thickBot="1">
      <c r="A7" s="183">
        <v>1</v>
      </c>
      <c r="B7" s="65" t="s">
        <v>70</v>
      </c>
      <c r="C7" s="45" t="s">
        <v>14</v>
      </c>
      <c r="D7" s="45">
        <v>1</v>
      </c>
      <c r="E7" s="45">
        <v>2</v>
      </c>
      <c r="F7" s="48">
        <f>'ANEXO 1 - COTIZACION'!Q9</f>
        <v>24174894.25</v>
      </c>
      <c r="G7" s="25"/>
      <c r="H7" s="48">
        <f>'ANEXO 2 - COSTO HISTORICO'!K6</f>
        <v>22646521.649999999</v>
      </c>
      <c r="I7" s="25"/>
      <c r="J7" s="49">
        <v>23410707.949999999</v>
      </c>
      <c r="K7" s="49">
        <f>ROUND(J7*19%,2)</f>
        <v>4448034.51</v>
      </c>
      <c r="L7" s="49">
        <f>ROUND(J7+K7,2)</f>
        <v>27858742.460000001</v>
      </c>
      <c r="M7" s="49">
        <f>ROUND(L7*D7*E7,2)</f>
        <v>55717484.920000002</v>
      </c>
    </row>
    <row r="8" spans="1:14" ht="37.5" customHeight="1" thickBot="1">
      <c r="A8" s="183"/>
      <c r="B8" s="129"/>
      <c r="C8" s="130"/>
      <c r="D8" s="123"/>
      <c r="E8" s="124"/>
      <c r="F8" s="48"/>
      <c r="G8" s="25"/>
      <c r="H8" s="48"/>
      <c r="I8" s="25"/>
      <c r="J8" s="131"/>
      <c r="K8" s="132"/>
      <c r="L8" s="133" t="s">
        <v>97</v>
      </c>
      <c r="M8" s="134">
        <f>ROUND(SUM(M7),2)</f>
        <v>55717484.920000002</v>
      </c>
    </row>
    <row r="9" spans="1:14" ht="34.5" customHeight="1" thickBot="1">
      <c r="A9" s="148"/>
      <c r="B9" s="182" t="s">
        <v>92</v>
      </c>
      <c r="C9" s="142"/>
      <c r="D9" s="143"/>
      <c r="E9" s="144"/>
      <c r="F9" s="149"/>
      <c r="G9" s="150"/>
      <c r="H9" s="149"/>
      <c r="I9" s="151"/>
      <c r="J9" s="145"/>
      <c r="K9" s="146"/>
      <c r="L9" s="146"/>
      <c r="M9" s="147"/>
    </row>
    <row r="10" spans="1:14" ht="66" customHeight="1" thickBot="1">
      <c r="A10" s="183">
        <v>2</v>
      </c>
      <c r="B10" s="141" t="s">
        <v>71</v>
      </c>
      <c r="C10" s="45" t="s">
        <v>14</v>
      </c>
      <c r="D10" s="45">
        <v>1</v>
      </c>
      <c r="E10" s="45">
        <v>2</v>
      </c>
      <c r="F10" s="48">
        <f>'ANEXO 1 - COTIZACION'!Q12</f>
        <v>24174894.25</v>
      </c>
      <c r="G10" s="25"/>
      <c r="H10" s="51"/>
      <c r="I10" s="25"/>
      <c r="J10" s="49">
        <v>23410707.949999999</v>
      </c>
      <c r="K10" s="49">
        <f t="shared" ref="K10:K17" si="0">ROUND(J10*19%,2)</f>
        <v>4448034.51</v>
      </c>
      <c r="L10" s="49">
        <f t="shared" ref="L10:L17" si="1">ROUND(J10+K10,2)</f>
        <v>27858742.460000001</v>
      </c>
      <c r="M10" s="49">
        <f t="shared" ref="M10:M17" si="2">ROUND(L10*D10*E10,2)</f>
        <v>55717484.920000002</v>
      </c>
    </row>
    <row r="11" spans="1:14" ht="37.5" customHeight="1" thickBot="1">
      <c r="A11" s="183"/>
      <c r="B11" s="135"/>
      <c r="C11" s="130"/>
      <c r="D11" s="123"/>
      <c r="E11" s="124"/>
      <c r="F11" s="48"/>
      <c r="G11" s="25"/>
      <c r="H11" s="51"/>
      <c r="I11" s="25"/>
      <c r="J11" s="131"/>
      <c r="K11" s="132"/>
      <c r="L11" s="133" t="s">
        <v>98</v>
      </c>
      <c r="M11" s="134">
        <f>ROUND(SUM(M10),2)</f>
        <v>55717484.920000002</v>
      </c>
    </row>
    <row r="12" spans="1:14" ht="34.5" customHeight="1" thickBot="1">
      <c r="A12" s="148"/>
      <c r="B12" s="182" t="s">
        <v>93</v>
      </c>
      <c r="C12" s="142"/>
      <c r="D12" s="143"/>
      <c r="E12" s="144"/>
      <c r="F12" s="149"/>
      <c r="G12" s="150"/>
      <c r="H12" s="149"/>
      <c r="I12" s="151"/>
      <c r="J12" s="145"/>
      <c r="K12" s="146"/>
      <c r="L12" s="146"/>
      <c r="M12" s="147"/>
    </row>
    <row r="13" spans="1:14" ht="63.75" customHeight="1" thickBot="1">
      <c r="A13" s="183">
        <v>3</v>
      </c>
      <c r="B13" s="140" t="s">
        <v>72</v>
      </c>
      <c r="C13" s="45" t="s">
        <v>14</v>
      </c>
      <c r="D13" s="45">
        <v>1</v>
      </c>
      <c r="E13" s="45">
        <v>2</v>
      </c>
      <c r="F13" s="48">
        <f>'ANEXO 1 - COTIZACION'!Q15</f>
        <v>25237394.25</v>
      </c>
      <c r="G13" s="25"/>
      <c r="H13" s="48">
        <f>'ANEXO 2 - COSTO HISTORICO'!K8</f>
        <v>0</v>
      </c>
      <c r="I13" s="25"/>
      <c r="J13" s="49">
        <v>25237394.25</v>
      </c>
      <c r="K13" s="49">
        <f t="shared" si="0"/>
        <v>4795104.91</v>
      </c>
      <c r="L13" s="49">
        <f t="shared" si="1"/>
        <v>30032499.16</v>
      </c>
      <c r="M13" s="49">
        <f>ROUND(L13*D13*E13,2)</f>
        <v>60064998.32</v>
      </c>
    </row>
    <row r="14" spans="1:14" ht="37.5" customHeight="1" thickBot="1">
      <c r="A14" s="183"/>
      <c r="B14" s="136"/>
      <c r="C14" s="130"/>
      <c r="D14" s="123"/>
      <c r="E14" s="124"/>
      <c r="F14" s="48"/>
      <c r="G14" s="25"/>
      <c r="H14" s="48"/>
      <c r="I14" s="25"/>
      <c r="J14" s="131"/>
      <c r="K14" s="132"/>
      <c r="L14" s="133" t="s">
        <v>99</v>
      </c>
      <c r="M14" s="134">
        <f>ROUND(SUM(M13),2)</f>
        <v>60064998.32</v>
      </c>
    </row>
    <row r="15" spans="1:14" ht="34.5" customHeight="1" thickBot="1">
      <c r="A15" s="148"/>
      <c r="B15" s="182" t="s">
        <v>94</v>
      </c>
      <c r="C15" s="142"/>
      <c r="D15" s="143"/>
      <c r="E15" s="144"/>
      <c r="F15" s="149"/>
      <c r="G15" s="150"/>
      <c r="H15" s="149"/>
      <c r="I15" s="151"/>
      <c r="J15" s="145"/>
      <c r="K15" s="146"/>
      <c r="L15" s="146"/>
      <c r="M15" s="147"/>
    </row>
    <row r="16" spans="1:14" ht="58.5" customHeight="1" thickBot="1">
      <c r="A16" s="212">
        <v>4</v>
      </c>
      <c r="B16" s="112" t="s">
        <v>76</v>
      </c>
      <c r="C16" s="45" t="s">
        <v>14</v>
      </c>
      <c r="D16" s="45">
        <v>1</v>
      </c>
      <c r="E16" s="45">
        <v>2</v>
      </c>
      <c r="F16" s="48">
        <f>'ANEXO 1 - COTIZACION'!Q18</f>
        <v>5594713.5</v>
      </c>
      <c r="G16" s="25"/>
      <c r="H16" s="48">
        <f>'ANEXO 2 - COSTO HISTORICO'!K9</f>
        <v>5683306.6100000003</v>
      </c>
      <c r="I16" s="25"/>
      <c r="J16" s="49">
        <v>5639010.0599999996</v>
      </c>
      <c r="K16" s="49">
        <f t="shared" si="0"/>
        <v>1071411.9099999999</v>
      </c>
      <c r="L16" s="49">
        <f t="shared" si="1"/>
        <v>6710421.9699999997</v>
      </c>
      <c r="M16" s="49">
        <f t="shared" si="2"/>
        <v>13420843.939999999</v>
      </c>
      <c r="N16" s="118"/>
    </row>
    <row r="17" spans="1:13" ht="52.5" customHeight="1" thickBot="1">
      <c r="A17" s="213"/>
      <c r="B17" s="73" t="s">
        <v>77</v>
      </c>
      <c r="C17" s="45" t="s">
        <v>14</v>
      </c>
      <c r="D17" s="45">
        <v>1</v>
      </c>
      <c r="E17" s="45">
        <v>2</v>
      </c>
      <c r="F17" s="48" t="e">
        <f>'ANEXO 1 - COTIZACION'!#REF!</f>
        <v>#REF!</v>
      </c>
      <c r="G17" s="25"/>
      <c r="H17" s="48">
        <f>'ANEXO 2 - COSTO HISTORICO'!K10</f>
        <v>4882018.29</v>
      </c>
      <c r="I17" s="25"/>
      <c r="J17" s="49">
        <v>4865509.1500000004</v>
      </c>
      <c r="K17" s="49">
        <f t="shared" si="0"/>
        <v>924446.74</v>
      </c>
      <c r="L17" s="49">
        <f t="shared" si="1"/>
        <v>5789955.8899999997</v>
      </c>
      <c r="M17" s="95">
        <f t="shared" si="2"/>
        <v>11579911.779999999</v>
      </c>
    </row>
    <row r="18" spans="1:13" ht="37.5" customHeight="1" thickBot="1">
      <c r="A18" s="121"/>
      <c r="B18" s="122"/>
      <c r="C18" s="123"/>
      <c r="D18" s="124"/>
      <c r="E18" s="127"/>
      <c r="F18" s="128"/>
      <c r="G18" s="25"/>
      <c r="H18" s="128"/>
      <c r="I18" s="25"/>
      <c r="J18" s="125"/>
      <c r="K18" s="125"/>
      <c r="L18" s="133" t="s">
        <v>100</v>
      </c>
      <c r="M18" s="134">
        <f>ROUND(SUM(M16:M17),2)</f>
        <v>25000755.719999999</v>
      </c>
    </row>
    <row r="19" spans="1:13" s="19" customFormat="1" ht="47.25" customHeight="1" thickBot="1">
      <c r="A19" s="214" t="s">
        <v>16</v>
      </c>
      <c r="B19" s="215"/>
      <c r="C19" s="215"/>
      <c r="D19" s="216"/>
      <c r="E19" s="25"/>
      <c r="F19" s="38"/>
      <c r="G19" s="25"/>
      <c r="H19" s="32"/>
      <c r="I19" s="25"/>
      <c r="J19" s="125"/>
      <c r="K19" s="125"/>
      <c r="L19" s="138" t="s">
        <v>101</v>
      </c>
      <c r="M19" s="161">
        <f>ROUND(SUM(M8+M11+M14+M18),2)</f>
        <v>196500723.88</v>
      </c>
    </row>
    <row r="20" spans="1:13" ht="22.5" customHeight="1">
      <c r="A20" s="33"/>
      <c r="B20" s="33"/>
      <c r="C20" s="25"/>
      <c r="D20" s="25"/>
      <c r="E20" s="25"/>
      <c r="F20" s="25"/>
      <c r="G20" s="25"/>
      <c r="H20" s="25"/>
      <c r="I20" s="25"/>
      <c r="J20" s="27"/>
      <c r="K20" s="27"/>
    </row>
    <row r="21" spans="1:13">
      <c r="B21" s="42" t="s">
        <v>17</v>
      </c>
      <c r="C21" s="42"/>
      <c r="D21" s="43"/>
      <c r="E21" s="43"/>
      <c r="F21" s="43"/>
      <c r="G21" s="43"/>
      <c r="H21" s="43"/>
      <c r="I21" s="43"/>
      <c r="J21" s="27"/>
      <c r="K21" s="27"/>
    </row>
    <row r="22" spans="1:13" ht="36.75" customHeight="1">
      <c r="A22" s="37"/>
      <c r="B22" s="225" t="s">
        <v>95</v>
      </c>
      <c r="C22" s="225"/>
      <c r="D22" s="225"/>
      <c r="E22" s="225"/>
      <c r="F22" s="225"/>
      <c r="G22" s="225"/>
      <c r="H22" s="225"/>
      <c r="I22" s="225"/>
      <c r="J22" s="225"/>
      <c r="K22" s="27"/>
    </row>
    <row r="23" spans="1:13" ht="132" customHeight="1">
      <c r="A23" s="37"/>
      <c r="B23" s="226" t="s">
        <v>102</v>
      </c>
      <c r="C23" s="226"/>
      <c r="D23" s="226"/>
      <c r="E23" s="226"/>
      <c r="F23" s="226"/>
      <c r="G23" s="226"/>
      <c r="H23" s="226"/>
      <c r="I23" s="226"/>
      <c r="J23" s="226"/>
      <c r="K23" s="27"/>
    </row>
    <row r="24" spans="1:13" ht="24.75" customHeight="1">
      <c r="A24" s="37"/>
      <c r="B24" s="33" t="s">
        <v>66</v>
      </c>
      <c r="C24" s="181"/>
      <c r="D24" s="181"/>
      <c r="E24" s="181"/>
      <c r="F24" s="181"/>
      <c r="G24" s="181"/>
      <c r="H24" s="181"/>
      <c r="I24" s="181"/>
      <c r="J24" s="181"/>
      <c r="K24" s="27"/>
    </row>
    <row r="25" spans="1:13" ht="35.25" customHeight="1">
      <c r="A25" s="37"/>
      <c r="B25" s="25"/>
      <c r="C25" s="25"/>
      <c r="D25" s="25"/>
      <c r="E25" s="25"/>
      <c r="F25" s="25"/>
      <c r="G25" s="25"/>
      <c r="H25" s="25"/>
      <c r="I25" s="25"/>
      <c r="J25" s="27"/>
      <c r="K25" s="37"/>
    </row>
    <row r="26" spans="1:13">
      <c r="A26" s="37"/>
      <c r="B26" s="44"/>
      <c r="C26" s="44"/>
      <c r="D26" s="44"/>
      <c r="E26" s="44"/>
      <c r="F26" s="44"/>
      <c r="G26" s="44"/>
      <c r="H26" s="44"/>
      <c r="I26" s="44"/>
      <c r="J26" s="27"/>
      <c r="K26" s="27"/>
    </row>
    <row r="27" spans="1:13">
      <c r="A27" s="37"/>
      <c r="B27" s="44"/>
      <c r="C27" s="44"/>
      <c r="D27" s="44"/>
      <c r="E27" s="44"/>
      <c r="F27" s="44"/>
      <c r="G27" s="44"/>
      <c r="H27" s="44"/>
      <c r="I27" s="44"/>
      <c r="J27" s="27"/>
      <c r="K27" s="27"/>
    </row>
    <row r="28" spans="1:13">
      <c r="A28" s="37"/>
      <c r="B28" s="44"/>
      <c r="C28" s="44"/>
      <c r="D28" s="44"/>
      <c r="E28" s="44"/>
      <c r="F28" s="44"/>
      <c r="G28" s="44"/>
      <c r="H28" s="44"/>
      <c r="I28" s="44"/>
      <c r="J28" s="27"/>
      <c r="K28" s="27"/>
    </row>
    <row r="29" spans="1:13">
      <c r="A29" s="37"/>
      <c r="B29" s="44"/>
      <c r="C29" s="44"/>
      <c r="D29" s="44"/>
      <c r="E29" s="44"/>
      <c r="F29" s="44"/>
      <c r="G29" s="44"/>
      <c r="H29" s="44"/>
      <c r="I29" s="44"/>
      <c r="J29" s="27"/>
      <c r="K29" s="27"/>
    </row>
    <row r="30" spans="1:13">
      <c r="A30" s="37"/>
      <c r="B30" s="38"/>
      <c r="C30" s="38"/>
      <c r="D30" s="25"/>
      <c r="E30" s="25"/>
      <c r="F30" s="25"/>
      <c r="G30" s="25"/>
      <c r="H30" s="25"/>
      <c r="I30" s="25"/>
      <c r="J30" s="27"/>
      <c r="K30" s="27"/>
    </row>
    <row r="31" spans="1:13">
      <c r="A31" s="37"/>
      <c r="B31" s="38"/>
      <c r="C31" s="38"/>
      <c r="D31" s="25"/>
      <c r="E31" s="25"/>
      <c r="F31" s="25"/>
      <c r="G31" s="25"/>
      <c r="H31" s="25"/>
      <c r="I31" s="25"/>
      <c r="J31" s="27"/>
      <c r="K31" s="27"/>
    </row>
    <row r="32" spans="1:13">
      <c r="A32" s="37"/>
      <c r="B32" s="38"/>
      <c r="C32" s="38"/>
      <c r="D32" s="25"/>
      <c r="E32" s="25"/>
      <c r="F32" s="25"/>
      <c r="G32" s="25"/>
      <c r="H32" s="25"/>
      <c r="I32" s="25"/>
      <c r="J32" s="27"/>
      <c r="K32" s="27"/>
    </row>
    <row r="33" spans="1:11">
      <c r="A33" s="25"/>
      <c r="B33" s="25"/>
      <c r="C33" s="25"/>
      <c r="D33" s="25"/>
      <c r="E33" s="25"/>
      <c r="F33" s="25"/>
      <c r="G33" s="28"/>
      <c r="H33" s="25"/>
      <c r="I33" s="28"/>
      <c r="J33" s="27"/>
      <c r="K33" s="27"/>
    </row>
    <row r="34" spans="1:11">
      <c r="A34" s="25"/>
      <c r="B34" s="25"/>
      <c r="C34" s="25"/>
      <c r="D34" s="25"/>
      <c r="E34" s="25"/>
      <c r="F34" s="25"/>
      <c r="G34" s="28"/>
      <c r="H34" s="25"/>
      <c r="I34" s="28"/>
      <c r="J34" s="27"/>
      <c r="K34" s="27"/>
    </row>
    <row r="35" spans="1:11">
      <c r="A35" s="25"/>
      <c r="B35" s="25"/>
      <c r="C35" s="25"/>
      <c r="D35" s="25"/>
      <c r="E35" s="25"/>
      <c r="F35" s="25"/>
      <c r="G35" s="28"/>
      <c r="H35" s="25"/>
      <c r="I35" s="28"/>
      <c r="J35" s="27"/>
      <c r="K35" s="27"/>
    </row>
    <row r="36" spans="1:11">
      <c r="A36" s="25"/>
      <c r="B36" s="25"/>
      <c r="C36" s="25"/>
      <c r="D36" s="25"/>
      <c r="E36" s="25"/>
      <c r="F36" s="25"/>
      <c r="G36" s="28"/>
      <c r="H36" s="25"/>
      <c r="I36" s="28"/>
      <c r="J36" s="27"/>
      <c r="K36" s="27"/>
    </row>
    <row r="37" spans="1:11">
      <c r="A37" s="25"/>
      <c r="B37" s="25" t="s">
        <v>15</v>
      </c>
      <c r="C37" s="25"/>
      <c r="D37" s="25"/>
      <c r="E37" s="25"/>
      <c r="F37" s="25"/>
      <c r="G37" s="28"/>
      <c r="H37" s="25"/>
      <c r="I37" s="28"/>
      <c r="J37" s="27"/>
      <c r="K37" s="27"/>
    </row>
    <row r="38" spans="1:11">
      <c r="A38" s="25"/>
      <c r="B38" s="25"/>
      <c r="C38" s="25"/>
      <c r="D38" s="25"/>
      <c r="E38" s="25"/>
      <c r="F38" s="25"/>
      <c r="G38" s="28"/>
      <c r="H38" s="25"/>
      <c r="I38" s="28"/>
      <c r="J38" s="27"/>
      <c r="K38" s="27"/>
    </row>
    <row r="39" spans="1:11">
      <c r="A39" s="25"/>
      <c r="B39" s="25"/>
      <c r="C39" s="25"/>
      <c r="D39" s="25"/>
      <c r="E39" s="25"/>
      <c r="F39" s="25"/>
      <c r="G39" s="28"/>
      <c r="H39" s="25"/>
      <c r="I39" s="28"/>
      <c r="J39" s="27"/>
      <c r="K39" s="27"/>
    </row>
    <row r="40" spans="1:11">
      <c r="A40" s="25"/>
      <c r="B40" s="25"/>
      <c r="C40" s="25"/>
      <c r="D40" s="25"/>
      <c r="E40" s="25"/>
      <c r="F40" s="25"/>
      <c r="G40" s="28"/>
      <c r="H40" s="25"/>
      <c r="I40" s="28"/>
      <c r="J40" s="27"/>
      <c r="K40" s="27"/>
    </row>
  </sheetData>
  <mergeCells count="10">
    <mergeCell ref="A19:D19"/>
    <mergeCell ref="B22:J22"/>
    <mergeCell ref="B23:J23"/>
    <mergeCell ref="A2:B3"/>
    <mergeCell ref="A4:D4"/>
    <mergeCell ref="A16:A17"/>
    <mergeCell ref="J4:M4"/>
    <mergeCell ref="C3:M3"/>
    <mergeCell ref="C2:M2"/>
    <mergeCell ref="A1:M1"/>
  </mergeCells>
  <pageMargins left="0.7" right="0.7" top="0.75" bottom="0.75" header="0.3" footer="0.3"/>
  <pageSetup scale="5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B1:M35"/>
  <sheetViews>
    <sheetView workbookViewId="0">
      <selection activeCell="I4" sqref="I4"/>
    </sheetView>
  </sheetViews>
  <sheetFormatPr baseColWidth="10" defaultColWidth="11.42578125" defaultRowHeight="15"/>
  <cols>
    <col min="1" max="1" width="2.85546875" style="2" customWidth="1"/>
    <col min="2" max="2" width="5.85546875" style="2" customWidth="1"/>
    <col min="3" max="3" width="46.28515625" style="2" customWidth="1"/>
    <col min="4" max="4" width="7.140625" style="2" customWidth="1"/>
    <col min="5" max="6" width="7.28515625" style="2" customWidth="1"/>
    <col min="7" max="9" width="11.42578125" style="2"/>
    <col min="10" max="10" width="6" style="2" customWidth="1"/>
    <col min="11" max="13" width="11" style="2" hidden="1" customWidth="1"/>
    <col min="14" max="14" width="3.7109375" style="2" customWidth="1"/>
    <col min="15" max="16384" width="11.42578125" style="2"/>
  </cols>
  <sheetData>
    <row r="1" spans="2:13" ht="36" customHeight="1">
      <c r="C1" s="233" t="s">
        <v>25</v>
      </c>
      <c r="D1" s="234"/>
      <c r="E1" s="234"/>
      <c r="F1" s="234"/>
      <c r="G1" s="234"/>
      <c r="H1" s="234"/>
      <c r="I1" s="235"/>
    </row>
    <row r="2" spans="2:13" ht="56.25" customHeight="1">
      <c r="G2" s="236"/>
      <c r="H2" s="236"/>
      <c r="I2" s="236"/>
    </row>
    <row r="3" spans="2:13" s="1" customFormat="1" ht="39" customHeight="1">
      <c r="B3" s="231" t="s">
        <v>8</v>
      </c>
      <c r="C3" s="231" t="s">
        <v>26</v>
      </c>
      <c r="D3" s="3"/>
      <c r="E3" s="4"/>
      <c r="F3" s="4"/>
      <c r="G3" s="237" t="s">
        <v>27</v>
      </c>
      <c r="H3" s="238"/>
      <c r="I3" s="238"/>
      <c r="K3" s="237" t="s">
        <v>28</v>
      </c>
      <c r="L3" s="238"/>
      <c r="M3" s="238"/>
    </row>
    <row r="4" spans="2:13" s="1" customFormat="1" ht="45">
      <c r="B4" s="232"/>
      <c r="C4" s="232"/>
      <c r="D4" s="5"/>
      <c r="E4" s="6" t="s">
        <v>11</v>
      </c>
      <c r="F4" s="6"/>
      <c r="G4" s="6" t="s">
        <v>12</v>
      </c>
      <c r="H4" s="6" t="s">
        <v>29</v>
      </c>
      <c r="I4" s="6" t="s">
        <v>30</v>
      </c>
      <c r="K4" s="6" t="s">
        <v>12</v>
      </c>
      <c r="L4" s="6" t="s">
        <v>29</v>
      </c>
      <c r="M4" s="6" t="s">
        <v>30</v>
      </c>
    </row>
    <row r="5" spans="2:13" ht="14.25" customHeight="1">
      <c r="B5" s="239"/>
      <c r="C5" s="240"/>
      <c r="D5" s="7"/>
      <c r="G5" s="8"/>
      <c r="H5" s="8"/>
      <c r="I5" s="8"/>
      <c r="K5" s="8"/>
      <c r="L5" s="8"/>
      <c r="M5" s="8"/>
    </row>
    <row r="6" spans="2:13" s="1" customFormat="1">
      <c r="B6" s="9">
        <v>1</v>
      </c>
      <c r="C6" s="10" t="s">
        <v>31</v>
      </c>
      <c r="D6" s="11" t="s">
        <v>32</v>
      </c>
      <c r="E6" s="12">
        <v>1</v>
      </c>
      <c r="F6" s="12"/>
      <c r="G6" s="13">
        <v>0</v>
      </c>
      <c r="H6" s="14">
        <f>+ROUND(G6*0.19,0)</f>
        <v>0</v>
      </c>
      <c r="I6" s="14">
        <f>+G6+H6</f>
        <v>0</v>
      </c>
      <c r="K6" s="14">
        <v>250000</v>
      </c>
      <c r="L6" s="14">
        <f>+ROUND(K6*0.19,0)</f>
        <v>47500</v>
      </c>
      <c r="M6" s="14">
        <f>+K6+L6</f>
        <v>297500</v>
      </c>
    </row>
    <row r="7" spans="2:13" s="1" customFormat="1">
      <c r="B7" s="9">
        <v>2</v>
      </c>
      <c r="C7" s="10" t="s">
        <v>33</v>
      </c>
      <c r="D7" s="11" t="s">
        <v>32</v>
      </c>
      <c r="E7" s="12">
        <v>1</v>
      </c>
      <c r="F7" s="12"/>
      <c r="G7" s="13">
        <v>0</v>
      </c>
      <c r="H7" s="14">
        <f t="shared" ref="H7:H27" si="0">+ROUND(G7*0.19,0)</f>
        <v>0</v>
      </c>
      <c r="I7" s="14">
        <f t="shared" ref="I7:I27" si="1">+G7+H7</f>
        <v>0</v>
      </c>
      <c r="K7" s="17">
        <v>1800000</v>
      </c>
      <c r="L7" s="14">
        <f t="shared" ref="L7:L27" si="2">+ROUND(K7*0.19,0)</f>
        <v>342000</v>
      </c>
      <c r="M7" s="14">
        <f t="shared" ref="M7:M27" si="3">+K7+L7</f>
        <v>2142000</v>
      </c>
    </row>
    <row r="8" spans="2:13" s="1" customFormat="1">
      <c r="B8" s="9">
        <v>3</v>
      </c>
      <c r="C8" s="10" t="s">
        <v>34</v>
      </c>
      <c r="D8" s="11" t="s">
        <v>35</v>
      </c>
      <c r="E8" s="12">
        <v>1</v>
      </c>
      <c r="F8" s="12"/>
      <c r="G8" s="13">
        <v>0</v>
      </c>
      <c r="H8" s="14">
        <f t="shared" si="0"/>
        <v>0</v>
      </c>
      <c r="I8" s="14">
        <f t="shared" si="1"/>
        <v>0</v>
      </c>
      <c r="K8" s="14">
        <v>75000</v>
      </c>
      <c r="L8" s="14">
        <f t="shared" si="2"/>
        <v>14250</v>
      </c>
      <c r="M8" s="14">
        <f t="shared" si="3"/>
        <v>89250</v>
      </c>
    </row>
    <row r="9" spans="2:13" s="1" customFormat="1">
      <c r="B9" s="9">
        <v>4</v>
      </c>
      <c r="C9" s="10" t="s">
        <v>36</v>
      </c>
      <c r="D9" s="11" t="s">
        <v>32</v>
      </c>
      <c r="E9" s="12">
        <v>1</v>
      </c>
      <c r="F9" s="12"/>
      <c r="G9" s="13">
        <v>0</v>
      </c>
      <c r="H9" s="14">
        <f t="shared" si="0"/>
        <v>0</v>
      </c>
      <c r="I9" s="14">
        <f t="shared" si="1"/>
        <v>0</v>
      </c>
      <c r="K9" s="14">
        <v>80000</v>
      </c>
      <c r="L9" s="14">
        <f t="shared" si="2"/>
        <v>15200</v>
      </c>
      <c r="M9" s="14">
        <f t="shared" si="3"/>
        <v>95200</v>
      </c>
    </row>
    <row r="10" spans="2:13" s="1" customFormat="1">
      <c r="B10" s="9">
        <v>5</v>
      </c>
      <c r="C10" s="10" t="s">
        <v>37</v>
      </c>
      <c r="D10" s="11" t="s">
        <v>32</v>
      </c>
      <c r="E10" s="12">
        <v>1</v>
      </c>
      <c r="F10" s="12"/>
      <c r="G10" s="13">
        <v>0</v>
      </c>
      <c r="H10" s="14">
        <f t="shared" si="0"/>
        <v>0</v>
      </c>
      <c r="I10" s="14">
        <f t="shared" si="1"/>
        <v>0</v>
      </c>
      <c r="K10" s="17">
        <v>250000</v>
      </c>
      <c r="L10" s="14">
        <f t="shared" si="2"/>
        <v>47500</v>
      </c>
      <c r="M10" s="14">
        <f t="shared" si="3"/>
        <v>297500</v>
      </c>
    </row>
    <row r="11" spans="2:13" s="1" customFormat="1">
      <c r="B11" s="9">
        <v>6</v>
      </c>
      <c r="C11" s="10" t="s">
        <v>38</v>
      </c>
      <c r="D11" s="11" t="s">
        <v>32</v>
      </c>
      <c r="E11" s="12">
        <v>1</v>
      </c>
      <c r="F11" s="12"/>
      <c r="G11" s="13">
        <v>0</v>
      </c>
      <c r="H11" s="13">
        <f t="shared" si="0"/>
        <v>0</v>
      </c>
      <c r="I11" s="14">
        <f t="shared" si="1"/>
        <v>0</v>
      </c>
      <c r="K11" s="14">
        <v>300000</v>
      </c>
      <c r="L11" s="14">
        <f t="shared" si="2"/>
        <v>57000</v>
      </c>
      <c r="M11" s="14">
        <f t="shared" si="3"/>
        <v>357000</v>
      </c>
    </row>
    <row r="12" spans="2:13" s="1" customFormat="1">
      <c r="B12" s="9">
        <v>7</v>
      </c>
      <c r="C12" s="10" t="s">
        <v>39</v>
      </c>
      <c r="D12" s="11" t="s">
        <v>32</v>
      </c>
      <c r="E12" s="12">
        <v>1</v>
      </c>
      <c r="F12" s="12"/>
      <c r="G12" s="13">
        <v>0</v>
      </c>
      <c r="H12" s="13">
        <f t="shared" si="0"/>
        <v>0</v>
      </c>
      <c r="I12" s="14">
        <f t="shared" si="1"/>
        <v>0</v>
      </c>
      <c r="K12" s="17">
        <v>350000</v>
      </c>
      <c r="L12" s="14">
        <f t="shared" si="2"/>
        <v>66500</v>
      </c>
      <c r="M12" s="14">
        <f t="shared" si="3"/>
        <v>416500</v>
      </c>
    </row>
    <row r="13" spans="2:13" s="1" customFormat="1">
      <c r="B13" s="9">
        <v>8</v>
      </c>
      <c r="C13" s="10" t="s">
        <v>40</v>
      </c>
      <c r="D13" s="11" t="s">
        <v>32</v>
      </c>
      <c r="E13" s="12">
        <v>1</v>
      </c>
      <c r="F13" s="12"/>
      <c r="G13" s="13">
        <v>0</v>
      </c>
      <c r="H13" s="13">
        <f t="shared" si="0"/>
        <v>0</v>
      </c>
      <c r="I13" s="14">
        <f t="shared" si="1"/>
        <v>0</v>
      </c>
      <c r="K13" s="14">
        <v>45000</v>
      </c>
      <c r="L13" s="14">
        <f t="shared" si="2"/>
        <v>8550</v>
      </c>
      <c r="M13" s="14">
        <f t="shared" si="3"/>
        <v>53550</v>
      </c>
    </row>
    <row r="14" spans="2:13" s="1" customFormat="1">
      <c r="B14" s="9">
        <v>9</v>
      </c>
      <c r="C14" s="10" t="s">
        <v>41</v>
      </c>
      <c r="D14" s="11" t="s">
        <v>32</v>
      </c>
      <c r="E14" s="12">
        <v>1</v>
      </c>
      <c r="F14" s="12"/>
      <c r="G14" s="13">
        <v>0</v>
      </c>
      <c r="H14" s="13">
        <f t="shared" si="0"/>
        <v>0</v>
      </c>
      <c r="I14" s="14">
        <f t="shared" si="1"/>
        <v>0</v>
      </c>
      <c r="K14" s="14">
        <v>40000</v>
      </c>
      <c r="L14" s="14">
        <f t="shared" si="2"/>
        <v>7600</v>
      </c>
      <c r="M14" s="14">
        <f t="shared" si="3"/>
        <v>47600</v>
      </c>
    </row>
    <row r="15" spans="2:13" s="1" customFormat="1">
      <c r="B15" s="9">
        <v>10</v>
      </c>
      <c r="C15" s="10" t="s">
        <v>42</v>
      </c>
      <c r="D15" s="11" t="s">
        <v>32</v>
      </c>
      <c r="E15" s="12">
        <v>1</v>
      </c>
      <c r="F15" s="12"/>
      <c r="G15" s="13">
        <v>0</v>
      </c>
      <c r="H15" s="13">
        <f t="shared" si="0"/>
        <v>0</v>
      </c>
      <c r="I15" s="14">
        <f t="shared" si="1"/>
        <v>0</v>
      </c>
      <c r="K15" s="14">
        <v>40000</v>
      </c>
      <c r="L15" s="14">
        <f t="shared" si="2"/>
        <v>7600</v>
      </c>
      <c r="M15" s="14">
        <f t="shared" si="3"/>
        <v>47600</v>
      </c>
    </row>
    <row r="16" spans="2:13" s="1" customFormat="1">
      <c r="B16" s="9">
        <v>11</v>
      </c>
      <c r="C16" s="10" t="s">
        <v>43</v>
      </c>
      <c r="D16" s="11" t="s">
        <v>32</v>
      </c>
      <c r="E16" s="12">
        <v>1</v>
      </c>
      <c r="F16" s="12"/>
      <c r="G16" s="13">
        <v>0</v>
      </c>
      <c r="H16" s="13">
        <f t="shared" si="0"/>
        <v>0</v>
      </c>
      <c r="I16" s="14">
        <f t="shared" si="1"/>
        <v>0</v>
      </c>
      <c r="K16" s="17">
        <v>850000</v>
      </c>
      <c r="L16" s="14">
        <f t="shared" si="2"/>
        <v>161500</v>
      </c>
      <c r="M16" s="14">
        <f t="shared" si="3"/>
        <v>1011500</v>
      </c>
    </row>
    <row r="17" spans="2:13" s="1" customFormat="1">
      <c r="B17" s="9">
        <v>12</v>
      </c>
      <c r="C17" s="10" t="s">
        <v>44</v>
      </c>
      <c r="D17" s="11" t="s">
        <v>32</v>
      </c>
      <c r="E17" s="12">
        <v>1</v>
      </c>
      <c r="F17" s="12"/>
      <c r="G17" s="13">
        <v>0</v>
      </c>
      <c r="H17" s="13">
        <f t="shared" si="0"/>
        <v>0</v>
      </c>
      <c r="I17" s="14">
        <f t="shared" si="1"/>
        <v>0</v>
      </c>
      <c r="K17" s="14">
        <v>75000</v>
      </c>
      <c r="L17" s="14">
        <f t="shared" si="2"/>
        <v>14250</v>
      </c>
      <c r="M17" s="14">
        <f t="shared" si="3"/>
        <v>89250</v>
      </c>
    </row>
    <row r="18" spans="2:13" s="1" customFormat="1">
      <c r="B18" s="9">
        <v>13</v>
      </c>
      <c r="C18" s="10" t="s">
        <v>45</v>
      </c>
      <c r="D18" s="11" t="s">
        <v>32</v>
      </c>
      <c r="E18" s="12">
        <v>1</v>
      </c>
      <c r="F18" s="12"/>
      <c r="G18" s="13">
        <v>0</v>
      </c>
      <c r="H18" s="13">
        <f t="shared" si="0"/>
        <v>0</v>
      </c>
      <c r="I18" s="14">
        <f t="shared" si="1"/>
        <v>0</v>
      </c>
      <c r="K18" s="17">
        <v>85000</v>
      </c>
      <c r="L18" s="14">
        <f t="shared" si="2"/>
        <v>16150</v>
      </c>
      <c r="M18" s="14">
        <f t="shared" si="3"/>
        <v>101150</v>
      </c>
    </row>
    <row r="19" spans="2:13" s="1" customFormat="1" ht="30">
      <c r="B19" s="9">
        <v>14</v>
      </c>
      <c r="C19" s="10" t="s">
        <v>46</v>
      </c>
      <c r="D19" s="11" t="s">
        <v>32</v>
      </c>
      <c r="E19" s="12">
        <v>1</v>
      </c>
      <c r="F19" s="12"/>
      <c r="G19" s="13">
        <v>0</v>
      </c>
      <c r="H19" s="14">
        <f t="shared" si="0"/>
        <v>0</v>
      </c>
      <c r="I19" s="14">
        <f t="shared" si="1"/>
        <v>0</v>
      </c>
      <c r="K19" s="17">
        <v>350000</v>
      </c>
      <c r="L19" s="14">
        <f t="shared" si="2"/>
        <v>66500</v>
      </c>
      <c r="M19" s="14">
        <f t="shared" si="3"/>
        <v>416500</v>
      </c>
    </row>
    <row r="20" spans="2:13" s="1" customFormat="1">
      <c r="B20" s="9">
        <v>15</v>
      </c>
      <c r="C20" s="10" t="s">
        <v>47</v>
      </c>
      <c r="D20" s="11" t="s">
        <v>48</v>
      </c>
      <c r="E20" s="12">
        <v>1</v>
      </c>
      <c r="F20" s="12"/>
      <c r="G20" s="13">
        <v>0</v>
      </c>
      <c r="H20" s="14">
        <f t="shared" si="0"/>
        <v>0</v>
      </c>
      <c r="I20" s="14">
        <f t="shared" si="1"/>
        <v>0</v>
      </c>
      <c r="K20" s="14">
        <v>18000</v>
      </c>
      <c r="L20" s="14">
        <f t="shared" si="2"/>
        <v>3420</v>
      </c>
      <c r="M20" s="14">
        <f t="shared" si="3"/>
        <v>21420</v>
      </c>
    </row>
    <row r="21" spans="2:13" s="1" customFormat="1">
      <c r="B21" s="9">
        <v>16</v>
      </c>
      <c r="C21" s="10" t="s">
        <v>49</v>
      </c>
      <c r="D21" s="11" t="s">
        <v>32</v>
      </c>
      <c r="E21" s="12">
        <v>1</v>
      </c>
      <c r="F21" s="12"/>
      <c r="G21" s="13">
        <v>0</v>
      </c>
      <c r="H21" s="14">
        <f t="shared" si="0"/>
        <v>0</v>
      </c>
      <c r="I21" s="14">
        <f t="shared" si="1"/>
        <v>0</v>
      </c>
      <c r="K21" s="14">
        <v>15000</v>
      </c>
      <c r="L21" s="14">
        <f t="shared" si="2"/>
        <v>2850</v>
      </c>
      <c r="M21" s="14">
        <f t="shared" si="3"/>
        <v>17850</v>
      </c>
    </row>
    <row r="22" spans="2:13" s="1" customFormat="1">
      <c r="B22" s="9">
        <v>17</v>
      </c>
      <c r="C22" s="10" t="s">
        <v>50</v>
      </c>
      <c r="D22" s="11" t="s">
        <v>32</v>
      </c>
      <c r="E22" s="12">
        <v>1</v>
      </c>
      <c r="F22" s="12"/>
      <c r="G22" s="13">
        <v>0</v>
      </c>
      <c r="H22" s="14">
        <f t="shared" si="0"/>
        <v>0</v>
      </c>
      <c r="I22" s="14">
        <f t="shared" si="1"/>
        <v>0</v>
      </c>
      <c r="K22" s="14">
        <v>380000</v>
      </c>
      <c r="L22" s="14">
        <f t="shared" si="2"/>
        <v>72200</v>
      </c>
      <c r="M22" s="14">
        <f t="shared" si="3"/>
        <v>452200</v>
      </c>
    </row>
    <row r="23" spans="2:13" s="1" customFormat="1">
      <c r="B23" s="9">
        <v>18</v>
      </c>
      <c r="C23" s="10" t="s">
        <v>51</v>
      </c>
      <c r="D23" s="11" t="s">
        <v>32</v>
      </c>
      <c r="E23" s="12">
        <v>1</v>
      </c>
      <c r="F23" s="12"/>
      <c r="G23" s="13">
        <v>0</v>
      </c>
      <c r="H23" s="14">
        <f t="shared" si="0"/>
        <v>0</v>
      </c>
      <c r="I23" s="14">
        <f t="shared" si="1"/>
        <v>0</v>
      </c>
      <c r="K23" s="14">
        <v>80000</v>
      </c>
      <c r="L23" s="14">
        <f t="shared" si="2"/>
        <v>15200</v>
      </c>
      <c r="M23" s="14">
        <f t="shared" si="3"/>
        <v>95200</v>
      </c>
    </row>
    <row r="24" spans="2:13" s="1" customFormat="1">
      <c r="B24" s="9">
        <v>19</v>
      </c>
      <c r="C24" s="10" t="s">
        <v>52</v>
      </c>
      <c r="D24" s="11" t="s">
        <v>32</v>
      </c>
      <c r="E24" s="12">
        <v>1</v>
      </c>
      <c r="F24" s="12"/>
      <c r="G24" s="13">
        <v>0</v>
      </c>
      <c r="H24" s="14">
        <f t="shared" si="0"/>
        <v>0</v>
      </c>
      <c r="I24" s="14">
        <f t="shared" si="1"/>
        <v>0</v>
      </c>
      <c r="K24" s="14">
        <v>90000</v>
      </c>
      <c r="L24" s="14">
        <f t="shared" si="2"/>
        <v>17100</v>
      </c>
      <c r="M24" s="14">
        <f t="shared" si="3"/>
        <v>107100</v>
      </c>
    </row>
    <row r="25" spans="2:13" s="1" customFormat="1">
      <c r="B25" s="9">
        <v>20</v>
      </c>
      <c r="C25" s="10" t="s">
        <v>53</v>
      </c>
      <c r="D25" s="11" t="s">
        <v>32</v>
      </c>
      <c r="E25" s="12">
        <v>1</v>
      </c>
      <c r="F25" s="12"/>
      <c r="G25" s="13">
        <v>0</v>
      </c>
      <c r="H25" s="14">
        <f t="shared" si="0"/>
        <v>0</v>
      </c>
      <c r="I25" s="14">
        <f t="shared" si="1"/>
        <v>0</v>
      </c>
      <c r="K25" s="14">
        <v>75000</v>
      </c>
      <c r="L25" s="14">
        <f t="shared" si="2"/>
        <v>14250</v>
      </c>
      <c r="M25" s="14">
        <f t="shared" si="3"/>
        <v>89250</v>
      </c>
    </row>
    <row r="26" spans="2:13" s="1" customFormat="1">
      <c r="B26" s="9">
        <v>21</v>
      </c>
      <c r="C26" s="10" t="s">
        <v>54</v>
      </c>
      <c r="D26" s="11" t="s">
        <v>32</v>
      </c>
      <c r="E26" s="12">
        <v>1</v>
      </c>
      <c r="F26" s="12"/>
      <c r="G26" s="13">
        <v>0</v>
      </c>
      <c r="H26" s="14">
        <f t="shared" si="0"/>
        <v>0</v>
      </c>
      <c r="I26" s="14">
        <f t="shared" si="1"/>
        <v>0</v>
      </c>
      <c r="K26" s="14">
        <v>70000</v>
      </c>
      <c r="L26" s="14">
        <f t="shared" si="2"/>
        <v>13300</v>
      </c>
      <c r="M26" s="14">
        <f t="shared" si="3"/>
        <v>83300</v>
      </c>
    </row>
    <row r="27" spans="2:13" s="1" customFormat="1">
      <c r="B27" s="9">
        <v>22</v>
      </c>
      <c r="C27" s="10" t="s">
        <v>55</v>
      </c>
      <c r="D27" s="11" t="s">
        <v>32</v>
      </c>
      <c r="E27" s="12">
        <v>1</v>
      </c>
      <c r="F27" s="12"/>
      <c r="G27" s="13">
        <v>0</v>
      </c>
      <c r="H27" s="14">
        <f t="shared" si="0"/>
        <v>0</v>
      </c>
      <c r="I27" s="14">
        <f t="shared" si="1"/>
        <v>0</v>
      </c>
      <c r="K27" s="14">
        <v>65000</v>
      </c>
      <c r="L27" s="14">
        <f t="shared" si="2"/>
        <v>12350</v>
      </c>
      <c r="M27" s="14">
        <f t="shared" si="3"/>
        <v>77350</v>
      </c>
    </row>
    <row r="28" spans="2:13">
      <c r="I28" s="18">
        <f>SUM(I6:I27)</f>
        <v>0</v>
      </c>
    </row>
    <row r="30" spans="2:13" ht="15.75">
      <c r="C30" s="15" t="s">
        <v>56</v>
      </c>
      <c r="D30" s="230"/>
      <c r="E30" s="230"/>
      <c r="F30" s="230"/>
      <c r="G30" s="230"/>
      <c r="H30" s="230"/>
      <c r="I30" s="230"/>
      <c r="J30" s="230"/>
    </row>
    <row r="31" spans="2:13" ht="15.75">
      <c r="C31" s="15" t="s">
        <v>57</v>
      </c>
      <c r="D31" s="230"/>
      <c r="E31" s="230"/>
      <c r="F31" s="230"/>
      <c r="G31" s="230"/>
      <c r="H31" s="230"/>
      <c r="I31" s="230"/>
      <c r="J31" s="230"/>
    </row>
    <row r="32" spans="2:13" ht="15.75">
      <c r="C32" s="15" t="s">
        <v>58</v>
      </c>
      <c r="D32" s="230"/>
      <c r="E32" s="230"/>
      <c r="F32" s="230"/>
      <c r="G32" s="230"/>
      <c r="H32" s="230"/>
      <c r="I32" s="230"/>
      <c r="J32" s="230"/>
    </row>
    <row r="33" spans="3:10" ht="15.75">
      <c r="C33" s="16" t="s">
        <v>59</v>
      </c>
      <c r="D33" s="230"/>
      <c r="E33" s="230"/>
      <c r="F33" s="230"/>
      <c r="G33" s="230"/>
      <c r="H33" s="230"/>
      <c r="I33" s="230"/>
      <c r="J33" s="230"/>
    </row>
    <row r="34" spans="3:10" ht="15.75">
      <c r="C34" s="16" t="s">
        <v>60</v>
      </c>
      <c r="D34" s="230"/>
      <c r="E34" s="230"/>
      <c r="F34" s="230"/>
      <c r="G34" s="230"/>
      <c r="H34" s="230"/>
      <c r="I34" s="230"/>
      <c r="J34" s="230"/>
    </row>
    <row r="35" spans="3:10" ht="15.75">
      <c r="C35" s="16" t="s">
        <v>61</v>
      </c>
      <c r="D35" s="230"/>
      <c r="E35" s="230"/>
      <c r="F35" s="230"/>
      <c r="G35" s="230"/>
      <c r="H35" s="230"/>
      <c r="I35" s="230"/>
      <c r="J35" s="230"/>
    </row>
  </sheetData>
  <sheetProtection password="9DE2" sheet="1" objects="1" scenarios="1"/>
  <mergeCells count="13">
    <mergeCell ref="C1:I1"/>
    <mergeCell ref="G2:I2"/>
    <mergeCell ref="G3:I3"/>
    <mergeCell ref="K3:M3"/>
    <mergeCell ref="B5:C5"/>
    <mergeCell ref="D35:J35"/>
    <mergeCell ref="B3:B4"/>
    <mergeCell ref="C3:C4"/>
    <mergeCell ref="D30:J30"/>
    <mergeCell ref="D31:J31"/>
    <mergeCell ref="D32:J32"/>
    <mergeCell ref="D33:J33"/>
    <mergeCell ref="D34:J34"/>
  </mergeCell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ANEXO 1 - COTIZACION</vt:lpstr>
      <vt:lpstr>ANEXO 2 - COSTO HISTORICO</vt:lpstr>
      <vt:lpstr>ANEXO 3 - PROY COSTOS</vt:lpstr>
      <vt:lpstr>ANEXO P FINAL</vt:lpstr>
      <vt:lpstr>OFERTA LISTA DE REPUESTOS</vt:lpstr>
      <vt:lpstr>'ANEXO 3 - PROY COSTOS'!Área_de_impresión</vt:lpstr>
      <vt:lpstr>'ANEXO P FINAL'!Área_de_impresión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Natalia Ximena Becerra Torres</cp:lastModifiedBy>
  <cp:lastPrinted>2025-03-04T18:38:08Z</cp:lastPrinted>
  <dcterms:created xsi:type="dcterms:W3CDTF">2021-09-22T22:28:00Z</dcterms:created>
  <dcterms:modified xsi:type="dcterms:W3CDTF">2025-04-02T16:17:58Z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1033-12.2.0.17545</vt:lpwstr>
  </property>
  <property fmtid="{D5CDD505-2E9C-101B-9397-08002B2CF9AE}" pid="3" name="ICV">
    <vt:lpwstr>15778F7FAB104ED0938FC322C325DB4C_13</vt:lpwstr>
  </property>
</Properties>
</file>