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24226"/>
  <mc:AlternateContent xmlns:mc="http://schemas.openxmlformats.org/markup-compatibility/2006">
    <mc:Choice Requires="x15">
      <x15ac:absPath xmlns:x15ac="http://schemas.microsoft.com/office/spreadsheetml/2010/11/ac" url="https://d.docs.live.net/2354c2f6943eac38/TRABAJO/SDA/PROCESO DGC/2025/EME - 002/"/>
    </mc:Choice>
  </mc:AlternateContent>
  <xr:revisionPtr revIDLastSave="0" documentId="8_{E23A48A2-3E1C-446C-9CF1-20A181A8C9E7}" xr6:coauthVersionLast="47" xr6:coauthVersionMax="47" xr10:uidLastSave="{00000000-0000-0000-0000-000000000000}"/>
  <bookViews>
    <workbookView xWindow="-120" yWindow="-120" windowWidth="20730" windowHeight="11040" xr2:uid="{00000000-000D-0000-FFFF-FFFF00000000}"/>
  </bookViews>
  <sheets>
    <sheet name="ESTUDIO DE MERCADO TOTAL " sheetId="14" r:id="rId1"/>
    <sheet name="Hoja2" sheetId="22" state="hidden" r:id="rId2"/>
    <sheet name="Hoja3" sheetId="23" state="hidden" r:id="rId3"/>
    <sheet name="Hoja1" sheetId="20" state="hidden" r:id="rId4"/>
    <sheet name="COLSAM" sheetId="15" r:id="rId5"/>
    <sheet name="TESCOL" sheetId="24" r:id="rId6"/>
    <sheet name="SOLHID" sheetId="25" r:id="rId7"/>
    <sheet name="PRADO" sheetId="26" r:id="rId8"/>
  </sheets>
  <definedNames>
    <definedName name="_xlnm._FilterDatabase" localSheetId="0" hidden="1">'ESTUDIO DE MERCADO TOTAL '!$A$2:$W$52</definedName>
    <definedName name="_xlnm.Print_Area" localSheetId="0">'ESTUDIO DE MERCADO TOTAL '!$A$1:$V$4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14" l="1"/>
  <c r="I5" i="14"/>
  <c r="I6" i="14"/>
  <c r="I7" i="14"/>
  <c r="I8" i="14"/>
  <c r="I9" i="14"/>
  <c r="I10" i="14"/>
  <c r="I11" i="14"/>
  <c r="I12" i="14"/>
  <c r="I13" i="14"/>
  <c r="I14" i="14"/>
  <c r="I15" i="14"/>
  <c r="I16" i="14"/>
  <c r="I17" i="14"/>
  <c r="I18" i="14"/>
  <c r="I19" i="14"/>
  <c r="I20" i="14"/>
  <c r="I21" i="14"/>
  <c r="I22" i="14"/>
  <c r="I23" i="14"/>
  <c r="I24" i="14"/>
  <c r="I25" i="14"/>
  <c r="I26" i="14"/>
  <c r="I27" i="14"/>
  <c r="I28" i="14"/>
  <c r="I29" i="14"/>
  <c r="I30" i="14"/>
  <c r="I31" i="14"/>
  <c r="I32" i="14"/>
  <c r="I33" i="14"/>
  <c r="I34" i="14"/>
  <c r="I35" i="14"/>
  <c r="I36" i="14"/>
  <c r="I37" i="14"/>
  <c r="I38" i="14"/>
  <c r="I39" i="14"/>
  <c r="I40" i="14"/>
  <c r="I41" i="14"/>
  <c r="I42" i="14"/>
  <c r="I43" i="14"/>
  <c r="I44" i="14"/>
  <c r="I45" i="14"/>
  <c r="I46" i="14"/>
  <c r="I47" i="14"/>
  <c r="I48" i="14"/>
  <c r="I49" i="14"/>
  <c r="I50" i="14"/>
  <c r="I51" i="14"/>
  <c r="I3" i="14"/>
  <c r="F50" i="26" l="1"/>
  <c r="G50" i="26" s="1"/>
  <c r="H50" i="26" s="1"/>
  <c r="F48" i="26"/>
  <c r="G48" i="26" s="1"/>
  <c r="H48" i="26" s="1"/>
  <c r="F47" i="26"/>
  <c r="G47" i="26" s="1"/>
  <c r="H47" i="26" s="1"/>
  <c r="F46" i="26"/>
  <c r="G46" i="26" s="1"/>
  <c r="H46" i="26" s="1"/>
  <c r="F44" i="26"/>
  <c r="G44" i="26" s="1"/>
  <c r="H44" i="26" s="1"/>
  <c r="F43" i="26"/>
  <c r="G43" i="26" s="1"/>
  <c r="H43" i="26" s="1"/>
  <c r="F41" i="26"/>
  <c r="G41" i="26" s="1"/>
  <c r="H41" i="26" s="1"/>
  <c r="F40" i="26"/>
  <c r="G40" i="26" s="1"/>
  <c r="H40" i="26" s="1"/>
  <c r="F39" i="26"/>
  <c r="G39" i="26" s="1"/>
  <c r="H39" i="26" s="1"/>
  <c r="F38" i="26"/>
  <c r="F37" i="26"/>
  <c r="G37" i="26" s="1"/>
  <c r="H37" i="26" s="1"/>
  <c r="F35" i="26"/>
  <c r="G35" i="26" s="1"/>
  <c r="H35" i="26" s="1"/>
  <c r="F33" i="26"/>
  <c r="G33" i="26" s="1"/>
  <c r="H33" i="26" s="1"/>
  <c r="F31" i="26"/>
  <c r="G31" i="26" s="1"/>
  <c r="H31" i="26" s="1"/>
  <c r="F29" i="26"/>
  <c r="G29" i="26" s="1"/>
  <c r="H29" i="26" s="1"/>
  <c r="F27" i="26"/>
  <c r="G27" i="26" s="1"/>
  <c r="H27" i="26" s="1"/>
  <c r="F25" i="26"/>
  <c r="G25" i="26" s="1"/>
  <c r="H25" i="26" s="1"/>
  <c r="F23" i="26"/>
  <c r="G23" i="26" s="1"/>
  <c r="H23" i="26" s="1"/>
  <c r="F21" i="26"/>
  <c r="G21" i="26" s="1"/>
  <c r="H21" i="26" s="1"/>
  <c r="F19" i="26"/>
  <c r="G19" i="26" s="1"/>
  <c r="H19" i="26" s="1"/>
  <c r="F17" i="26"/>
  <c r="G17" i="26" s="1"/>
  <c r="H17" i="26" s="1"/>
  <c r="F15" i="26"/>
  <c r="G15" i="26" s="1"/>
  <c r="H15" i="26" s="1"/>
  <c r="F13" i="26"/>
  <c r="G13" i="26" s="1"/>
  <c r="H13" i="26" s="1"/>
  <c r="F11" i="26"/>
  <c r="G11" i="26" s="1"/>
  <c r="H11" i="26" s="1"/>
  <c r="F9" i="26"/>
  <c r="G9" i="26" s="1"/>
  <c r="H9" i="26" s="1"/>
  <c r="F7" i="26"/>
  <c r="G7" i="26" s="1"/>
  <c r="H7" i="26" s="1"/>
  <c r="F5" i="26"/>
  <c r="G5" i="26" s="1"/>
  <c r="H5" i="26" s="1"/>
  <c r="F3" i="26"/>
  <c r="G3" i="26" s="1"/>
  <c r="H3" i="26" s="1"/>
  <c r="E49" i="25"/>
  <c r="E48" i="25"/>
  <c r="E46" i="25"/>
  <c r="E45" i="25"/>
  <c r="E44" i="25"/>
  <c r="E42" i="25"/>
  <c r="E39" i="25"/>
  <c r="E38" i="25"/>
  <c r="E30" i="25"/>
  <c r="E12" i="25"/>
  <c r="E20" i="25"/>
  <c r="G10" i="26" l="1"/>
  <c r="H10" i="26" s="1"/>
  <c r="F42" i="26"/>
  <c r="G42" i="26" s="1"/>
  <c r="H42" i="26" s="1"/>
  <c r="F49" i="26"/>
  <c r="G49" i="26" s="1"/>
  <c r="H49" i="26" s="1"/>
  <c r="F2" i="26"/>
  <c r="G2" i="26" s="1"/>
  <c r="H2" i="26" s="1"/>
  <c r="F4" i="26"/>
  <c r="G4" i="26" s="1"/>
  <c r="H4" i="26" s="1"/>
  <c r="F6" i="26"/>
  <c r="G6" i="26" s="1"/>
  <c r="H6" i="26" s="1"/>
  <c r="F8" i="26"/>
  <c r="G8" i="26" s="1"/>
  <c r="H8" i="26" s="1"/>
  <c r="F10" i="26"/>
  <c r="F12" i="26"/>
  <c r="G12" i="26" s="1"/>
  <c r="H12" i="26" s="1"/>
  <c r="F14" i="26"/>
  <c r="G14" i="26" s="1"/>
  <c r="H14" i="26" s="1"/>
  <c r="F16" i="26"/>
  <c r="G16" i="26" s="1"/>
  <c r="H16" i="26" s="1"/>
  <c r="F18" i="26"/>
  <c r="G18" i="26" s="1"/>
  <c r="H18" i="26" s="1"/>
  <c r="F20" i="26"/>
  <c r="G20" i="26" s="1"/>
  <c r="H20" i="26" s="1"/>
  <c r="F22" i="26"/>
  <c r="G22" i="26" s="1"/>
  <c r="H22" i="26" s="1"/>
  <c r="F24" i="26"/>
  <c r="G24" i="26" s="1"/>
  <c r="H24" i="26" s="1"/>
  <c r="F26" i="26"/>
  <c r="G26" i="26" s="1"/>
  <c r="H26" i="26" s="1"/>
  <c r="F28" i="26"/>
  <c r="G28" i="26" s="1"/>
  <c r="H28" i="26" s="1"/>
  <c r="F30" i="26"/>
  <c r="G30" i="26" s="1"/>
  <c r="H30" i="26" s="1"/>
  <c r="F32" i="26"/>
  <c r="G32" i="26" s="1"/>
  <c r="H32" i="26" s="1"/>
  <c r="F34" i="26"/>
  <c r="G34" i="26" s="1"/>
  <c r="H34" i="26" s="1"/>
  <c r="F36" i="26"/>
  <c r="G36" i="26" s="1"/>
  <c r="H36" i="26" s="1"/>
  <c r="G38" i="26"/>
  <c r="H38" i="26" s="1"/>
  <c r="F45" i="26"/>
  <c r="G45" i="26" s="1"/>
  <c r="H45" i="26" s="1"/>
  <c r="F4" i="14"/>
  <c r="F5" i="14"/>
  <c r="F6" i="14"/>
  <c r="F7" i="14"/>
  <c r="F8" i="14"/>
  <c r="F9" i="14"/>
  <c r="F10" i="14"/>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48" i="14"/>
  <c r="F49" i="14"/>
  <c r="F50" i="14"/>
  <c r="F51" i="14"/>
  <c r="U49" i="14"/>
  <c r="T49" i="14"/>
  <c r="U48" i="14"/>
  <c r="T48" i="14"/>
  <c r="U47" i="14"/>
  <c r="T47" i="14"/>
  <c r="U46" i="14"/>
  <c r="T46" i="14"/>
  <c r="U45" i="14"/>
  <c r="T45" i="14"/>
  <c r="U44" i="14"/>
  <c r="T44" i="14"/>
  <c r="U43" i="14"/>
  <c r="T43" i="14"/>
  <c r="U42" i="14"/>
  <c r="T42" i="14"/>
  <c r="U41" i="14"/>
  <c r="T41" i="14"/>
  <c r="U40" i="14"/>
  <c r="T40" i="14"/>
  <c r="U39" i="14"/>
  <c r="T39" i="14"/>
  <c r="U38" i="14"/>
  <c r="T38" i="14"/>
  <c r="U37" i="14"/>
  <c r="T37" i="14"/>
  <c r="U36" i="14"/>
  <c r="T36" i="14"/>
  <c r="U35" i="14"/>
  <c r="T35" i="14"/>
  <c r="U34" i="14"/>
  <c r="T34" i="14"/>
  <c r="U33" i="14"/>
  <c r="T33" i="14"/>
  <c r="U32" i="14"/>
  <c r="T32" i="14"/>
  <c r="U31" i="14"/>
  <c r="T31" i="14"/>
  <c r="U30" i="14"/>
  <c r="T30" i="14"/>
  <c r="U29" i="14"/>
  <c r="T29" i="14"/>
  <c r="U28" i="14"/>
  <c r="T28" i="14"/>
  <c r="U27" i="14"/>
  <c r="T27" i="14"/>
  <c r="U26" i="14"/>
  <c r="T26" i="14"/>
  <c r="U25" i="14"/>
  <c r="T25" i="14"/>
  <c r="U24" i="14"/>
  <c r="T24" i="14"/>
  <c r="U23" i="14"/>
  <c r="T23" i="14"/>
  <c r="G4" i="14"/>
  <c r="G5" i="14"/>
  <c r="G6" i="14"/>
  <c r="G7" i="14"/>
  <c r="G9" i="14"/>
  <c r="G10" i="14"/>
  <c r="G11" i="14"/>
  <c r="G12" i="14"/>
  <c r="G13" i="14"/>
  <c r="G14" i="14"/>
  <c r="G15" i="14"/>
  <c r="G3" i="14"/>
  <c r="H4" i="14"/>
  <c r="H5" i="14"/>
  <c r="H6" i="14"/>
  <c r="H7" i="14"/>
  <c r="H8" i="14"/>
  <c r="H9" i="14"/>
  <c r="H10" i="14"/>
  <c r="H11" i="14"/>
  <c r="H12" i="14"/>
  <c r="H14" i="14"/>
  <c r="H15" i="14"/>
  <c r="H16" i="14"/>
  <c r="H17" i="14"/>
  <c r="H18" i="14"/>
  <c r="H19" i="14"/>
  <c r="H20" i="14"/>
  <c r="H22" i="14"/>
  <c r="H23" i="14"/>
  <c r="H24" i="14"/>
  <c r="H25" i="14"/>
  <c r="H26" i="14"/>
  <c r="H27" i="14"/>
  <c r="H28" i="14"/>
  <c r="H29" i="14"/>
  <c r="H30" i="14"/>
  <c r="H32" i="14"/>
  <c r="H33" i="14"/>
  <c r="H34" i="14"/>
  <c r="H35" i="14"/>
  <c r="H36" i="14"/>
  <c r="H37" i="14"/>
  <c r="H38" i="14"/>
  <c r="H41" i="14"/>
  <c r="H42" i="14"/>
  <c r="H44" i="14"/>
  <c r="H48" i="14"/>
  <c r="H51" i="14"/>
  <c r="H3" i="14"/>
  <c r="E36" i="25"/>
  <c r="E35" i="25"/>
  <c r="E34" i="25"/>
  <c r="E33" i="25"/>
  <c r="E32" i="25"/>
  <c r="E31" i="25"/>
  <c r="E29" i="25"/>
  <c r="E28" i="25"/>
  <c r="E27" i="25"/>
  <c r="E26" i="25"/>
  <c r="E25" i="25"/>
  <c r="E24" i="25"/>
  <c r="E23" i="25"/>
  <c r="E22" i="25"/>
  <c r="E21" i="25"/>
  <c r="E19" i="25"/>
  <c r="E18" i="25"/>
  <c r="E17" i="25"/>
  <c r="E16" i="25"/>
  <c r="E15" i="25"/>
  <c r="E14" i="25"/>
  <c r="E13" i="25"/>
  <c r="E11" i="25"/>
  <c r="E10" i="25"/>
  <c r="E9" i="25"/>
  <c r="E8" i="25"/>
  <c r="E7" i="25"/>
  <c r="E6" i="25"/>
  <c r="E5" i="25"/>
  <c r="E4" i="25"/>
  <c r="E3" i="25"/>
  <c r="E2" i="25"/>
  <c r="H51" i="26" l="1"/>
  <c r="F50" i="25"/>
  <c r="G50" i="25" s="1"/>
  <c r="H50" i="25" s="1"/>
  <c r="F49" i="25"/>
  <c r="G49" i="25" s="1"/>
  <c r="F48" i="25"/>
  <c r="G48" i="25" s="1"/>
  <c r="F47" i="25"/>
  <c r="G47" i="25" s="1"/>
  <c r="H47" i="25" s="1"/>
  <c r="F46" i="25"/>
  <c r="G46" i="25" s="1"/>
  <c r="F45" i="25"/>
  <c r="G45" i="25" s="1"/>
  <c r="F44" i="25"/>
  <c r="G44" i="25" s="1"/>
  <c r="F43" i="25"/>
  <c r="G43" i="25" s="1"/>
  <c r="H43" i="25" s="1"/>
  <c r="F42" i="25"/>
  <c r="G42" i="25" s="1"/>
  <c r="F41" i="25"/>
  <c r="G41" i="25" s="1"/>
  <c r="H41" i="25" s="1"/>
  <c r="F40" i="25"/>
  <c r="G40" i="25" s="1"/>
  <c r="H40" i="25" s="1"/>
  <c r="F39" i="25"/>
  <c r="G39" i="25" s="1"/>
  <c r="F38" i="25"/>
  <c r="G38" i="25" s="1"/>
  <c r="F37" i="25"/>
  <c r="G37" i="25" s="1"/>
  <c r="H37" i="25" s="1"/>
  <c r="G36" i="25"/>
  <c r="H36" i="25" s="1"/>
  <c r="F36" i="25"/>
  <c r="F35" i="25"/>
  <c r="G35" i="25" s="1"/>
  <c r="H35" i="25" s="1"/>
  <c r="G34" i="25"/>
  <c r="H34" i="25" s="1"/>
  <c r="F34" i="25"/>
  <c r="F33" i="25"/>
  <c r="G33" i="25" s="1"/>
  <c r="H33" i="25" s="1"/>
  <c r="F32" i="25"/>
  <c r="G32" i="25" s="1"/>
  <c r="H32" i="25" s="1"/>
  <c r="G31" i="25"/>
  <c r="H31" i="25" s="1"/>
  <c r="F31" i="25"/>
  <c r="F30" i="25"/>
  <c r="G30" i="25" s="1"/>
  <c r="F29" i="25"/>
  <c r="G29" i="25" s="1"/>
  <c r="H29" i="25" s="1"/>
  <c r="F28" i="25"/>
  <c r="G28" i="25" s="1"/>
  <c r="H28" i="25" s="1"/>
  <c r="F27" i="25"/>
  <c r="G27" i="25" s="1"/>
  <c r="H27" i="25" s="1"/>
  <c r="F26" i="25"/>
  <c r="G26" i="25" s="1"/>
  <c r="H26" i="25" s="1"/>
  <c r="F25" i="25"/>
  <c r="G25" i="25" s="1"/>
  <c r="H25" i="25" s="1"/>
  <c r="F24" i="25"/>
  <c r="G24" i="25" s="1"/>
  <c r="H24" i="25" s="1"/>
  <c r="H23" i="25"/>
  <c r="G23" i="25"/>
  <c r="F23" i="25"/>
  <c r="F22" i="25"/>
  <c r="G22" i="25" s="1"/>
  <c r="H22" i="25" s="1"/>
  <c r="F21" i="25"/>
  <c r="G21" i="25" s="1"/>
  <c r="H21" i="25" s="1"/>
  <c r="F20" i="25"/>
  <c r="G20" i="25" s="1"/>
  <c r="F19" i="25"/>
  <c r="G19" i="25" s="1"/>
  <c r="H19" i="25" s="1"/>
  <c r="F18" i="25"/>
  <c r="G18" i="25" s="1"/>
  <c r="H18" i="25" s="1"/>
  <c r="F17" i="25"/>
  <c r="G17" i="25" s="1"/>
  <c r="H17" i="25" s="1"/>
  <c r="F16" i="25"/>
  <c r="G16" i="25" s="1"/>
  <c r="H16" i="25" s="1"/>
  <c r="F15" i="25"/>
  <c r="G15" i="25" s="1"/>
  <c r="H15" i="25" s="1"/>
  <c r="F14" i="25"/>
  <c r="G14" i="25" s="1"/>
  <c r="H14" i="25" s="1"/>
  <c r="F13" i="25"/>
  <c r="G13" i="25" s="1"/>
  <c r="H13" i="25" s="1"/>
  <c r="F12" i="25"/>
  <c r="G12" i="25" s="1"/>
  <c r="F11" i="25"/>
  <c r="G11" i="25" s="1"/>
  <c r="H11" i="25" s="1"/>
  <c r="G10" i="25"/>
  <c r="H10" i="25" s="1"/>
  <c r="F10" i="25"/>
  <c r="F9" i="25"/>
  <c r="G9" i="25" s="1"/>
  <c r="H9" i="25" s="1"/>
  <c r="F8" i="25"/>
  <c r="G8" i="25" s="1"/>
  <c r="H8" i="25" s="1"/>
  <c r="F7" i="25"/>
  <c r="G7" i="25" s="1"/>
  <c r="H7" i="25" s="1"/>
  <c r="F6" i="25"/>
  <c r="G6" i="25" s="1"/>
  <c r="H6" i="25" s="1"/>
  <c r="F5" i="25"/>
  <c r="G5" i="25" s="1"/>
  <c r="H5" i="25" s="1"/>
  <c r="F4" i="25"/>
  <c r="G4" i="25" s="1"/>
  <c r="H4" i="25" s="1"/>
  <c r="F3" i="25"/>
  <c r="G3" i="25" s="1"/>
  <c r="H3" i="25" s="1"/>
  <c r="F2" i="25"/>
  <c r="G2" i="25" s="1"/>
  <c r="H2" i="25" s="1"/>
  <c r="F50" i="24"/>
  <c r="G50" i="24" s="1"/>
  <c r="F49" i="24"/>
  <c r="G49" i="24" s="1"/>
  <c r="F48" i="24"/>
  <c r="G48" i="24" s="1"/>
  <c r="F47" i="24"/>
  <c r="G47" i="24" s="1"/>
  <c r="F46" i="24"/>
  <c r="G46" i="24" s="1"/>
  <c r="F45" i="24"/>
  <c r="G45" i="24" s="1"/>
  <c r="F44" i="24"/>
  <c r="G44" i="24" s="1"/>
  <c r="F43" i="24"/>
  <c r="G43" i="24" s="1"/>
  <c r="F42" i="24"/>
  <c r="G42" i="24" s="1"/>
  <c r="F41" i="24"/>
  <c r="G41" i="24" s="1"/>
  <c r="F40" i="24"/>
  <c r="G40" i="24" s="1"/>
  <c r="F39" i="24"/>
  <c r="G39" i="24" s="1"/>
  <c r="F38" i="24"/>
  <c r="G38" i="24" s="1"/>
  <c r="F37" i="24"/>
  <c r="G37" i="24" s="1"/>
  <c r="F36" i="24"/>
  <c r="G36" i="24" s="1"/>
  <c r="F35" i="24"/>
  <c r="G35" i="24" s="1"/>
  <c r="F34" i="24"/>
  <c r="G34" i="24" s="1"/>
  <c r="F33" i="24"/>
  <c r="G33" i="24" s="1"/>
  <c r="F32" i="24"/>
  <c r="G32" i="24" s="1"/>
  <c r="F31" i="24"/>
  <c r="G31" i="24" s="1"/>
  <c r="F30" i="24"/>
  <c r="G30" i="24" s="1"/>
  <c r="F29" i="24"/>
  <c r="G29" i="24" s="1"/>
  <c r="F28" i="24"/>
  <c r="G28" i="24" s="1"/>
  <c r="F27" i="24"/>
  <c r="G27" i="24" s="1"/>
  <c r="F26" i="24"/>
  <c r="G26" i="24" s="1"/>
  <c r="F25" i="24"/>
  <c r="G25" i="24" s="1"/>
  <c r="F24" i="24"/>
  <c r="G24" i="24" s="1"/>
  <c r="F23" i="24"/>
  <c r="G23" i="24" s="1"/>
  <c r="F22" i="24"/>
  <c r="G22" i="24" s="1"/>
  <c r="F21" i="24"/>
  <c r="G21" i="24" s="1"/>
  <c r="F20" i="24"/>
  <c r="G20" i="24" s="1"/>
  <c r="F19" i="24"/>
  <c r="G19" i="24" s="1"/>
  <c r="F18" i="24"/>
  <c r="G18" i="24" s="1"/>
  <c r="F17" i="24"/>
  <c r="G17" i="24" s="1"/>
  <c r="F16" i="24"/>
  <c r="G16" i="24" s="1"/>
  <c r="F15" i="24"/>
  <c r="G15" i="24" s="1"/>
  <c r="F14" i="24"/>
  <c r="G14" i="24" s="1"/>
  <c r="F13" i="24"/>
  <c r="G13" i="24" s="1"/>
  <c r="F12" i="24"/>
  <c r="G12" i="24" s="1"/>
  <c r="F11" i="24"/>
  <c r="G11" i="24" s="1"/>
  <c r="H11" i="24" s="1"/>
  <c r="F10" i="24"/>
  <c r="G10" i="24" s="1"/>
  <c r="H10" i="24" s="1"/>
  <c r="F9" i="24"/>
  <c r="G9" i="24" s="1"/>
  <c r="H9" i="24" s="1"/>
  <c r="F8" i="24"/>
  <c r="G8" i="24" s="1"/>
  <c r="H8" i="24" s="1"/>
  <c r="F7" i="24"/>
  <c r="G7" i="24" s="1"/>
  <c r="F6" i="24"/>
  <c r="G6" i="24" s="1"/>
  <c r="H6" i="24" s="1"/>
  <c r="F5" i="24"/>
  <c r="G5" i="24" s="1"/>
  <c r="H5" i="24" s="1"/>
  <c r="F4" i="24"/>
  <c r="G4" i="24" s="1"/>
  <c r="H4" i="24" s="1"/>
  <c r="F3" i="24"/>
  <c r="G3" i="24" s="1"/>
  <c r="H3" i="24" s="1"/>
  <c r="F2" i="24"/>
  <c r="G2" i="24" s="1"/>
  <c r="H2" i="24" s="1"/>
  <c r="F48" i="15"/>
  <c r="G48" i="15" s="1"/>
  <c r="H48" i="15" s="1"/>
  <c r="F47" i="15"/>
  <c r="G47" i="15" s="1"/>
  <c r="H47" i="15" s="1"/>
  <c r="F46" i="15"/>
  <c r="G46" i="15" s="1"/>
  <c r="H46" i="15" s="1"/>
  <c r="F45" i="15"/>
  <c r="G45" i="15" s="1"/>
  <c r="H45" i="15" s="1"/>
  <c r="F44" i="15"/>
  <c r="G44" i="15" s="1"/>
  <c r="H44" i="15" s="1"/>
  <c r="F43" i="15"/>
  <c r="G43" i="15" s="1"/>
  <c r="H43" i="15" s="1"/>
  <c r="F42" i="15"/>
  <c r="G42" i="15" s="1"/>
  <c r="H42" i="15" s="1"/>
  <c r="F41" i="15"/>
  <c r="G41" i="15" s="1"/>
  <c r="H41" i="15" s="1"/>
  <c r="F40" i="15"/>
  <c r="G40" i="15" s="1"/>
  <c r="H40" i="15" s="1"/>
  <c r="F39" i="15"/>
  <c r="G39" i="15" s="1"/>
  <c r="H39" i="15" s="1"/>
  <c r="F38" i="15"/>
  <c r="G38" i="15" s="1"/>
  <c r="H38" i="15" s="1"/>
  <c r="F37" i="15"/>
  <c r="G37" i="15" s="1"/>
  <c r="H37" i="15" s="1"/>
  <c r="F36" i="15"/>
  <c r="G36" i="15" s="1"/>
  <c r="H36" i="15" s="1"/>
  <c r="F35" i="15"/>
  <c r="G35" i="15" s="1"/>
  <c r="H35" i="15" s="1"/>
  <c r="F34" i="15"/>
  <c r="G34" i="15" s="1"/>
  <c r="H34" i="15" s="1"/>
  <c r="F33" i="15"/>
  <c r="G33" i="15" s="1"/>
  <c r="H33" i="15" s="1"/>
  <c r="F32" i="15"/>
  <c r="G32" i="15" s="1"/>
  <c r="H32" i="15" s="1"/>
  <c r="F31" i="15"/>
  <c r="G31" i="15" s="1"/>
  <c r="H31" i="15" s="1"/>
  <c r="F30" i="15"/>
  <c r="G30" i="15" s="1"/>
  <c r="H30" i="15" s="1"/>
  <c r="F29" i="15"/>
  <c r="G29" i="15" s="1"/>
  <c r="H29" i="15" s="1"/>
  <c r="F28" i="15"/>
  <c r="G28" i="15" s="1"/>
  <c r="H28" i="15" s="1"/>
  <c r="F27" i="15"/>
  <c r="G27" i="15" s="1"/>
  <c r="H27" i="15" s="1"/>
  <c r="F26" i="15"/>
  <c r="G26" i="15" s="1"/>
  <c r="H26" i="15" s="1"/>
  <c r="F25" i="15"/>
  <c r="G25" i="15" s="1"/>
  <c r="H25" i="15" s="1"/>
  <c r="F24" i="15"/>
  <c r="G24" i="15" s="1"/>
  <c r="H24" i="15" s="1"/>
  <c r="F23" i="15"/>
  <c r="G23" i="15" s="1"/>
  <c r="H23" i="15" s="1"/>
  <c r="F22" i="15"/>
  <c r="G22" i="15" s="1"/>
  <c r="H22" i="15" s="1"/>
  <c r="J26" i="23"/>
  <c r="J25" i="23"/>
  <c r="J24" i="23"/>
  <c r="J23" i="23"/>
  <c r="J22" i="23"/>
  <c r="J21" i="23"/>
  <c r="J20" i="23"/>
  <c r="J19" i="23"/>
  <c r="J18" i="23"/>
  <c r="J17" i="23"/>
  <c r="J16" i="23"/>
  <c r="J15" i="23"/>
  <c r="J14" i="23"/>
  <c r="J13" i="23"/>
  <c r="J12" i="23"/>
  <c r="J11" i="23"/>
  <c r="J10" i="23"/>
  <c r="J9" i="23"/>
  <c r="J8" i="23"/>
  <c r="J7" i="23"/>
  <c r="J6" i="23"/>
  <c r="J5" i="23"/>
  <c r="I28" i="23"/>
  <c r="T4" i="14"/>
  <c r="U4" i="14"/>
  <c r="T5" i="14"/>
  <c r="U5" i="14"/>
  <c r="T6" i="14"/>
  <c r="U6" i="14"/>
  <c r="T7" i="14"/>
  <c r="U7" i="14"/>
  <c r="T8" i="14"/>
  <c r="U8" i="14"/>
  <c r="T9" i="14"/>
  <c r="U9" i="14"/>
  <c r="T10" i="14"/>
  <c r="U10" i="14"/>
  <c r="T11" i="14"/>
  <c r="U11" i="14"/>
  <c r="T12" i="14"/>
  <c r="U12" i="14"/>
  <c r="T13" i="14"/>
  <c r="U13" i="14"/>
  <c r="T14" i="14"/>
  <c r="U14" i="14"/>
  <c r="T15" i="14"/>
  <c r="U15" i="14"/>
  <c r="T16" i="14"/>
  <c r="U16" i="14"/>
  <c r="T17" i="14"/>
  <c r="U17" i="14"/>
  <c r="T18" i="14"/>
  <c r="U18" i="14"/>
  <c r="T19" i="14"/>
  <c r="U19" i="14"/>
  <c r="T20" i="14"/>
  <c r="U20" i="14"/>
  <c r="T21" i="14"/>
  <c r="U21" i="14"/>
  <c r="T22" i="14"/>
  <c r="U22" i="14"/>
  <c r="T50" i="14"/>
  <c r="U50" i="14"/>
  <c r="T51" i="14"/>
  <c r="U51" i="14"/>
  <c r="H49" i="25" l="1"/>
  <c r="H50" i="14"/>
  <c r="H48" i="25"/>
  <c r="H49" i="14"/>
  <c r="H46" i="25"/>
  <c r="H47" i="14"/>
  <c r="H45" i="25"/>
  <c r="H46" i="14"/>
  <c r="H44" i="25"/>
  <c r="H45" i="14"/>
  <c r="H42" i="25"/>
  <c r="H43" i="14"/>
  <c r="H40" i="14"/>
  <c r="H39" i="25"/>
  <c r="H38" i="25"/>
  <c r="H39" i="14"/>
  <c r="H7" i="24"/>
  <c r="G8" i="14"/>
  <c r="H30" i="25"/>
  <c r="H31" i="14"/>
  <c r="H12" i="25"/>
  <c r="H13" i="14"/>
  <c r="H20" i="25"/>
  <c r="H21" i="14"/>
  <c r="H50" i="24"/>
  <c r="G51" i="14"/>
  <c r="H49" i="24"/>
  <c r="G50" i="14"/>
  <c r="H48" i="24"/>
  <c r="G49" i="14"/>
  <c r="H47" i="24"/>
  <c r="G48" i="14"/>
  <c r="H46" i="24"/>
  <c r="G47" i="14"/>
  <c r="H45" i="24"/>
  <c r="G46" i="14"/>
  <c r="H44" i="24"/>
  <c r="G45" i="14"/>
  <c r="H43" i="24"/>
  <c r="G44" i="14"/>
  <c r="H42" i="24"/>
  <c r="G43" i="14"/>
  <c r="H41" i="24"/>
  <c r="G42" i="14"/>
  <c r="H40" i="24"/>
  <c r="G41" i="14"/>
  <c r="H39" i="24"/>
  <c r="G40" i="14"/>
  <c r="H38" i="24"/>
  <c r="G39" i="14"/>
  <c r="H37" i="24"/>
  <c r="G38" i="14"/>
  <c r="H36" i="24"/>
  <c r="G37" i="14"/>
  <c r="H35" i="24"/>
  <c r="G36" i="14"/>
  <c r="H34" i="24"/>
  <c r="G35" i="14"/>
  <c r="H33" i="24"/>
  <c r="G34" i="14"/>
  <c r="H32" i="24"/>
  <c r="G33" i="14"/>
  <c r="H31" i="24"/>
  <c r="G32" i="14"/>
  <c r="H30" i="24"/>
  <c r="G31" i="14"/>
  <c r="H29" i="24"/>
  <c r="G30" i="14"/>
  <c r="H28" i="24"/>
  <c r="G29" i="14"/>
  <c r="H27" i="24"/>
  <c r="G28" i="14"/>
  <c r="H26" i="24"/>
  <c r="G27" i="14"/>
  <c r="H25" i="24"/>
  <c r="G26" i="14"/>
  <c r="H24" i="24"/>
  <c r="G25" i="14"/>
  <c r="H23" i="24"/>
  <c r="G24" i="14"/>
  <c r="H22" i="24"/>
  <c r="G23" i="14"/>
  <c r="H21" i="24"/>
  <c r="G22" i="14"/>
  <c r="H20" i="24"/>
  <c r="G21" i="14"/>
  <c r="H19" i="24"/>
  <c r="G20" i="14"/>
  <c r="H18" i="24"/>
  <c r="G19" i="14"/>
  <c r="H17" i="24"/>
  <c r="G18" i="14"/>
  <c r="H16" i="24"/>
  <c r="G17" i="14"/>
  <c r="H15" i="24"/>
  <c r="G16" i="14"/>
  <c r="H14" i="24"/>
  <c r="H13" i="24"/>
  <c r="H12" i="24"/>
  <c r="G52" i="14" l="1"/>
  <c r="O44" i="14"/>
  <c r="N44" i="14"/>
  <c r="K44" i="14"/>
  <c r="L44" i="14"/>
  <c r="R44" i="14" s="1"/>
  <c r="M44" i="14"/>
  <c r="P44" i="14"/>
  <c r="Q44" i="14" s="1"/>
  <c r="M24" i="14"/>
  <c r="P24" i="14"/>
  <c r="L24" i="14"/>
  <c r="R24" i="14" s="1"/>
  <c r="K24" i="14"/>
  <c r="O24" i="14"/>
  <c r="N24" i="14"/>
  <c r="M26" i="14"/>
  <c r="L26" i="14"/>
  <c r="R26" i="14" s="1"/>
  <c r="K26" i="14"/>
  <c r="P26" i="14"/>
  <c r="O26" i="14"/>
  <c r="N26" i="14"/>
  <c r="M28" i="14"/>
  <c r="O28" i="14"/>
  <c r="K28" i="14"/>
  <c r="L28" i="14"/>
  <c r="R28" i="14" s="1"/>
  <c r="N28" i="14"/>
  <c r="P28" i="14"/>
  <c r="P30" i="14"/>
  <c r="L30" i="14"/>
  <c r="R30" i="14" s="1"/>
  <c r="O30" i="14"/>
  <c r="K30" i="14"/>
  <c r="N30" i="14"/>
  <c r="M30" i="14"/>
  <c r="N32" i="14"/>
  <c r="M32" i="14"/>
  <c r="L32" i="14"/>
  <c r="R32" i="14" s="1"/>
  <c r="O32" i="14"/>
  <c r="K32" i="14"/>
  <c r="P32" i="14"/>
  <c r="N34" i="14"/>
  <c r="P34" i="14"/>
  <c r="M34" i="14"/>
  <c r="L34" i="14"/>
  <c r="R34" i="14" s="1"/>
  <c r="O34" i="14"/>
  <c r="K34" i="14"/>
  <c r="P36" i="14"/>
  <c r="N36" i="14"/>
  <c r="O36" i="14"/>
  <c r="M36" i="14"/>
  <c r="K36" i="14"/>
  <c r="L36" i="14"/>
  <c r="R36" i="14" s="1"/>
  <c r="O38" i="14"/>
  <c r="K38" i="14"/>
  <c r="N38" i="14"/>
  <c r="P38" i="14"/>
  <c r="L38" i="14"/>
  <c r="R38" i="14" s="1"/>
  <c r="M38" i="14"/>
  <c r="O42" i="14"/>
  <c r="K42" i="14"/>
  <c r="M42" i="14"/>
  <c r="N42" i="14"/>
  <c r="P42" i="14"/>
  <c r="L42" i="14"/>
  <c r="R42" i="14" s="1"/>
  <c r="P48" i="14"/>
  <c r="N48" i="14"/>
  <c r="O48" i="14"/>
  <c r="L48" i="14"/>
  <c r="R48" i="14" s="1"/>
  <c r="K48" i="14"/>
  <c r="M48" i="14"/>
  <c r="M23" i="14"/>
  <c r="L23" i="14"/>
  <c r="R23" i="14" s="1"/>
  <c r="K23" i="14"/>
  <c r="P23" i="14"/>
  <c r="O23" i="14"/>
  <c r="N23" i="14"/>
  <c r="M25" i="14"/>
  <c r="P25" i="14"/>
  <c r="L25" i="14"/>
  <c r="R25" i="14" s="1"/>
  <c r="K25" i="14"/>
  <c r="O25" i="14"/>
  <c r="N25" i="14"/>
  <c r="M27" i="14"/>
  <c r="L27" i="14"/>
  <c r="R27" i="14" s="1"/>
  <c r="K27" i="14"/>
  <c r="P27" i="14"/>
  <c r="O27" i="14"/>
  <c r="N27" i="14"/>
  <c r="P29" i="14"/>
  <c r="L29" i="14"/>
  <c r="R29" i="14" s="1"/>
  <c r="O29" i="14"/>
  <c r="K29" i="14"/>
  <c r="N29" i="14"/>
  <c r="M29" i="14"/>
  <c r="N33" i="14"/>
  <c r="L33" i="14"/>
  <c r="R33" i="14" s="1"/>
  <c r="M33" i="14"/>
  <c r="O33" i="14"/>
  <c r="K33" i="14"/>
  <c r="P33" i="14"/>
  <c r="Q33" i="14" s="1"/>
  <c r="L35" i="14"/>
  <c r="R35" i="14" s="1"/>
  <c r="P35" i="14"/>
  <c r="O35" i="14"/>
  <c r="K35" i="14"/>
  <c r="M35" i="14"/>
  <c r="N35" i="14"/>
  <c r="N37" i="14"/>
  <c r="L37" i="14"/>
  <c r="R37" i="14" s="1"/>
  <c r="M37" i="14"/>
  <c r="O37" i="14"/>
  <c r="K37" i="14"/>
  <c r="P37" i="14"/>
  <c r="Q37" i="14" s="1"/>
  <c r="O41" i="14"/>
  <c r="K41" i="14"/>
  <c r="P41" i="14"/>
  <c r="L41" i="14"/>
  <c r="R41" i="14" s="1"/>
  <c r="M41" i="14"/>
  <c r="N41" i="14"/>
  <c r="P49" i="14"/>
  <c r="O49" i="14"/>
  <c r="K49" i="14"/>
  <c r="N49" i="14"/>
  <c r="M49" i="14"/>
  <c r="L49" i="14"/>
  <c r="R49" i="14" s="1"/>
  <c r="M47" i="14"/>
  <c r="L47" i="14"/>
  <c r="R47" i="14" s="1"/>
  <c r="N47" i="14"/>
  <c r="K47" i="14"/>
  <c r="P47" i="14"/>
  <c r="O47" i="14"/>
  <c r="L46" i="14"/>
  <c r="R46" i="14" s="1"/>
  <c r="K46" i="14"/>
  <c r="O46" i="14"/>
  <c r="P46" i="14"/>
  <c r="N46" i="14"/>
  <c r="M46" i="14"/>
  <c r="K45" i="14"/>
  <c r="L45" i="14"/>
  <c r="R45" i="14" s="1"/>
  <c r="M45" i="14"/>
  <c r="N45" i="14"/>
  <c r="P45" i="14"/>
  <c r="O45" i="14"/>
  <c r="K43" i="14"/>
  <c r="N43" i="14"/>
  <c r="P43" i="14"/>
  <c r="O43" i="14"/>
  <c r="M43" i="14"/>
  <c r="L43" i="14"/>
  <c r="R43" i="14" s="1"/>
  <c r="V43" i="14" s="1"/>
  <c r="W43" i="14" s="1"/>
  <c r="L40" i="14"/>
  <c r="R40" i="14" s="1"/>
  <c r="M40" i="14"/>
  <c r="N40" i="14"/>
  <c r="K40" i="14"/>
  <c r="P40" i="14"/>
  <c r="Q40" i="14" s="1"/>
  <c r="O40" i="14"/>
  <c r="M39" i="14"/>
  <c r="N39" i="14"/>
  <c r="K39" i="14"/>
  <c r="O39" i="14"/>
  <c r="L39" i="14"/>
  <c r="R39" i="14" s="1"/>
  <c r="P39" i="14"/>
  <c r="H51" i="25"/>
  <c r="O31" i="14"/>
  <c r="N31" i="14"/>
  <c r="M31" i="14"/>
  <c r="L31" i="14"/>
  <c r="R31" i="14" s="1"/>
  <c r="P31" i="14"/>
  <c r="K31" i="14"/>
  <c r="H51" i="24"/>
  <c r="F5" i="15"/>
  <c r="G5" i="15" s="1"/>
  <c r="F6" i="15"/>
  <c r="G6" i="15" s="1"/>
  <c r="F7" i="15"/>
  <c r="G7" i="15" s="1"/>
  <c r="F8" i="15"/>
  <c r="G8" i="15" s="1"/>
  <c r="F9" i="15"/>
  <c r="G9" i="15" s="1"/>
  <c r="F10" i="15"/>
  <c r="G10" i="15" s="1"/>
  <c r="F11" i="15"/>
  <c r="G11" i="15" s="1"/>
  <c r="F12" i="15"/>
  <c r="G12" i="15" s="1"/>
  <c r="F13" i="15"/>
  <c r="G13" i="15" s="1"/>
  <c r="F14" i="15"/>
  <c r="G14" i="15" s="1"/>
  <c r="F15" i="15"/>
  <c r="G15" i="15" s="1"/>
  <c r="F16" i="15"/>
  <c r="G16" i="15" s="1"/>
  <c r="F17" i="15"/>
  <c r="G17" i="15" s="1"/>
  <c r="F18" i="15"/>
  <c r="G18" i="15" s="1"/>
  <c r="F19" i="15"/>
  <c r="G19" i="15" s="1"/>
  <c r="F20" i="15"/>
  <c r="G20" i="15" s="1"/>
  <c r="F21" i="15"/>
  <c r="G21" i="15" s="1"/>
  <c r="F49" i="15"/>
  <c r="G49" i="15" s="1"/>
  <c r="F50" i="15"/>
  <c r="G50" i="15" s="1"/>
  <c r="Q41" i="14" l="1"/>
  <c r="Q31" i="14"/>
  <c r="Q48" i="14"/>
  <c r="Q45" i="14"/>
  <c r="Q29" i="14"/>
  <c r="Q30" i="14"/>
  <c r="Q46" i="14"/>
  <c r="Q28" i="14"/>
  <c r="Q26" i="14"/>
  <c r="S38" i="14"/>
  <c r="V38" i="14"/>
  <c r="W38" i="14" s="1"/>
  <c r="V25" i="14"/>
  <c r="W25" i="14" s="1"/>
  <c r="S25" i="14"/>
  <c r="Q42" i="14"/>
  <c r="Q36" i="14"/>
  <c r="Q35" i="14"/>
  <c r="S29" i="14"/>
  <c r="V29" i="14"/>
  <c r="W29" i="14" s="1"/>
  <c r="Q27" i="14"/>
  <c r="Q25" i="14"/>
  <c r="Q23" i="14"/>
  <c r="Q34" i="14"/>
  <c r="V30" i="14"/>
  <c r="W30" i="14" s="1"/>
  <c r="S30" i="14"/>
  <c r="V28" i="14"/>
  <c r="W28" i="14" s="1"/>
  <c r="S28" i="14"/>
  <c r="S26" i="14"/>
  <c r="V26" i="14"/>
  <c r="W26" i="14" s="1"/>
  <c r="V35" i="14"/>
  <c r="W35" i="14" s="1"/>
  <c r="S35" i="14"/>
  <c r="S32" i="14"/>
  <c r="V32" i="14"/>
  <c r="W32" i="14" s="1"/>
  <c r="S24" i="14"/>
  <c r="V24" i="14"/>
  <c r="W24" i="14" s="1"/>
  <c r="V41" i="14"/>
  <c r="W41" i="14" s="1"/>
  <c r="S41" i="14"/>
  <c r="S37" i="14"/>
  <c r="V37" i="14"/>
  <c r="W37" i="14" s="1"/>
  <c r="V33" i="14"/>
  <c r="W33" i="14" s="1"/>
  <c r="S33" i="14"/>
  <c r="S27" i="14"/>
  <c r="V27" i="14"/>
  <c r="W27" i="14" s="1"/>
  <c r="V23" i="14"/>
  <c r="W23" i="14" s="1"/>
  <c r="S23" i="14"/>
  <c r="S48" i="14"/>
  <c r="V48" i="14"/>
  <c r="W48" i="14" s="1"/>
  <c r="V42" i="14"/>
  <c r="W42" i="14" s="1"/>
  <c r="S42" i="14"/>
  <c r="Q38" i="14"/>
  <c r="V36" i="14"/>
  <c r="W36" i="14" s="1"/>
  <c r="S36" i="14"/>
  <c r="S34" i="14"/>
  <c r="V34" i="14"/>
  <c r="W34" i="14" s="1"/>
  <c r="Q32" i="14"/>
  <c r="Q24" i="14"/>
  <c r="V44" i="14"/>
  <c r="W44" i="14" s="1"/>
  <c r="S44" i="14"/>
  <c r="Q47" i="14"/>
  <c r="Q39" i="14"/>
  <c r="S49" i="14"/>
  <c r="V49" i="14"/>
  <c r="W49" i="14" s="1"/>
  <c r="Q49" i="14"/>
  <c r="V47" i="14"/>
  <c r="W47" i="14" s="1"/>
  <c r="S47" i="14"/>
  <c r="V46" i="14"/>
  <c r="W46" i="14" s="1"/>
  <c r="S46" i="14"/>
  <c r="V45" i="14"/>
  <c r="W45" i="14" s="1"/>
  <c r="S45" i="14"/>
  <c r="S43" i="14"/>
  <c r="Q43" i="14"/>
  <c r="S40" i="14"/>
  <c r="V40" i="14"/>
  <c r="W40" i="14" s="1"/>
  <c r="V39" i="14"/>
  <c r="W39" i="14" s="1"/>
  <c r="S39" i="14"/>
  <c r="V31" i="14"/>
  <c r="W31" i="14" s="1"/>
  <c r="S31" i="14"/>
  <c r="O51" i="14"/>
  <c r="H50" i="15"/>
  <c r="O14" i="14"/>
  <c r="H13" i="15"/>
  <c r="H14" i="15"/>
  <c r="H10" i="15"/>
  <c r="H49" i="15"/>
  <c r="H21" i="15"/>
  <c r="H18" i="15"/>
  <c r="H15" i="15"/>
  <c r="H5" i="15"/>
  <c r="O7" i="14"/>
  <c r="P7" i="14"/>
  <c r="M7" i="14"/>
  <c r="K7" i="14"/>
  <c r="N7" i="14"/>
  <c r="L7" i="14"/>
  <c r="R7" i="14" s="1"/>
  <c r="H19" i="15"/>
  <c r="H8" i="15"/>
  <c r="H12" i="15"/>
  <c r="H20" i="15"/>
  <c r="H11" i="15"/>
  <c r="H7" i="15"/>
  <c r="L8" i="14"/>
  <c r="R8" i="14" s="1"/>
  <c r="K8" i="14"/>
  <c r="M8" i="14"/>
  <c r="N8" i="14"/>
  <c r="O8" i="14"/>
  <c r="P8" i="14"/>
  <c r="H16" i="15"/>
  <c r="L11" i="14"/>
  <c r="R11" i="14" s="1"/>
  <c r="M11" i="14"/>
  <c r="O11" i="14"/>
  <c r="N11" i="14"/>
  <c r="K11" i="14"/>
  <c r="P11" i="14"/>
  <c r="H9" i="15"/>
  <c r="H17" i="15"/>
  <c r="M15" i="14"/>
  <c r="L15" i="14"/>
  <c r="R15" i="14" s="1"/>
  <c r="N15" i="14"/>
  <c r="O15" i="14"/>
  <c r="P15" i="14"/>
  <c r="K15" i="14"/>
  <c r="H6" i="15"/>
  <c r="L3" i="20"/>
  <c r="F4" i="15"/>
  <c r="G4" i="15" s="1"/>
  <c r="F3" i="15"/>
  <c r="G3" i="15" s="1"/>
  <c r="F2" i="15"/>
  <c r="G2" i="15" s="1"/>
  <c r="N14" i="14" l="1"/>
  <c r="P51" i="14"/>
  <c r="K14" i="14"/>
  <c r="N51" i="14"/>
  <c r="P14" i="14"/>
  <c r="K51" i="14"/>
  <c r="M14" i="14"/>
  <c r="L14" i="14"/>
  <c r="R14" i="14" s="1"/>
  <c r="S14" i="14" s="1"/>
  <c r="Q15" i="14"/>
  <c r="L51" i="14"/>
  <c r="R51" i="14" s="1"/>
  <c r="S51" i="14" s="1"/>
  <c r="M51" i="14"/>
  <c r="V7" i="14"/>
  <c r="W7" i="14" s="1"/>
  <c r="S7" i="14"/>
  <c r="L10" i="14"/>
  <c r="R10" i="14" s="1"/>
  <c r="P10" i="14"/>
  <c r="O10" i="14"/>
  <c r="K10" i="14"/>
  <c r="M10" i="14"/>
  <c r="N10" i="14"/>
  <c r="L17" i="14"/>
  <c r="R17" i="14" s="1"/>
  <c r="M17" i="14"/>
  <c r="P17" i="14"/>
  <c r="O17" i="14"/>
  <c r="N17" i="14"/>
  <c r="K17" i="14"/>
  <c r="N16" i="14"/>
  <c r="O16" i="14"/>
  <c r="P16" i="14"/>
  <c r="L16" i="14"/>
  <c r="R16" i="14" s="1"/>
  <c r="M16" i="14"/>
  <c r="K16" i="14"/>
  <c r="O20" i="14"/>
  <c r="M20" i="14"/>
  <c r="N20" i="14"/>
  <c r="P20" i="14"/>
  <c r="L20" i="14"/>
  <c r="R20" i="14" s="1"/>
  <c r="K20" i="14"/>
  <c r="Q11" i="14"/>
  <c r="Q8" i="14"/>
  <c r="M19" i="14"/>
  <c r="L19" i="14"/>
  <c r="R19" i="14" s="1"/>
  <c r="N19" i="14"/>
  <c r="O19" i="14"/>
  <c r="P19" i="14"/>
  <c r="K19" i="14"/>
  <c r="V11" i="14"/>
  <c r="W11" i="14" s="1"/>
  <c r="S11" i="14"/>
  <c r="O21" i="14"/>
  <c r="K21" i="14"/>
  <c r="M21" i="14"/>
  <c r="L21" i="14"/>
  <c r="R21" i="14" s="1"/>
  <c r="P21" i="14"/>
  <c r="N21" i="14"/>
  <c r="Q7" i="14"/>
  <c r="V8" i="14"/>
  <c r="W8" i="14" s="1"/>
  <c r="S8" i="14"/>
  <c r="L4" i="14"/>
  <c r="R4" i="14" s="1"/>
  <c r="N4" i="14"/>
  <c r="M4" i="14"/>
  <c r="O4" i="14"/>
  <c r="P4" i="14"/>
  <c r="L22" i="14"/>
  <c r="R22" i="14" s="1"/>
  <c r="N22" i="14"/>
  <c r="O22" i="14"/>
  <c r="P22" i="14"/>
  <c r="K22" i="14"/>
  <c r="M22" i="14"/>
  <c r="H2" i="15"/>
  <c r="F3" i="14"/>
  <c r="V15" i="14"/>
  <c r="W15" i="14" s="1"/>
  <c r="S15" i="14"/>
  <c r="O13" i="14"/>
  <c r="N13" i="14"/>
  <c r="L13" i="14"/>
  <c r="R13" i="14" s="1"/>
  <c r="K13" i="14"/>
  <c r="M13" i="14"/>
  <c r="P13" i="14"/>
  <c r="L9" i="14"/>
  <c r="R9" i="14" s="1"/>
  <c r="M9" i="14"/>
  <c r="P9" i="14"/>
  <c r="N9" i="14"/>
  <c r="K9" i="14"/>
  <c r="O9" i="14"/>
  <c r="P12" i="14"/>
  <c r="O12" i="14"/>
  <c r="M12" i="14"/>
  <c r="L12" i="14"/>
  <c r="R12" i="14" s="1"/>
  <c r="N12" i="14"/>
  <c r="K12" i="14"/>
  <c r="P18" i="14"/>
  <c r="O18" i="14"/>
  <c r="L18" i="14"/>
  <c r="R18" i="14" s="1"/>
  <c r="M18" i="14"/>
  <c r="N18" i="14"/>
  <c r="K18" i="14"/>
  <c r="K6" i="14"/>
  <c r="L6" i="14"/>
  <c r="R6" i="14" s="1"/>
  <c r="M6" i="14"/>
  <c r="P6" i="14"/>
  <c r="O6" i="14"/>
  <c r="N6" i="14"/>
  <c r="L50" i="14"/>
  <c r="R50" i="14" s="1"/>
  <c r="M50" i="14"/>
  <c r="K50" i="14"/>
  <c r="N50" i="14"/>
  <c r="O50" i="14"/>
  <c r="P50" i="14"/>
  <c r="H4" i="15"/>
  <c r="H3" i="15"/>
  <c r="K4" i="14"/>
  <c r="V14" i="14" l="1"/>
  <c r="W14" i="14" s="1"/>
  <c r="Q13" i="14"/>
  <c r="Q51" i="14"/>
  <c r="Q6" i="14"/>
  <c r="V51" i="14"/>
  <c r="W51" i="14" s="1"/>
  <c r="Q4" i="14"/>
  <c r="Q14" i="14"/>
  <c r="Q10" i="14"/>
  <c r="K5" i="14"/>
  <c r="P5" i="14"/>
  <c r="M5" i="14"/>
  <c r="N5" i="14"/>
  <c r="O5" i="14"/>
  <c r="L5" i="14"/>
  <c r="R5" i="14" s="1"/>
  <c r="F52" i="14"/>
  <c r="S17" i="14"/>
  <c r="V17" i="14"/>
  <c r="W17" i="14" s="1"/>
  <c r="S9" i="14"/>
  <c r="V9" i="14"/>
  <c r="W9" i="14" s="1"/>
  <c r="V19" i="14"/>
  <c r="W19" i="14" s="1"/>
  <c r="S19" i="14"/>
  <c r="Q50" i="14"/>
  <c r="Q12" i="14"/>
  <c r="Q21" i="14"/>
  <c r="V12" i="14"/>
  <c r="W12" i="14" s="1"/>
  <c r="S12" i="14"/>
  <c r="V22" i="14"/>
  <c r="W22" i="14" s="1"/>
  <c r="S22" i="14"/>
  <c r="Q18" i="14"/>
  <c r="V21" i="14"/>
  <c r="W21" i="14" s="1"/>
  <c r="S21" i="14"/>
  <c r="V16" i="14"/>
  <c r="W16" i="14" s="1"/>
  <c r="S16" i="14"/>
  <c r="V18" i="14"/>
  <c r="W18" i="14" s="1"/>
  <c r="S18" i="14"/>
  <c r="V13" i="14"/>
  <c r="W13" i="14" s="1"/>
  <c r="S13" i="14"/>
  <c r="Q19" i="14"/>
  <c r="V20" i="14"/>
  <c r="W20" i="14" s="1"/>
  <c r="S20" i="14"/>
  <c r="Q16" i="14"/>
  <c r="Q17" i="14"/>
  <c r="V10" i="14"/>
  <c r="W10" i="14" s="1"/>
  <c r="S10" i="14"/>
  <c r="V50" i="14"/>
  <c r="W50" i="14" s="1"/>
  <c r="S50" i="14"/>
  <c r="H51" i="15"/>
  <c r="V6" i="14"/>
  <c r="W6" i="14" s="1"/>
  <c r="S6" i="14"/>
  <c r="K3" i="14"/>
  <c r="Q22" i="14"/>
  <c r="Q9" i="14"/>
  <c r="S4" i="14"/>
  <c r="V4" i="14"/>
  <c r="W4" i="14" s="1"/>
  <c r="Q20" i="14"/>
  <c r="U3" i="14"/>
  <c r="T3" i="14"/>
  <c r="P3" i="14"/>
  <c r="O3" i="14"/>
  <c r="N3" i="14"/>
  <c r="M3" i="14"/>
  <c r="L3" i="14"/>
  <c r="U2" i="14"/>
  <c r="N52" i="14" l="1"/>
  <c r="P52" i="14"/>
  <c r="K52" i="14"/>
  <c r="M52" i="14"/>
  <c r="O52" i="14"/>
  <c r="V5" i="14"/>
  <c r="W5" i="14" s="1"/>
  <c r="S5" i="14"/>
  <c r="Q5" i="14"/>
  <c r="R3" i="14"/>
  <c r="L52" i="14"/>
  <c r="Q3" i="14"/>
  <c r="R52" i="14" l="1"/>
  <c r="V3" i="14"/>
  <c r="S3" i="14"/>
  <c r="W3" i="14" l="1"/>
  <c r="W52" i="14" s="1"/>
  <c r="Y52" i="14" s="1"/>
  <c r="V52" i="14"/>
  <c r="Y16" i="14" l="1"/>
  <c r="Y18" i="14"/>
  <c r="Y15" i="14"/>
  <c r="Y19" i="14"/>
  <c r="Y50" i="14"/>
  <c r="Y51" i="14"/>
  <c r="Y21" i="14"/>
  <c r="Y22" i="14"/>
  <c r="Y20" i="14"/>
  <c r="Y17" i="14"/>
  <c r="Y14" i="14"/>
</calcChain>
</file>

<file path=xl/sharedStrings.xml><?xml version="1.0" encoding="utf-8"?>
<sst xmlns="http://schemas.openxmlformats.org/spreadsheetml/2006/main" count="751" uniqueCount="118">
  <si>
    <t>PROMEDIO</t>
  </si>
  <si>
    <t>MEDIANA</t>
  </si>
  <si>
    <t xml:space="preserve">CRITERIO </t>
  </si>
  <si>
    <t>UNIDAD DE MEDIDA</t>
  </si>
  <si>
    <t>CANTIDAD</t>
  </si>
  <si>
    <t>PRESUPUESTO</t>
  </si>
  <si>
    <t>DESVIACIÓN ESTÁNDAR</t>
  </si>
  <si>
    <t>VALOR DE REFERENCIA UNITARIO ELEGIDO</t>
  </si>
  <si>
    <t>VALOR DE REFERENCIA UNITARIO</t>
  </si>
  <si>
    <t xml:space="preserve">UNIDAD </t>
  </si>
  <si>
    <t xml:space="preserve">GLOBAL </t>
  </si>
  <si>
    <t xml:space="preserve">SUMINISTRO </t>
  </si>
  <si>
    <t xml:space="preserve">INSTALACION 
 </t>
  </si>
  <si>
    <t>SUMINISTRO E INSTALACIÓN</t>
  </si>
  <si>
    <t>UNIDAD</t>
  </si>
  <si>
    <t>ÍTEM/
EQUIPOS</t>
  </si>
  <si>
    <t>DESCRIPCIÓN</t>
  </si>
  <si>
    <t>V/R UNITARIO</t>
  </si>
  <si>
    <t>MEDIA GEOMÉTRICA</t>
  </si>
  <si>
    <t>MEDIA ARMÓNICA</t>
  </si>
  <si>
    <t>COEFICIENTE DE VARIACIÓN
CV</t>
  </si>
  <si>
    <t>VALOR DE REFERENCIA TOTAL</t>
  </si>
  <si>
    <t>TIPO</t>
  </si>
  <si>
    <t>MENOR VALOR</t>
  </si>
  <si>
    <t>PRECIO UNITARIO ANTES DE IVA</t>
  </si>
  <si>
    <t>IVA</t>
  </si>
  <si>
    <t>VALOR UNITARIO IVA INCLUIDO</t>
  </si>
  <si>
    <t>MEDIA ARMONICA</t>
  </si>
  <si>
    <t>VALOR TOTAL</t>
  </si>
  <si>
    <t xml:space="preserve">AIRE ACONDICIONADO DE 4 VÍAS TIPO CASSETTE INVERTER (INCLUYE EVAPORADORA Y CONDENSADORA)
</t>
  </si>
  <si>
    <t xml:space="preserve">INSTALACIÓN DE EQUIPO Y SUMINISTRO E INSTALACIÓN DE ACCESORIOS </t>
  </si>
  <si>
    <t xml:space="preserve">EQUIPO AIRE ACONDICIONADO TIPO SPLIT, EL CUAL DEBE CONTAR CON DOS UNIDADES SEPARADAS, UNA INTERNA </t>
  </si>
  <si>
    <t>CRITERIO</t>
  </si>
  <si>
    <t>MANTENIMIENTO PREVENTIVO SISTEMA DE CALEFACCIÓN SEDE PRINCIPAL SEGÚN LO DESCRITO EN LA FICHA TÉCNICA DEL PROCESO.</t>
  </si>
  <si>
    <t>LAVADO DEL CIRCUITO CERRADO DE CALEFACCIÓN EN LA SEDE PRINCIPAL Y APLICACIÓN DE QUÍMICO DESINCRUSTANTE Y SUAVIZANTE, PUESTA A PUNTO</t>
  </si>
  <si>
    <t>LIMPIEZA FLUIDO SOLAR Y APLICACIÓN DE MONOPROPILENGLICOL EN LA SEDE PRINCIPAL</t>
  </si>
  <si>
    <t>REPARACIÓN AISLAMIENTOS ENERGIA SOLAR Y REPINTADA EN LA SEDE PRINCIPAL</t>
  </si>
  <si>
    <t>LAVADO INTERNO DE TANQUE DE ACUMULACIÓN DE AGUA CALIENTE  EN LA SEDE PRINCIPAL</t>
  </si>
  <si>
    <t>LAVADO DEL CIRCUITO CERRADO SOLAR Y CALEFACCIÓN Y PUESTA A PUNTO DE CIRCUITOS EN LA SEDE DEL CAVRFFS</t>
  </si>
  <si>
    <t>DRENAJE, LAVADO INTERNO DE TANQUES DE CALENTAMIENTO Y CIRCUITOS DE CALEFACCIÓN EN LA SEDE DEL CAVRFFS</t>
  </si>
  <si>
    <t>CIRCULADOR EN HIERRO GRUNDFOS UPS 15-58</t>
  </si>
  <si>
    <t>CIRCULADOR EN ACERO INOX UPS 26-99F</t>
  </si>
  <si>
    <t>PURGADOR AUTOMÁTICO GIA COMINI SOLAR</t>
  </si>
  <si>
    <t>VÁLVULA DE ALIVIO WATTS 100PSI</t>
  </si>
  <si>
    <t>VÁLVULA DE ALIVIO GIACOMINI A BAR</t>
  </si>
  <si>
    <t>SONDA DE TEMPERATURA NTC 10K FULL GAUGE SB41</t>
  </si>
  <si>
    <t>SONDAS DE TEMPERATURA Y PRESIÓN</t>
  </si>
  <si>
    <t>RELE 8 PINES 120V 10A RELPOL</t>
  </si>
  <si>
    <t>KIT DE ELECTRODOS Y ENCENDIDO PARA THERM8000S</t>
  </si>
  <si>
    <t>KIT DE EMPAQUES PARA THERM8000S</t>
  </si>
  <si>
    <t>TOTAL COTIZACIÓN</t>
  </si>
  <si>
    <t>SERVICIO</t>
  </si>
  <si>
    <t>SUMINISTRO</t>
  </si>
  <si>
    <t>GBL</t>
  </si>
  <si>
    <t>UND</t>
  </si>
  <si>
    <t>COTIZACIÓN No. 1
Sol-Ars SAS</t>
  </si>
  <si>
    <t xml:space="preserve">COTIZACIÓN No. 2
SERVICIOS INTEGRALES DE INGENIERIA Y CONSTRUCCIÓN SAS 
</t>
  </si>
  <si>
    <t/>
  </si>
  <si>
    <t xml:space="preserve">DIAGNÓSTICO GENERAL DEL SISTEMA DE CALEFACCIÓN DE LA SEDE PRINCIPAL UBICADO EN LA AVENIDA CARACAS No 54-43 </t>
  </si>
  <si>
    <t xml:space="preserve">DIAGNÓSTICO GENERAL DEL SISTEMA DE CALEFACCIÓN DE LA SEDE DEL CENTRO DE ATENCIÓN VALORACIÓN Y REHABILITACIÓN DE FLORA Y FAUNA SILVESTRE UBICADO EN LA CALLE 64 # 128-10/50 ENGATIVA </t>
  </si>
  <si>
    <t xml:space="preserve">MANTENIMIENTO PREVENTIVO SISTEMA DE CALEFACCIÓN SEDE DEL CENTRO DE ATENCIÓN VALORACIÓN Y REHABILITACIÓN DE FLORA Y FAUNA SILVESTRE UBICADO EN LA CALLE 64 # 128-10/50 ENGATIVA </t>
  </si>
  <si>
    <t xml:space="preserve">MANTENIMIENTO GENERAL DE CALENTADORES DE TIRO FORZADO MARCA CHALLENGER WHG7104 - </t>
  </si>
  <si>
    <t xml:space="preserve">EQUIPOS MOVILES PARA CALEFACCIÓN AUXILIAR EN ÁREA DE NEONATOS, HOSPITALIZACIÓN Y REPTILES, </t>
  </si>
  <si>
    <t>MANTENIMIENTO PREVENTIVO RED DE SUMINISTRO DE AGUA POTABLE SEDE CENTRAL (Av. Caracas # 54 - 38)</t>
  </si>
  <si>
    <t>MANTENIMIENTO PREVENTIVO RED DE AGUAS RESIDUALES SEDE CENTRAL (Av. Caracas # 54 - 38)</t>
  </si>
  <si>
    <t>MANTENIMIENTO PREVENTIVO RED DE SUMINISTRO DE AGUA POTABLE SEDE CAVRFFS (CALLE 64 # 128-10/50)</t>
  </si>
  <si>
    <t>MANTENIMIENTO PREVENTIVO SISTEMA COMPLEMENTARIO PARA RECIRCULACIÓN DEL AGUA LLUVIA Y RESIDUAL TRATADA SEDE CAVRFFS (CALLE 64 # 128-10/50)</t>
  </si>
  <si>
    <t>MANTENIMIENTO PREVENTIVO PLANTA PARA TRATAMIENTO DE AGUAS CON CONTENIDO PATÓGENO SEDE CAVRFFS (CALLE 64 # 128-10/50)</t>
  </si>
  <si>
    <t>MANTENIMIENTO PREVENTIVO SISTEMA DE TRATAMIENTO HÍBRIDO PARA REÚSO DE AGUAS LLUVIAS Y RESIDUALES SEDE CAVRFFS (CALLE 64 # 128-10/50)</t>
  </si>
  <si>
    <t>MANTENIMIENTO PREVENTIVO RED DE SUMINISTRO DE AGUA POTABLE PARQUE MIRADOR DE LOS NEVADOS (Carrera 86A # 145-50)</t>
  </si>
  <si>
    <t>MANTENIMIENTO PREVENTIVO RED DE SUMINISTRO DE AGUA LLUVIA PARQUE MIRADOR DE LOS NEVADOS (Carrera 86A # 145-50)</t>
  </si>
  <si>
    <t>MANTENIMIENTO PREVENTIVO RED DE SUMINISTRO DE AGUA POTABLE PARQUE MIRADOR JUAN REY - ENTRE NUBES 
Carrera 11C ESTE 72A SUR -  Antigua vía al llano (Av carrera 15 ESTE) (LOCALIDAD DE SAN CRISTOBAL)</t>
  </si>
  <si>
    <t>MANTENIMIENTO PREVENTIVO RED DE SUMINISTRO AGUAS LLUVIAS PARQUE MIRADOR JUAN REY - ENTRE NUBES 
Carrera 11C ESTE 72A SUR -  Antigua vía al llano (Av carrera 15 ESTE) - (LOCALIDAD DE SAN CRISTOBAL)</t>
  </si>
  <si>
    <t>MANTENIMIENTO PREVENTIVO SISTEMAS DE LAVADO - HIDROLAVADORAS SEDE CAVRFFS (CALLE 64 # 128-10/50)</t>
  </si>
  <si>
    <t>DIAGNÓSTICO DE BOMBA SUMERGIBLE DE 3 HP DE POTENCIA – BOMBA DEL TANQUE DE LA RED DE AGUAS RESIDUALES SEDE CENTRAL (Av. Caracas # 54 - 38)</t>
  </si>
  <si>
    <t>DIAGNÓSTICO DE BOMBA SUMERGIBLE BLUE PUMP – MODELO 80WQ1.5-49 DE 2 HP DE POTENCIA - BOMBA DE EMERGENCIA TIPO INATASCABLE DE LA SEDE CENTRAL (Av. Caracas # 54 - 38)</t>
  </si>
  <si>
    <t>DIAGNÓSTICO DE BOMBA CENTRIFUGA LR 38324 / MARCA WEG / POTENCIA DE 3 HP / 220 VOLTIOS. DE LA RED DE SUMINISTRO DE AGUA POTABLE SEDE CENTRAL (Av. Caracas # 54 - 38)</t>
  </si>
  <si>
    <t>DIAGNÓSTICO BOMBA SUMERGIBLE EYECTORA MARCA FLOWPRESS / MODELO SW 0.5T / 220V / POTENCIA 0.5 HP / FRECUENCIA 60 HZ. DEL SISTEMA DE TRATAMIENTO HÍBRIDO PARA REÚSO DE AGUAS LLUVIAS Y RESIDUALES SEDE CAVRFFS (CALLE 64 # 128-10/50)</t>
  </si>
  <si>
    <t xml:space="preserve">DIAGNÓSTICO GENERAL DEL SISTEMA DE TRATAMIENTO IMPLEMENTADO PARA MANEJO DE AGUAS CON CONTENIDO PATÓGENO DE LA ENFERMERÍA Y LA VETERINARÍA EN EL CAVRFFS </t>
  </si>
  <si>
    <t>DIAGNÓSTICO DE BOMBA BARNES MODELO 20 15HCP 7,5 DE 2” DE DESCARGA, BOMBA NÚMERO 2 DE LA RED DE SUMINISTRO DE AGUA POTABLE PARQUE MIRADOR DE LOS NEVADOS (Carrera 86A # 145-50)</t>
  </si>
  <si>
    <t>SUMINISTRO, INSTALACIÓN Y AUTOMATIZACIÓN DE TANQUE HIDROACUMULADOR DE 500 LITROS DE LA RED DE SUMINISTRO DE AGUA POTABLE SEDE CENTRAL (Av. Caracas # 54 - 38)</t>
  </si>
  <si>
    <t>SUMINISTRO E INATALACIÓN DE MANÓMETRO DE 0 A 200 PSI CON GLISERINA DE LA BOMBA NÚMERO 2 DE LA RED DE SUMINISTRO DE AGUA POTABLE SEDE CENTRAL (Av. Caracas # 54 - 38)</t>
  </si>
  <si>
    <t>CAMBIO DE RODAMIENTOS Y SELLO MECÁNICO DE LA BOMBA NÚMERO 1 DE 5HP DEL SISTEMA DE BOMBEO DE AGUA LLUVIA DE LA SEDE PRINCIPAL DE LA SDA (Av. Caracas # 54 - 38)</t>
  </si>
  <si>
    <t>SUMINISTRO E INSTALACIÓN DE VÁLVULA DE PIE EN 3” DE SUCCIÓN DE LA BOMBA NÚMERO 2 DE LA RED DE SUMINISTRO DE AGUAS LLUVIAS SEDE CENTRAL (Av. Caracas # 54 - 38)</t>
  </si>
  <si>
    <t>SUMINISTRO E INSTALACIÓN DE TUBERÍA EN ACERO INOXIDABLE PARA LA SUCCIÓN DE LA BOMBA NÚMERO 2 DE LA RED DE SUMINISTRO DE AGUAS LLUVIAS SEDE CENTRAL (Av. Caracas # 54 - 38)</t>
  </si>
  <si>
    <t>SUMINISTRO, INSTALACIÓN Y AUTOMATIZACIÓN DE SIRENA DE EMERGECNIAS DE LA RED DE AGUAS RESIDUALES SEDE CENTRAL (Av. Caracas # 54 - 38)</t>
  </si>
  <si>
    <t>SUMINISTRO, INSTALACIÓN Y AUTOMATIZACIÓN DE CONTACTOR EN EL TABLERO DE CONTROL DE LA RED DE AGUAS RESIDUALES SEDE CENTRAL (Av. Caracas # 54 - 38)</t>
  </si>
  <si>
    <t>SUMINISTRO E INSTALACIÓN DE CABLEADO ELÉCTRICO ENCAUCHETADO 2X16 AWG CORTOCIRCUIDATO DE FLOTADOR ELÉCTRICO DE LA RED DE AGUAS RESIDUALES SEDE CENTRAL (Av. Caracas # 54 - 38)</t>
  </si>
  <si>
    <t>SUMINISTRO, INSTALACIÓN Y AUTOMATIZACIÓN DE TANQUE HIDROACUMULADOR DE 300 LITROS DE LA RED DE SUMINISTRO DE AGUA POTABLE SEDE CAVRFFS (CALLE 64 # 128-10/50)</t>
  </si>
  <si>
    <t>SUMINISTRO, INSTALACIÓN Y AUTOMATIZACIÓN DE TABLERO DE CONTROL CON CERTIFICACIÓN RETIE PARA ARRANQUE DE TRES MOTOBOMBAS CON ALTERNACIÓN LÓGICA 220V 12 AMPERIOS (INCLUYE TOTALIZADOR TRIPOLAR DE 30 AMPERIOS, SIRENA DE EMERGENCIAS, ARRANCADORES, CONTACTORES, CABLEADO, DUCTERÍA Y TODOS LOS ELEMENTOS NECESARIOS PARA LA AUTOMATIZACIÓN DE LA RED DE SUMINISTRO DE AGUA POTABLE SEDE CAVRFFS (CALLE 64 # 128-10/50)</t>
  </si>
  <si>
    <t>SUMINISTRO, INSTALACIÓN Y AUTOMATIZACIÓN DE TABLERO DE CONTROL CON CERTIFICACIÓN RETIE PARA ARRANQUE DE DOS MOTOBOMBAS EYECTORAS DE 6AMPERIOS A 220V Y UNA BOMBA DE RECIRCULACIÓN DE 9 AMPERIOS A 220V (SELEOIDE, SIRENA DE EMERGENCIAS, ARRANCADORES, CONTACTORES, CABLEADO, DUCTERÍA Y TODOS LOS ELEMENTOS NECESARIOS PARA LA AUTOMATIZACIÓN DEL SISTEMA COMPLEMENTARIO PARA RECIRCULACIÓN DEL AGUA LLUVIA Y RESIDUAL TRATADA SEDE CAVRFFS (CALLE 64 # 128-10/50)</t>
  </si>
  <si>
    <t>ESTUDIO DE CARGAS CALCULADAS DE LA ACOMETIDA ELÉCTRICA TRIFÁSICA PARA LA ADECUACIÓN DE LAS HIDROLAVADORAS AL SISTEMA ELÉCTRICO CONFORME A LA NTC2050 Y RETIE DE LA SEDE CAVRFFS) (CALLE 64 # 128-10/50)</t>
  </si>
  <si>
    <t>RETIRO DE BOMBA CENTRÍFUGA MARCA BARNES / POTENCIA DE 2 HP / REFERENCIA 1E0508 / MODELO AP3-EE 1.5 20-1-301 / 220 VOLTIOS, SECADO, RESTAURACIÓN DEL AISLAMIENTO, CAMBIO DE RODAMIENTOS, SELLO MECANICO E INSTALACIÓN DE BOMBA DE LA RED DE SUMINISTRO DE AGUA POTABLE SEDE CAVRFFS (CALLE 64 # 128-10/50)</t>
  </si>
  <si>
    <t>RETIRO DE BOMBA CENTRÍFUGA MARCA BARNES / POTENCIA DE 2 HP / REFERENCIA 1E0508 / MODELO AP3-EE 1.5 20-1-301 / 220 VOLTIOS, SECADO, RESTAURACIÓN DEL AISLAMIENTO, CAMBIO DE RODAMIENTOS, SELLO MECANICO E INSTALACIÓN DE BOMBA DEL SISTEMA COMPLEMENTARIO PARA RECIRCULACIÓN DEL AGUA LLUVIA Y RESIDUAL TRATADA SEDE CAVRFFS (CALLE 64 # 128-10/50)</t>
  </si>
  <si>
    <t>SUMINISTRO E INSTALACIÓN DE PRESOSTATO DE 20 A 40 PSI DE LA RED DE SUMINISTRO DE AGUA POTABLE SEDE CAVRFFS (CALLE 64 # 128-10/50)</t>
  </si>
  <si>
    <t>SUMINISTRO E INATALACIÓN DE MANÓMETRO DE 0 A 200 PSI CON GLISERINA DE LA RED DE SUMINISTRO DE AGUA POTABLE SEDE CAVRFFS (CALLE 64 # 128-10/50)</t>
  </si>
  <si>
    <t>SUMINISTRO E INSTALACION DE TABLERO ELECTRICO PARA DOS MOTOBOMBAS SUMERGIBLES DE 1 HP CON ALTERNANCIA, ARRANCADORES DIRECTOS Y PROTECIONES TERMICAS – CON CERTIFICACIÓN RETIE RED DE SUMINISTRO DE AGUA POTABLE PARQUE MIRADOR JUAN REY - ENTRE NUBES - Carrera 11C ESTE 72A SUR - Antigua vía al llano (Av carrera 15 ESTE)
(LOCALIDAD DE SAN CRISTOBAL)</t>
  </si>
  <si>
    <t>TANQUE DE AGUA POTABLE SUBTERRANEO DE 110 M3 x 1 UNIDAD - SEDE PRINCIPAL DE LA ENTIDAD (AV. CARACAS # 54-38)</t>
  </si>
  <si>
    <t>TANQUE DE AGUA POTABLE SUBTERRANEO DE 50 M3 x 1 UNIDAD - PARQUE MIRADOR DE LOS NEVADOS (Carrera 86A n.º 145-50)</t>
  </si>
  <si>
    <t>TANQUE DE AGUA POTABLE SUBTERRANEO DE 43 M3 x 1 UNIDAD - SEDE CAVRFFS (CALLE 64 N° 128-10)</t>
  </si>
  <si>
    <t>TANQUE DE AGUA POTABLE PLASTICO DE 2000 LTS x 1 UNIDAD - Parque Entre Nubes</t>
  </si>
  <si>
    <t>TANQUE DE AGUA POTABLE PLASTICO DE 1000 LTS x 3 UNIDADES - Parque Entre Nubes</t>
  </si>
  <si>
    <t>TANQUE DE AGUA POTABLE SUBTERRANEO DE 21 M3 x 1 UNIDAD - PARQUE JUAN REY</t>
  </si>
  <si>
    <t>TANQUE DE AGUA POTABLE PLASTICO DE 1000 LTS x 2 UNIDADES - Parque Humedal Santa María del Lago</t>
  </si>
  <si>
    <t>TANQUE DE AGUAS LLUVIAS SUBTERRANEO DE 63 M3 x 1 UNIDAD - SEDE PRINCIPAL DE LA ENTIDAD (AV. CARACAS # 54-38)</t>
  </si>
  <si>
    <t>TANQUE DE AGUA TRATADA Y RECIRCULADA DE 43 M3 x 1 UNIDAD - SEDE CAVRFFS (CALLE 64 N° 128-10)</t>
  </si>
  <si>
    <t>TANQUE DE AGUA LLUVIA EN CONCRETO DE 50 M3 x 1 UNIDAD - PARQUE MIRADOR DE LOS NEVADOS (Carrera 86A n.º 145-50)</t>
  </si>
  <si>
    <t>TANQUE DE AGUAS LLUVIAS SUBTERRANEO DE 10 M3 x 3 UNIDADES - PARQUE JUAN REY</t>
  </si>
  <si>
    <t>TANQUE AGUA RESIDUAL - SUBTERRANEO DE 25 M3 x 1 UNIDAD - SEDE PRINCIPAL DE LA ENTIDAD (AV. CARACAS # 54-38)</t>
  </si>
  <si>
    <t>TANQUE DE CRIBADO AGUA RESIDUAL – SUBTERRANEO DE 9 M3 x 1 UNIDAD - SEDE CAVRFFS (CALLE 64 N° 128-10)</t>
  </si>
  <si>
    <t>TANQUE DE ESTABILIZACIÓN AGUA RESIDUAL – PLÁSTICO DE 2.000 L x 1 UNIDAD - SEDE CAVRFFS (CALLE 64 N° 128-10)</t>
  </si>
  <si>
    <t xml:space="preserve">COTIZACIÓN No. 1
COLSAM SA
</t>
  </si>
  <si>
    <t xml:space="preserve">COTIZACIÓN No. 2
TESCOL
</t>
  </si>
  <si>
    <t xml:space="preserve">COTIZACIÓN No. 3
SOLHID
</t>
  </si>
  <si>
    <t>Unidad</t>
  </si>
  <si>
    <t>METROS</t>
  </si>
  <si>
    <t>Número de lavados</t>
  </si>
  <si>
    <t xml:space="preserve">COTIZACIÓN No. 4
PRADO ALEMAN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</si>
</sst>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_-;\-* #,##0.00_-;_-* &quot;-&quot;_-;_-@_-"/>
    <numFmt numFmtId="166" formatCode="_(&quot;$&quot;\ * #,##0.00_);_(&quot;$&quot;\ * \(#,##0.00\);_(&quot;$&quot;\ * &quot;-&quot;??_);_(@_)"/>
    <numFmt numFmtId="167" formatCode="&quot;$&quot;\ #,##0"/>
    <numFmt numFmtId="168" formatCode="_-&quot;$&quot;* #,##0.00_-;\-&quot;$&quot;* #,##0.00_-;_-&quot;$&quot;* &quot;-&quot;??_-;_-@_-"/>
    <numFmt numFmtId="169" formatCode="&quot;$&quot;\ #,##0.00"/>
    <numFmt numFmtId="170" formatCode="_-&quot;$&quot;\ * #,##0_-;\-&quot;$&quot;\ * #,##0_-;_-&quot;$&quot;\ * &quot;-&quot;??_-;_-@_-"/>
    <numFmt numFmtId="171" formatCode="_-* #,##0_-;\-* #,##0_-;_-* &quot;-&quot;??_-;_-@_-"/>
  </numFmts>
  <fonts count="18" x14ac:knownFonts="1">
    <font>
      <sz val="11"/>
      <color theme="1"/>
      <name val="Calibri"/>
      <family val="2"/>
      <scheme val="minor"/>
    </font>
    <font>
      <sz val="11"/>
      <color theme="1"/>
      <name val="Calibri"/>
      <family val="2"/>
      <scheme val="minor"/>
    </font>
    <font>
      <sz val="10"/>
      <name val="Arial"/>
      <family val="2"/>
    </font>
    <font>
      <sz val="8"/>
      <name val="Arial Narrow"/>
      <family val="2"/>
    </font>
    <font>
      <b/>
      <sz val="8"/>
      <name val="Arial Narrow"/>
      <family val="2"/>
    </font>
    <font>
      <sz val="11"/>
      <color rgb="FF3F3F76"/>
      <name val="Calibri"/>
      <family val="2"/>
      <scheme val="minor"/>
    </font>
    <font>
      <sz val="10"/>
      <name val="Arial Narrow"/>
      <family val="2"/>
    </font>
    <font>
      <sz val="8"/>
      <color theme="0"/>
      <name val="Arial Narrow"/>
      <family val="2"/>
    </font>
    <font>
      <b/>
      <sz val="7"/>
      <name val="Arial Narrow"/>
      <family val="2"/>
    </font>
    <font>
      <sz val="7"/>
      <name val="Arial Narrow"/>
      <family val="2"/>
    </font>
    <font>
      <sz val="8"/>
      <color theme="1"/>
      <name val="Arial Nova"/>
      <family val="2"/>
    </font>
    <font>
      <sz val="8"/>
      <name val="Arial Nova"/>
      <family val="2"/>
    </font>
    <font>
      <b/>
      <sz val="8"/>
      <color theme="1"/>
      <name val="Arial Nova"/>
      <family val="2"/>
    </font>
    <font>
      <sz val="12"/>
      <color theme="1"/>
      <name val="Calibri"/>
      <family val="2"/>
      <scheme val="minor"/>
    </font>
    <font>
      <sz val="10"/>
      <name val="Calibri"/>
      <family val="2"/>
      <scheme val="minor"/>
    </font>
    <font>
      <b/>
      <sz val="8"/>
      <color theme="1"/>
      <name val="Arial"/>
      <family val="2"/>
    </font>
    <font>
      <sz val="8"/>
      <name val="Arial"/>
      <family val="2"/>
    </font>
    <font>
      <sz val="8"/>
      <color theme="1"/>
      <name val="Arial"/>
      <family val="2"/>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CC99"/>
      </patternFill>
    </fill>
    <fill>
      <patternFill patternType="solid">
        <fgColor theme="0" tint="-4.9989318521683403E-2"/>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FFFF00"/>
        <bgColor indexed="64"/>
      </patternFill>
    </fill>
  </fills>
  <borders count="7">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7">
    <xf numFmtId="0" fontId="0" fillId="0" borderId="0"/>
    <xf numFmtId="0" fontId="2" fillId="0" borderId="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0" fontId="1" fillId="0" borderId="0"/>
    <xf numFmtId="9" fontId="1" fillId="0" borderId="0" applyFont="0" applyFill="0" applyBorder="0" applyAlignment="0" applyProtection="0"/>
    <xf numFmtId="0" fontId="5" fillId="4" borderId="1" applyNumberFormat="0" applyAlignment="0" applyProtection="0"/>
    <xf numFmtId="164" fontId="1" fillId="0" borderId="0" applyFont="0" applyFill="0" applyBorder="0" applyAlignment="0" applyProtection="0"/>
    <xf numFmtId="0" fontId="1" fillId="0" borderId="0"/>
    <xf numFmtId="168" fontId="13" fillId="0" borderId="0" applyFont="0" applyFill="0" applyBorder="0" applyAlignment="0" applyProtection="0"/>
    <xf numFmtId="44" fontId="1" fillId="0" borderId="0" applyFont="0" applyFill="0" applyBorder="0" applyAlignment="0" applyProtection="0"/>
    <xf numFmtId="0" fontId="13" fillId="0" borderId="0"/>
    <xf numFmtId="168" fontId="13" fillId="0" borderId="0" applyFont="0" applyFill="0" applyBorder="0" applyAlignment="0" applyProtection="0"/>
    <xf numFmtId="43" fontId="1" fillId="0" borderId="0" applyFont="0" applyFill="0" applyBorder="0" applyAlignment="0" applyProtection="0"/>
  </cellStyleXfs>
  <cellXfs count="61">
    <xf numFmtId="0" fontId="0" fillId="0" borderId="0" xfId="0"/>
    <xf numFmtId="0" fontId="3" fillId="0" borderId="0" xfId="1" applyFont="1" applyAlignment="1">
      <alignment vertical="center"/>
    </xf>
    <xf numFmtId="0" fontId="6" fillId="0" borderId="0" xfId="1" applyFont="1" applyAlignment="1">
      <alignment vertical="center"/>
    </xf>
    <xf numFmtId="0" fontId="3" fillId="0" borderId="0" xfId="1" applyFont="1" applyAlignment="1">
      <alignment horizontal="center" vertical="center"/>
    </xf>
    <xf numFmtId="43" fontId="3" fillId="0" borderId="0" xfId="2" applyFont="1" applyFill="1" applyAlignment="1">
      <alignment vertical="center"/>
    </xf>
    <xf numFmtId="0" fontId="7" fillId="0" borderId="0" xfId="1" applyFont="1" applyAlignment="1">
      <alignment vertical="center"/>
    </xf>
    <xf numFmtId="0" fontId="9" fillId="0" borderId="0" xfId="1" applyFont="1" applyAlignment="1">
      <alignment vertical="center"/>
    </xf>
    <xf numFmtId="0" fontId="3" fillId="2" borderId="0" xfId="1" applyFont="1" applyFill="1" applyAlignment="1">
      <alignment vertical="center"/>
    </xf>
    <xf numFmtId="0" fontId="11" fillId="2"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168" fontId="10" fillId="0" borderId="2" xfId="12" applyFont="1" applyFill="1" applyBorder="1" applyAlignment="1">
      <alignment vertical="center" wrapText="1"/>
    </xf>
    <xf numFmtId="168" fontId="10" fillId="0" borderId="2" xfId="12" applyFont="1" applyFill="1" applyBorder="1" applyAlignment="1">
      <alignment horizontal="center" vertical="center" wrapText="1"/>
    </xf>
    <xf numFmtId="167" fontId="6" fillId="6" borderId="2" xfId="3" applyNumberFormat="1" applyFont="1" applyFill="1" applyBorder="1" applyAlignment="1">
      <alignment horizontal="right" vertical="center"/>
    </xf>
    <xf numFmtId="9" fontId="6" fillId="0" borderId="2" xfId="8" applyFont="1" applyFill="1" applyBorder="1" applyAlignment="1">
      <alignment horizontal="center" vertical="center"/>
    </xf>
    <xf numFmtId="165" fontId="3" fillId="0" borderId="2" xfId="3" applyNumberFormat="1" applyFont="1" applyFill="1" applyBorder="1" applyAlignment="1">
      <alignment horizontal="center" vertical="center" wrapText="1"/>
    </xf>
    <xf numFmtId="1" fontId="6" fillId="0" borderId="2" xfId="3" applyNumberFormat="1" applyFont="1" applyFill="1" applyBorder="1" applyAlignment="1">
      <alignment horizontal="center" vertical="center" wrapText="1"/>
    </xf>
    <xf numFmtId="0" fontId="9" fillId="3" borderId="2" xfId="0" applyFont="1" applyFill="1" applyBorder="1" applyAlignment="1">
      <alignment horizontal="center" vertical="center" wrapText="1"/>
    </xf>
    <xf numFmtId="0" fontId="12" fillId="7" borderId="2" xfId="0" applyFont="1" applyFill="1" applyBorder="1" applyAlignment="1">
      <alignment horizontal="center" vertical="center" wrapText="1"/>
    </xf>
    <xf numFmtId="164" fontId="4" fillId="7" borderId="2" xfId="10" applyFont="1" applyFill="1" applyBorder="1" applyAlignment="1">
      <alignment horizontal="center" vertical="center" wrapText="1"/>
    </xf>
    <xf numFmtId="0" fontId="4" fillId="7" borderId="2" xfId="1" applyFont="1" applyFill="1" applyBorder="1" applyAlignment="1">
      <alignment horizontal="center" vertical="center" wrapText="1"/>
    </xf>
    <xf numFmtId="0" fontId="8" fillId="7" borderId="2" xfId="1" applyFont="1" applyFill="1" applyBorder="1" applyAlignment="1">
      <alignment horizontal="center" vertical="center" wrapText="1"/>
    </xf>
    <xf numFmtId="44" fontId="6" fillId="0" borderId="2" xfId="13" applyFont="1" applyFill="1" applyBorder="1" applyAlignment="1">
      <alignment horizontal="right" vertical="center"/>
    </xf>
    <xf numFmtId="44" fontId="6" fillId="0" borderId="0" xfId="1" applyNumberFormat="1" applyFont="1" applyAlignment="1">
      <alignment vertical="center"/>
    </xf>
    <xf numFmtId="44" fontId="3" fillId="0" borderId="0" xfId="1" applyNumberFormat="1" applyFont="1" applyAlignment="1">
      <alignment vertical="center"/>
    </xf>
    <xf numFmtId="168" fontId="10" fillId="2" borderId="2" xfId="12" applyFont="1" applyFill="1" applyBorder="1" applyAlignment="1">
      <alignment horizontal="center" vertical="center" wrapText="1"/>
    </xf>
    <xf numFmtId="168" fontId="3" fillId="2" borderId="0" xfId="1" applyNumberFormat="1" applyFont="1" applyFill="1" applyAlignment="1">
      <alignment vertical="center"/>
    </xf>
    <xf numFmtId="167" fontId="5" fillId="4" borderId="2" xfId="9" applyNumberFormat="1" applyBorder="1" applyAlignment="1">
      <alignment horizontal="right" vertical="center"/>
    </xf>
    <xf numFmtId="9" fontId="3" fillId="0" borderId="0" xfId="1" applyNumberFormat="1" applyFont="1" applyAlignment="1">
      <alignment vertical="center"/>
    </xf>
    <xf numFmtId="4" fontId="6" fillId="0" borderId="0" xfId="1" applyNumberFormat="1" applyFont="1" applyAlignment="1">
      <alignment vertical="center"/>
    </xf>
    <xf numFmtId="0" fontId="15" fillId="7" borderId="2"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7" fillId="2" borderId="2" xfId="0" applyFont="1" applyFill="1" applyBorder="1" applyAlignment="1">
      <alignment horizontal="left" vertical="center" wrapText="1"/>
    </xf>
    <xf numFmtId="0" fontId="17" fillId="2" borderId="2" xfId="0" applyFont="1" applyFill="1" applyBorder="1" applyAlignment="1">
      <alignment horizontal="center" vertical="center" wrapText="1"/>
    </xf>
    <xf numFmtId="44" fontId="17" fillId="2" borderId="2" xfId="13" applyFont="1" applyFill="1" applyBorder="1" applyAlignment="1">
      <alignment horizontal="center" vertical="center" wrapText="1"/>
    </xf>
    <xf numFmtId="4" fontId="17" fillId="2" borderId="2" xfId="0" applyNumberFormat="1" applyFont="1" applyFill="1" applyBorder="1" applyAlignment="1">
      <alignment horizontal="center" vertical="center" wrapText="1"/>
    </xf>
    <xf numFmtId="44" fontId="0" fillId="0" borderId="0" xfId="0" applyNumberFormat="1"/>
    <xf numFmtId="0" fontId="0" fillId="0" borderId="2" xfId="0" applyBorder="1" applyAlignment="1">
      <alignment horizontal="center" vertical="center"/>
    </xf>
    <xf numFmtId="0" fontId="12" fillId="7" borderId="6" xfId="0" applyFont="1" applyFill="1" applyBorder="1" applyAlignment="1">
      <alignment horizontal="center" vertical="center" wrapText="1"/>
    </xf>
    <xf numFmtId="169" fontId="0" fillId="0" borderId="2" xfId="0" applyNumberFormat="1" applyBorder="1"/>
    <xf numFmtId="167" fontId="0" fillId="0" borderId="2" xfId="0" applyNumberFormat="1" applyBorder="1" applyAlignment="1">
      <alignment horizontal="center" vertical="center"/>
    </xf>
    <xf numFmtId="9" fontId="3" fillId="0" borderId="0" xfId="8" applyFont="1" applyAlignment="1">
      <alignment vertical="center"/>
    </xf>
    <xf numFmtId="4" fontId="3" fillId="0" borderId="0" xfId="1" applyNumberFormat="1" applyFont="1" applyAlignment="1">
      <alignment vertical="center"/>
    </xf>
    <xf numFmtId="4" fontId="3" fillId="8" borderId="0" xfId="1" applyNumberFormat="1" applyFont="1" applyFill="1" applyAlignment="1">
      <alignment vertical="center"/>
    </xf>
    <xf numFmtId="167" fontId="6" fillId="0" borderId="2" xfId="13" applyNumberFormat="1" applyFont="1" applyFill="1" applyBorder="1" applyAlignment="1">
      <alignment horizontal="right" vertical="center"/>
    </xf>
    <xf numFmtId="0" fontId="1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4" fillId="0" borderId="2" xfId="0" applyFont="1" applyBorder="1" applyAlignment="1">
      <alignment horizontal="center" vertical="center" wrapText="1"/>
    </xf>
    <xf numFmtId="4" fontId="0" fillId="0" borderId="2" xfId="0" applyNumberFormat="1" applyBorder="1"/>
    <xf numFmtId="9" fontId="0" fillId="0" borderId="2" xfId="8" applyFont="1" applyFill="1" applyBorder="1"/>
    <xf numFmtId="1" fontId="6" fillId="0" borderId="0" xfId="1" applyNumberFormat="1" applyFont="1" applyAlignment="1">
      <alignment vertical="center"/>
    </xf>
    <xf numFmtId="44" fontId="0" fillId="0" borderId="2" xfId="13" applyFont="1" applyBorder="1" applyAlignment="1">
      <alignment vertical="center"/>
    </xf>
    <xf numFmtId="170" fontId="0" fillId="0" borderId="0" xfId="0" applyNumberFormat="1"/>
    <xf numFmtId="0" fontId="0" fillId="0" borderId="2" xfId="0" applyBorder="1" applyAlignment="1">
      <alignment horizontal="center" vertical="center" wrapText="1"/>
    </xf>
    <xf numFmtId="0" fontId="0" fillId="0" borderId="2" xfId="0" applyBorder="1" applyAlignment="1" applyProtection="1">
      <alignment horizontal="center" vertical="center" wrapText="1"/>
      <protection locked="0"/>
    </xf>
    <xf numFmtId="171" fontId="0" fillId="2" borderId="2" xfId="16" applyNumberFormat="1" applyFont="1" applyFill="1" applyBorder="1" applyAlignment="1" applyProtection="1">
      <alignment vertical="center" wrapText="1"/>
      <protection locked="0"/>
    </xf>
    <xf numFmtId="167" fontId="0" fillId="0" borderId="2" xfId="16" applyNumberFormat="1" applyFont="1" applyFill="1" applyBorder="1" applyAlignment="1" applyProtection="1">
      <alignment vertical="center" wrapText="1"/>
      <protection locked="0"/>
    </xf>
    <xf numFmtId="43" fontId="4" fillId="5" borderId="2" xfId="2" applyFont="1" applyFill="1" applyBorder="1" applyAlignment="1">
      <alignment horizontal="center" vertical="center" wrapText="1"/>
    </xf>
    <xf numFmtId="164" fontId="4" fillId="2" borderId="3" xfId="10" applyFont="1" applyFill="1" applyBorder="1" applyAlignment="1">
      <alignment horizontal="center" vertical="center" wrapText="1"/>
    </xf>
    <xf numFmtId="164" fontId="4" fillId="2" borderId="4" xfId="10" applyFont="1" applyFill="1" applyBorder="1" applyAlignment="1">
      <alignment horizontal="center" vertical="center" wrapText="1"/>
    </xf>
    <xf numFmtId="164" fontId="4" fillId="2" borderId="5" xfId="10" applyFont="1" applyFill="1" applyBorder="1" applyAlignment="1">
      <alignment horizontal="center" vertical="center" wrapText="1"/>
    </xf>
    <xf numFmtId="0" fontId="0" fillId="0" borderId="2" xfId="0" applyBorder="1" applyAlignment="1">
      <alignment horizontal="center"/>
    </xf>
  </cellXfs>
  <cellStyles count="17">
    <cellStyle name="Entrada" xfId="9" builtinId="20"/>
    <cellStyle name="Millares" xfId="16" builtinId="3"/>
    <cellStyle name="Millares [0] 2" xfId="3" xr:uid="{00000000-0005-0000-0000-000001000000}"/>
    <cellStyle name="Millares 2" xfId="2" xr:uid="{00000000-0005-0000-0000-000002000000}"/>
    <cellStyle name="Moneda" xfId="13" builtinId="4"/>
    <cellStyle name="Moneda [0]" xfId="10" builtinId="7"/>
    <cellStyle name="Moneda [0] 2" xfId="5" xr:uid="{00000000-0005-0000-0000-000005000000}"/>
    <cellStyle name="Moneda 2" xfId="12" xr:uid="{00000000-0005-0000-0000-000006000000}"/>
    <cellStyle name="Moneda 3" xfId="15" xr:uid="{00000000-0005-0000-0000-000007000000}"/>
    <cellStyle name="Moneda 8" xfId="6" xr:uid="{00000000-0005-0000-0000-000008000000}"/>
    <cellStyle name="Normal" xfId="0" builtinId="0"/>
    <cellStyle name="Normal 2" xfId="1" xr:uid="{00000000-0005-0000-0000-00000A000000}"/>
    <cellStyle name="Normal 2 78" xfId="7" xr:uid="{00000000-0005-0000-0000-00000B000000}"/>
    <cellStyle name="Normal 3" xfId="14" xr:uid="{00000000-0005-0000-0000-00000C000000}"/>
    <cellStyle name="Normal 5 2" xfId="11" xr:uid="{00000000-0005-0000-0000-00000D000000}"/>
    <cellStyle name="Porcentaje" xfId="8" builtinId="5"/>
    <cellStyle name="Porcentaje 2" xfId="4" xr:uid="{00000000-0005-0000-0000-00000F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9FBA0-3DED-4723-895A-B5C05532D0CD}">
  <dimension ref="A1:AB70"/>
  <sheetViews>
    <sheetView showGridLines="0" tabSelected="1" topLeftCell="J52" zoomScale="85" zoomScaleNormal="85" zoomScaleSheetLayoutView="40" workbookViewId="0">
      <selection activeCell="W52" sqref="W52"/>
    </sheetView>
  </sheetViews>
  <sheetFormatPr baseColWidth="10" defaultColWidth="11.42578125" defaultRowHeight="138.75" customHeight="1" x14ac:dyDescent="0.25"/>
  <cols>
    <col min="1" max="1" width="10.42578125" style="1" customWidth="1"/>
    <col min="2" max="2" width="18" style="1" customWidth="1"/>
    <col min="3" max="3" width="66.85546875" style="1" customWidth="1"/>
    <col min="4" max="4" width="10.7109375" style="1" customWidth="1"/>
    <col min="5" max="5" width="13.7109375" style="1" customWidth="1"/>
    <col min="6" max="6" width="14.140625" style="1" customWidth="1"/>
    <col min="7" max="7" width="13.5703125" style="1" customWidth="1"/>
    <col min="8" max="8" width="18.28515625" style="1" customWidth="1"/>
    <col min="9" max="9" width="21" style="1" customWidth="1"/>
    <col min="10" max="11" width="19" style="1" customWidth="1"/>
    <col min="12" max="12" width="16" style="4" customWidth="1" collapsed="1"/>
    <col min="13" max="13" width="13.7109375" style="4" customWidth="1"/>
    <col min="14" max="14" width="14.85546875" style="4" customWidth="1"/>
    <col min="15" max="15" width="15" style="4" customWidth="1"/>
    <col min="16" max="16" width="13.42578125" style="4" customWidth="1"/>
    <col min="17" max="17" width="11" style="4" customWidth="1"/>
    <col min="18" max="18" width="20" style="4" customWidth="1"/>
    <col min="19" max="19" width="15.5703125" style="1" customWidth="1"/>
    <col min="20" max="20" width="8.28515625" style="3" customWidth="1"/>
    <col min="21" max="21" width="7.28515625" style="6" customWidth="1"/>
    <col min="22" max="22" width="18.5703125" style="4" customWidth="1"/>
    <col min="23" max="23" width="19.140625" style="1" customWidth="1"/>
    <col min="24" max="24" width="11.42578125" style="1"/>
    <col min="25" max="27" width="13.28515625" style="1" bestFit="1" customWidth="1"/>
    <col min="28" max="16384" width="11.42578125" style="1"/>
  </cols>
  <sheetData>
    <row r="1" spans="1:28" ht="97.5" customHeight="1" x14ac:dyDescent="0.25">
      <c r="E1" s="5"/>
      <c r="F1" s="18" t="s">
        <v>111</v>
      </c>
      <c r="G1" s="18" t="s">
        <v>112</v>
      </c>
      <c r="H1" s="18" t="s">
        <v>113</v>
      </c>
      <c r="I1" s="18" t="s">
        <v>117</v>
      </c>
      <c r="J1" s="18"/>
      <c r="K1" s="57"/>
      <c r="L1" s="58"/>
      <c r="M1" s="58"/>
      <c r="N1" s="58"/>
      <c r="O1" s="58"/>
      <c r="P1" s="58"/>
      <c r="Q1" s="58"/>
      <c r="R1" s="58"/>
      <c r="S1" s="59"/>
      <c r="T1" s="56" t="s">
        <v>5</v>
      </c>
      <c r="U1" s="56"/>
      <c r="V1" s="56"/>
      <c r="W1" s="56"/>
    </row>
    <row r="2" spans="1:28" ht="54.75" customHeight="1" x14ac:dyDescent="0.25">
      <c r="A2" s="17" t="s">
        <v>15</v>
      </c>
      <c r="B2" s="17" t="s">
        <v>22</v>
      </c>
      <c r="C2" s="17" t="s">
        <v>16</v>
      </c>
      <c r="D2" s="17" t="s">
        <v>3</v>
      </c>
      <c r="E2" s="17" t="s">
        <v>4</v>
      </c>
      <c r="F2" s="18" t="s">
        <v>17</v>
      </c>
      <c r="G2" s="18" t="s">
        <v>17</v>
      </c>
      <c r="H2" s="18" t="s">
        <v>17</v>
      </c>
      <c r="I2" s="18" t="s">
        <v>17</v>
      </c>
      <c r="J2" s="18" t="s">
        <v>17</v>
      </c>
      <c r="K2" s="18" t="s">
        <v>23</v>
      </c>
      <c r="L2" s="19" t="s">
        <v>0</v>
      </c>
      <c r="M2" s="19" t="s">
        <v>1</v>
      </c>
      <c r="N2" s="19" t="s">
        <v>18</v>
      </c>
      <c r="O2" s="19" t="s">
        <v>19</v>
      </c>
      <c r="P2" s="19" t="s">
        <v>6</v>
      </c>
      <c r="Q2" s="19" t="s">
        <v>20</v>
      </c>
      <c r="R2" s="19" t="s">
        <v>7</v>
      </c>
      <c r="S2" s="19" t="s">
        <v>2</v>
      </c>
      <c r="T2" s="19" t="s">
        <v>4</v>
      </c>
      <c r="U2" s="20" t="str">
        <f>IF(D2="","",D2)</f>
        <v>UNIDAD DE MEDIDA</v>
      </c>
      <c r="V2" s="19" t="s">
        <v>8</v>
      </c>
      <c r="W2" s="19" t="s">
        <v>21</v>
      </c>
      <c r="Z2" s="27"/>
    </row>
    <row r="3" spans="1:28" s="2" customFormat="1" ht="251.25" customHeight="1" x14ac:dyDescent="0.25">
      <c r="A3" s="8">
        <v>1</v>
      </c>
      <c r="B3" s="8" t="s">
        <v>51</v>
      </c>
      <c r="C3" s="52" t="s">
        <v>63</v>
      </c>
      <c r="D3" s="52" t="s">
        <v>114</v>
      </c>
      <c r="E3" s="52">
        <v>3</v>
      </c>
      <c r="F3" s="10">
        <f>+COLSAM!G2</f>
        <v>309400</v>
      </c>
      <c r="G3" s="10">
        <f>+TESCOL!G2</f>
        <v>571200</v>
      </c>
      <c r="H3" s="10">
        <f>+SOLHID!G2</f>
        <v>378420</v>
      </c>
      <c r="I3" s="10">
        <f>+PRADO!G2</f>
        <v>380800</v>
      </c>
      <c r="J3" s="11"/>
      <c r="K3" s="11">
        <f>+MIN(F3:J3)</f>
        <v>309400</v>
      </c>
      <c r="L3" s="12">
        <f>IFERROR(AVERAGE(F3:J3),"")</f>
        <v>409955</v>
      </c>
      <c r="M3" s="12">
        <f>IFERROR(MEDIAN(F3:J3),"")</f>
        <v>379610</v>
      </c>
      <c r="N3" s="12">
        <f>IFERROR(GEOMEAN(F3:J3),"")</f>
        <v>399479.85383882659</v>
      </c>
      <c r="O3" s="12">
        <f>IFERROR(HARMEAN(F3:J3),"")</f>
        <v>390191.3991820548</v>
      </c>
      <c r="P3" s="12">
        <f>IFERROR(_xlfn.STDEV.S(F3:J3),"")</f>
        <v>112480.70693827157</v>
      </c>
      <c r="Q3" s="13">
        <f>IFERROR(P3/L3,0)</f>
        <v>0.2743733017972011</v>
      </c>
      <c r="R3" s="26">
        <f>+L3</f>
        <v>409955</v>
      </c>
      <c r="S3" s="14" t="str">
        <f t="shared" ref="S3" si="0">IF(R3="","",IF(R3=L3,L$2,IF(R3=M3,M$2,IF(R3=N3,N$2,""))))</f>
        <v>PROMEDIO</v>
      </c>
      <c r="T3" s="15">
        <f>E3</f>
        <v>3</v>
      </c>
      <c r="U3" s="16" t="str">
        <f>D3</f>
        <v>Unidad</v>
      </c>
      <c r="V3" s="43">
        <f>ROUND(R3,0)</f>
        <v>409955</v>
      </c>
      <c r="W3" s="21">
        <f>T3*V3</f>
        <v>1229865</v>
      </c>
      <c r="X3" s="49"/>
      <c r="Y3" s="22"/>
      <c r="Z3" s="22"/>
      <c r="AA3" s="22"/>
      <c r="AB3" s="28"/>
    </row>
    <row r="4" spans="1:28" s="2" customFormat="1" ht="344.25" customHeight="1" x14ac:dyDescent="0.25">
      <c r="A4" s="8">
        <v>2</v>
      </c>
      <c r="B4" s="8" t="s">
        <v>51</v>
      </c>
      <c r="C4" s="52" t="s">
        <v>63</v>
      </c>
      <c r="D4" s="52" t="s">
        <v>114</v>
      </c>
      <c r="E4" s="52">
        <v>3</v>
      </c>
      <c r="F4" s="10">
        <f>+COLSAM!G3</f>
        <v>309400</v>
      </c>
      <c r="G4" s="10">
        <f>+TESCOL!G3</f>
        <v>571200</v>
      </c>
      <c r="H4" s="10">
        <f>+SOLHID!G3</f>
        <v>378420</v>
      </c>
      <c r="I4" s="10">
        <f>+PRADO!G3</f>
        <v>380800</v>
      </c>
      <c r="J4" s="24"/>
      <c r="K4" s="11">
        <f>+MIN(F4:J4)</f>
        <v>309400</v>
      </c>
      <c r="L4" s="12">
        <f>IFERROR(AVERAGE(F4:J4),"")</f>
        <v>409955</v>
      </c>
      <c r="M4" s="12">
        <f>IFERROR(MEDIAN(F4:J4),"")</f>
        <v>379610</v>
      </c>
      <c r="N4" s="12">
        <f>IFERROR(GEOMEAN(F4:J4),"")</f>
        <v>399479.85383882659</v>
      </c>
      <c r="O4" s="12">
        <f>IFERROR(HARMEAN(F4:J4),"")</f>
        <v>390191.3991820548</v>
      </c>
      <c r="P4" s="12">
        <f>IFERROR(_xlfn.STDEV.S(F4:J4),"")</f>
        <v>112480.70693827157</v>
      </c>
      <c r="Q4" s="13">
        <f t="shared" ref="Q4:Q51" si="1">IFERROR(P4/L4,0)</f>
        <v>0.2743733017972011</v>
      </c>
      <c r="R4" s="26">
        <f t="shared" ref="R4:R51" si="2">+L4</f>
        <v>409955</v>
      </c>
      <c r="S4" s="14" t="str">
        <f t="shared" ref="S4:S51" si="3">IF(R4="","",IF(R4=L4,L$2,IF(R4=M4,M$2,IF(R4=N4,N$2,""))))</f>
        <v>PROMEDIO</v>
      </c>
      <c r="T4" s="15">
        <f>E4</f>
        <v>3</v>
      </c>
      <c r="U4" s="16" t="str">
        <f>D4</f>
        <v>Unidad</v>
      </c>
      <c r="V4" s="43">
        <f>ROUND(R4,0)</f>
        <v>409955</v>
      </c>
      <c r="W4" s="21">
        <f t="shared" ref="W4:W51" si="4">T4*V4</f>
        <v>1229865</v>
      </c>
      <c r="X4" s="49"/>
      <c r="Y4" s="22"/>
      <c r="Z4" s="22"/>
      <c r="AA4" s="22"/>
    </row>
    <row r="5" spans="1:28" ht="346.5" customHeight="1" x14ac:dyDescent="0.25">
      <c r="A5" s="9">
        <v>3</v>
      </c>
      <c r="B5" s="8" t="s">
        <v>51</v>
      </c>
      <c r="C5" s="52" t="s">
        <v>64</v>
      </c>
      <c r="D5" s="52" t="s">
        <v>114</v>
      </c>
      <c r="E5" s="52">
        <v>3</v>
      </c>
      <c r="F5" s="10">
        <f>+COLSAM!G4</f>
        <v>285600</v>
      </c>
      <c r="G5" s="10">
        <f>+TESCOL!G4</f>
        <v>571200</v>
      </c>
      <c r="H5" s="10">
        <f>+SOLHID!G4</f>
        <v>342720</v>
      </c>
      <c r="I5" s="10">
        <f>+PRADO!G4</f>
        <v>380800</v>
      </c>
      <c r="J5" s="10"/>
      <c r="K5" s="11">
        <f>+MIN(F5:J5)</f>
        <v>285600</v>
      </c>
      <c r="L5" s="12">
        <f>IFERROR(AVERAGE(F5:J5),"")</f>
        <v>395080</v>
      </c>
      <c r="M5" s="12">
        <f>IFERROR(MEDIAN(F5:J5),"")</f>
        <v>361760</v>
      </c>
      <c r="N5" s="12">
        <f>IFERROR(GEOMEAN(F5:J5),"")</f>
        <v>381984.46220253228</v>
      </c>
      <c r="O5" s="12">
        <f>IFERROR(HARMEAN(F5:J5),"")</f>
        <v>370508.10810810805</v>
      </c>
      <c r="P5" s="12">
        <f>IFERROR(_xlfn.STDEV.S(F5:J5),"")</f>
        <v>123760</v>
      </c>
      <c r="Q5" s="13">
        <f t="shared" si="1"/>
        <v>0.31325301204819278</v>
      </c>
      <c r="R5" s="26">
        <f t="shared" si="2"/>
        <v>395080</v>
      </c>
      <c r="S5" s="14" t="str">
        <f t="shared" si="3"/>
        <v>PROMEDIO</v>
      </c>
      <c r="T5" s="15">
        <f>E5</f>
        <v>3</v>
      </c>
      <c r="U5" s="16" t="str">
        <f>D5</f>
        <v>Unidad</v>
      </c>
      <c r="V5" s="43">
        <f t="shared" ref="V5:V51" si="5">ROUND(R5,0)</f>
        <v>395080</v>
      </c>
      <c r="W5" s="21">
        <f t="shared" si="4"/>
        <v>1185240</v>
      </c>
      <c r="X5" s="49"/>
      <c r="Z5" s="22"/>
    </row>
    <row r="6" spans="1:28" ht="30" customHeight="1" x14ac:dyDescent="0.25">
      <c r="A6" s="8">
        <v>4</v>
      </c>
      <c r="B6" s="8" t="s">
        <v>51</v>
      </c>
      <c r="C6" s="52" t="s">
        <v>65</v>
      </c>
      <c r="D6" s="52" t="s">
        <v>114</v>
      </c>
      <c r="E6" s="52">
        <v>3</v>
      </c>
      <c r="F6" s="10">
        <f>+COLSAM!G5</f>
        <v>309400</v>
      </c>
      <c r="G6" s="10">
        <f>+TESCOL!G5</f>
        <v>535500</v>
      </c>
      <c r="H6" s="10">
        <f>+SOLHID!G5</f>
        <v>378420</v>
      </c>
      <c r="I6" s="10">
        <f>+PRADO!G5</f>
        <v>380800</v>
      </c>
      <c r="J6" s="10"/>
      <c r="K6" s="11">
        <f>+MIN(F6:J6)</f>
        <v>309400</v>
      </c>
      <c r="L6" s="12">
        <f>IFERROR(AVERAGE(F6:J6),"")</f>
        <v>401030</v>
      </c>
      <c r="M6" s="12">
        <f>IFERROR(MEDIAN(F6:J6),"")</f>
        <v>379610</v>
      </c>
      <c r="N6" s="12">
        <f>IFERROR(GEOMEAN(F6:J6),"")</f>
        <v>393086.11311671732</v>
      </c>
      <c r="O6" s="12">
        <f>IFERROR(HARMEAN(F6:J6),"")</f>
        <v>385799.02461339888</v>
      </c>
      <c r="P6" s="12">
        <f>IFERROR(_xlfn.STDEV.S(F6:J6),"")</f>
        <v>95566.212299815117</v>
      </c>
      <c r="Q6" s="13">
        <f t="shared" si="1"/>
        <v>0.23830190334841561</v>
      </c>
      <c r="R6" s="26">
        <f t="shared" si="2"/>
        <v>401030</v>
      </c>
      <c r="S6" s="14" t="str">
        <f t="shared" si="3"/>
        <v>PROMEDIO</v>
      </c>
      <c r="T6" s="15">
        <f>E6</f>
        <v>3</v>
      </c>
      <c r="U6" s="16" t="str">
        <f>D6</f>
        <v>Unidad</v>
      </c>
      <c r="V6" s="43">
        <f t="shared" si="5"/>
        <v>401030</v>
      </c>
      <c r="W6" s="21">
        <f t="shared" si="4"/>
        <v>1203090</v>
      </c>
      <c r="X6" s="49"/>
    </row>
    <row r="7" spans="1:28" ht="30" customHeight="1" x14ac:dyDescent="0.25">
      <c r="A7" s="8">
        <v>5</v>
      </c>
      <c r="B7" s="8" t="s">
        <v>51</v>
      </c>
      <c r="C7" s="52" t="s">
        <v>66</v>
      </c>
      <c r="D7" s="52" t="s">
        <v>114</v>
      </c>
      <c r="E7" s="52">
        <v>3</v>
      </c>
      <c r="F7" s="10">
        <f>+COLSAM!G6</f>
        <v>309400</v>
      </c>
      <c r="G7" s="10">
        <f>+TESCOL!G6</f>
        <v>476000</v>
      </c>
      <c r="H7" s="10">
        <f>+SOLHID!G6</f>
        <v>378420</v>
      </c>
      <c r="I7" s="10">
        <f>+PRADO!G6</f>
        <v>380800</v>
      </c>
      <c r="J7" s="10"/>
      <c r="K7" s="11">
        <f>+MIN(F7:J7)</f>
        <v>309400</v>
      </c>
      <c r="L7" s="12">
        <f>IFERROR(AVERAGE(F7:J7),"")</f>
        <v>386155</v>
      </c>
      <c r="M7" s="12">
        <f>IFERROR(MEDIAN(F7:J7),"")</f>
        <v>379610</v>
      </c>
      <c r="N7" s="12">
        <f>IFERROR(GEOMEAN(F7:J7),"")</f>
        <v>381680.14698116085</v>
      </c>
      <c r="O7" s="12">
        <f>IFERROR(HARMEAN(F7:J7),"")</f>
        <v>377304.41243438871</v>
      </c>
      <c r="P7" s="12">
        <f>IFERROR(_xlfn.STDEV.S(F7:J7),"")</f>
        <v>68439.65785030392</v>
      </c>
      <c r="Q7" s="13">
        <f t="shared" si="1"/>
        <v>0.17723364413332449</v>
      </c>
      <c r="R7" s="26">
        <f t="shared" si="2"/>
        <v>386155</v>
      </c>
      <c r="S7" s="14" t="str">
        <f t="shared" si="3"/>
        <v>PROMEDIO</v>
      </c>
      <c r="T7" s="15">
        <f>E7</f>
        <v>3</v>
      </c>
      <c r="U7" s="16" t="str">
        <f>D7</f>
        <v>Unidad</v>
      </c>
      <c r="V7" s="43">
        <f t="shared" si="5"/>
        <v>386155</v>
      </c>
      <c r="W7" s="21">
        <f t="shared" si="4"/>
        <v>1158465</v>
      </c>
      <c r="X7" s="49"/>
      <c r="Z7" s="23"/>
    </row>
    <row r="8" spans="1:28" ht="30" customHeight="1" x14ac:dyDescent="0.25">
      <c r="A8" s="9">
        <v>6</v>
      </c>
      <c r="B8" s="8" t="s">
        <v>51</v>
      </c>
      <c r="C8" s="52" t="s">
        <v>67</v>
      </c>
      <c r="D8" s="52" t="s">
        <v>114</v>
      </c>
      <c r="E8" s="52">
        <v>3</v>
      </c>
      <c r="F8" s="10">
        <f>+COLSAM!G7</f>
        <v>309400</v>
      </c>
      <c r="G8" s="10">
        <f>+TESCOL!G7</f>
        <v>476000</v>
      </c>
      <c r="H8" s="10">
        <f>+SOLHID!G7</f>
        <v>378420</v>
      </c>
      <c r="I8" s="10">
        <f>+PRADO!G7</f>
        <v>380800</v>
      </c>
      <c r="J8" s="10"/>
      <c r="K8" s="11">
        <f>+MIN(F8:J8)</f>
        <v>309400</v>
      </c>
      <c r="L8" s="12">
        <f>IFERROR(AVERAGE(F8:J8),"")</f>
        <v>386155</v>
      </c>
      <c r="M8" s="12">
        <f>IFERROR(MEDIAN(F8:J8),"")</f>
        <v>379610</v>
      </c>
      <c r="N8" s="12">
        <f>IFERROR(GEOMEAN(F8:J8),"")</f>
        <v>381680.14698116085</v>
      </c>
      <c r="O8" s="12">
        <f>IFERROR(HARMEAN(F8:J8),"")</f>
        <v>377304.41243438871</v>
      </c>
      <c r="P8" s="12">
        <f>IFERROR(_xlfn.STDEV.S(F8:J8),"")</f>
        <v>68439.65785030392</v>
      </c>
      <c r="Q8" s="13">
        <f t="shared" si="1"/>
        <v>0.17723364413332449</v>
      </c>
      <c r="R8" s="26">
        <f t="shared" si="2"/>
        <v>386155</v>
      </c>
      <c r="S8" s="14" t="str">
        <f t="shared" si="3"/>
        <v>PROMEDIO</v>
      </c>
      <c r="T8" s="15">
        <f>E8</f>
        <v>3</v>
      </c>
      <c r="U8" s="16" t="str">
        <f>D8</f>
        <v>Unidad</v>
      </c>
      <c r="V8" s="43">
        <f t="shared" si="5"/>
        <v>386155</v>
      </c>
      <c r="W8" s="21">
        <f t="shared" si="4"/>
        <v>1158465</v>
      </c>
      <c r="X8" s="49"/>
      <c r="Z8" s="23"/>
    </row>
    <row r="9" spans="1:28" ht="30" customHeight="1" x14ac:dyDescent="0.25">
      <c r="A9" s="8">
        <v>7</v>
      </c>
      <c r="B9" s="8" t="s">
        <v>51</v>
      </c>
      <c r="C9" s="53" t="s">
        <v>68</v>
      </c>
      <c r="D9" s="52" t="s">
        <v>114</v>
      </c>
      <c r="E9" s="52">
        <v>3</v>
      </c>
      <c r="F9" s="10">
        <f>+COLSAM!G8</f>
        <v>309400</v>
      </c>
      <c r="G9" s="10">
        <f>+TESCOL!G8</f>
        <v>535500</v>
      </c>
      <c r="H9" s="10">
        <f>+SOLHID!G8</f>
        <v>378420</v>
      </c>
      <c r="I9" s="10">
        <f>+PRADO!G8</f>
        <v>380800</v>
      </c>
      <c r="J9" s="10"/>
      <c r="K9" s="11">
        <f>+MIN(F9:J9)</f>
        <v>309400</v>
      </c>
      <c r="L9" s="12">
        <f>IFERROR(AVERAGE(F9:J9),"")</f>
        <v>401030</v>
      </c>
      <c r="M9" s="12">
        <f>IFERROR(MEDIAN(F9:J9),"")</f>
        <v>379610</v>
      </c>
      <c r="N9" s="12">
        <f>IFERROR(GEOMEAN(F9:J9),"")</f>
        <v>393086.11311671732</v>
      </c>
      <c r="O9" s="12">
        <f>IFERROR(HARMEAN(F9:J9),"")</f>
        <v>385799.02461339888</v>
      </c>
      <c r="P9" s="12">
        <f>IFERROR(_xlfn.STDEV.S(F9:J9),"")</f>
        <v>95566.212299815117</v>
      </c>
      <c r="Q9" s="13">
        <f t="shared" si="1"/>
        <v>0.23830190334841561</v>
      </c>
      <c r="R9" s="26">
        <f t="shared" si="2"/>
        <v>401030</v>
      </c>
      <c r="S9" s="14" t="str">
        <f t="shared" si="3"/>
        <v>PROMEDIO</v>
      </c>
      <c r="T9" s="15">
        <f>E9</f>
        <v>3</v>
      </c>
      <c r="U9" s="16" t="str">
        <f>D9</f>
        <v>Unidad</v>
      </c>
      <c r="V9" s="43">
        <f t="shared" si="5"/>
        <v>401030</v>
      </c>
      <c r="W9" s="21">
        <f t="shared" si="4"/>
        <v>1203090</v>
      </c>
      <c r="X9" s="49"/>
    </row>
    <row r="10" spans="1:28" ht="30" customHeight="1" x14ac:dyDescent="0.25">
      <c r="A10" s="8">
        <v>8</v>
      </c>
      <c r="B10" s="8" t="s">
        <v>51</v>
      </c>
      <c r="C10" s="53" t="s">
        <v>69</v>
      </c>
      <c r="D10" s="52" t="s">
        <v>114</v>
      </c>
      <c r="E10" s="52">
        <v>3</v>
      </c>
      <c r="F10" s="10">
        <f>+COLSAM!G9</f>
        <v>285600</v>
      </c>
      <c r="G10" s="10">
        <f>+TESCOL!G9</f>
        <v>535500</v>
      </c>
      <c r="H10" s="10">
        <f>+SOLHID!G9</f>
        <v>342720</v>
      </c>
      <c r="I10" s="10">
        <f>+PRADO!G9</f>
        <v>357000</v>
      </c>
      <c r="J10" s="10"/>
      <c r="K10" s="11">
        <f>+MIN(F10:J10)</f>
        <v>285600</v>
      </c>
      <c r="L10" s="12">
        <f>IFERROR(AVERAGE(F10:J10),"")</f>
        <v>380205</v>
      </c>
      <c r="M10" s="12">
        <f>IFERROR(MEDIAN(F10:J10),"")</f>
        <v>349860</v>
      </c>
      <c r="N10" s="12">
        <f>IFERROR(GEOMEAN(F10:J10),"")</f>
        <v>369854.865155101</v>
      </c>
      <c r="O10" s="12">
        <f>IFERROR(HARMEAN(F10:J10),"")</f>
        <v>360757.89473684208</v>
      </c>
      <c r="P10" s="12">
        <f>IFERROR(_xlfn.STDEV.S(F10:J10),"")</f>
        <v>108028.1449438062</v>
      </c>
      <c r="Q10" s="13">
        <f t="shared" si="1"/>
        <v>0.28413131059245983</v>
      </c>
      <c r="R10" s="26">
        <f t="shared" si="2"/>
        <v>380205</v>
      </c>
      <c r="S10" s="14" t="str">
        <f t="shared" si="3"/>
        <v>PROMEDIO</v>
      </c>
      <c r="T10" s="15">
        <f>E10</f>
        <v>3</v>
      </c>
      <c r="U10" s="16" t="str">
        <f>D10</f>
        <v>Unidad</v>
      </c>
      <c r="V10" s="43">
        <f t="shared" si="5"/>
        <v>380205</v>
      </c>
      <c r="W10" s="21">
        <f t="shared" si="4"/>
        <v>1140615</v>
      </c>
      <c r="X10" s="49"/>
    </row>
    <row r="11" spans="1:28" ht="30" customHeight="1" x14ac:dyDescent="0.25">
      <c r="A11" s="9">
        <v>9</v>
      </c>
      <c r="B11" s="8" t="s">
        <v>51</v>
      </c>
      <c r="C11" s="53" t="s">
        <v>70</v>
      </c>
      <c r="D11" s="52" t="s">
        <v>114</v>
      </c>
      <c r="E11" s="52">
        <v>3</v>
      </c>
      <c r="F11" s="10">
        <f>+COLSAM!G10</f>
        <v>285600</v>
      </c>
      <c r="G11" s="10">
        <f>+TESCOL!G10</f>
        <v>476000</v>
      </c>
      <c r="H11" s="10">
        <f>+SOLHID!G10</f>
        <v>342720</v>
      </c>
      <c r="I11" s="10">
        <f>+PRADO!G10</f>
        <v>357000</v>
      </c>
      <c r="J11" s="10"/>
      <c r="K11" s="11">
        <f>+MIN(F11:J11)</f>
        <v>285600</v>
      </c>
      <c r="L11" s="12">
        <f>IFERROR(AVERAGE(F11:J11),"")</f>
        <v>365330</v>
      </c>
      <c r="M11" s="12">
        <f>IFERROR(MEDIAN(F11:J11),"")</f>
        <v>349860</v>
      </c>
      <c r="N11" s="12">
        <f>IFERROR(GEOMEAN(F11:J11),"")</f>
        <v>359122.98751744634</v>
      </c>
      <c r="O11" s="12">
        <f>IFERROR(HARMEAN(F11:J11),"")</f>
        <v>353319.58762886596</v>
      </c>
      <c r="P11" s="12">
        <f>IFERROR(_xlfn.STDEV.S(F11:J11),"")</f>
        <v>79969.416654118468</v>
      </c>
      <c r="Q11" s="13">
        <f t="shared" si="1"/>
        <v>0.21889638588158231</v>
      </c>
      <c r="R11" s="26">
        <f t="shared" si="2"/>
        <v>365330</v>
      </c>
      <c r="S11" s="14" t="str">
        <f t="shared" si="3"/>
        <v>PROMEDIO</v>
      </c>
      <c r="T11" s="15">
        <f>E11</f>
        <v>3</v>
      </c>
      <c r="U11" s="16" t="str">
        <f>D11</f>
        <v>Unidad</v>
      </c>
      <c r="V11" s="43">
        <f t="shared" si="5"/>
        <v>365330</v>
      </c>
      <c r="W11" s="21">
        <f t="shared" si="4"/>
        <v>1095990</v>
      </c>
      <c r="X11" s="49"/>
    </row>
    <row r="12" spans="1:28" ht="30" customHeight="1" x14ac:dyDescent="0.25">
      <c r="A12" s="8">
        <v>10</v>
      </c>
      <c r="B12" s="8" t="s">
        <v>51</v>
      </c>
      <c r="C12" s="53" t="s">
        <v>71</v>
      </c>
      <c r="D12" s="52" t="s">
        <v>114</v>
      </c>
      <c r="E12" s="52">
        <v>3</v>
      </c>
      <c r="F12" s="10">
        <f>+COLSAM!G11</f>
        <v>309400</v>
      </c>
      <c r="G12" s="10">
        <f>+TESCOL!G11</f>
        <v>535500</v>
      </c>
      <c r="H12" s="10">
        <f>+SOLHID!G11</f>
        <v>378420</v>
      </c>
      <c r="I12" s="10">
        <f>+PRADO!G11</f>
        <v>380800</v>
      </c>
      <c r="J12" s="10"/>
      <c r="K12" s="11">
        <f>+MIN(F12:J12)</f>
        <v>309400</v>
      </c>
      <c r="L12" s="12">
        <f>IFERROR(AVERAGE(F12:J12),"")</f>
        <v>401030</v>
      </c>
      <c r="M12" s="12">
        <f>IFERROR(MEDIAN(F12:J12),"")</f>
        <v>379610</v>
      </c>
      <c r="N12" s="12">
        <f>IFERROR(GEOMEAN(F12:J12),"")</f>
        <v>393086.11311671732</v>
      </c>
      <c r="O12" s="12">
        <f>IFERROR(HARMEAN(F12:J12),"")</f>
        <v>385799.02461339888</v>
      </c>
      <c r="P12" s="12">
        <f>IFERROR(_xlfn.STDEV.S(F12:J12),"")</f>
        <v>95566.212299815117</v>
      </c>
      <c r="Q12" s="13">
        <f t="shared" si="1"/>
        <v>0.23830190334841561</v>
      </c>
      <c r="R12" s="26">
        <f t="shared" si="2"/>
        <v>401030</v>
      </c>
      <c r="S12" s="14" t="str">
        <f t="shared" si="3"/>
        <v>PROMEDIO</v>
      </c>
      <c r="T12" s="15">
        <f>E12</f>
        <v>3</v>
      </c>
      <c r="U12" s="16" t="str">
        <f>D12</f>
        <v>Unidad</v>
      </c>
      <c r="V12" s="43">
        <f t="shared" si="5"/>
        <v>401030</v>
      </c>
      <c r="W12" s="21">
        <f t="shared" si="4"/>
        <v>1203090</v>
      </c>
      <c r="X12" s="49"/>
    </row>
    <row r="13" spans="1:28" ht="30" customHeight="1" x14ac:dyDescent="0.25">
      <c r="A13" s="8">
        <v>11</v>
      </c>
      <c r="B13" s="8" t="s">
        <v>51</v>
      </c>
      <c r="C13" s="52" t="s">
        <v>72</v>
      </c>
      <c r="D13" s="52" t="s">
        <v>114</v>
      </c>
      <c r="E13" s="52">
        <v>3</v>
      </c>
      <c r="F13" s="10">
        <f>+COLSAM!G12</f>
        <v>285600</v>
      </c>
      <c r="G13" s="10">
        <f>+TESCOL!G12</f>
        <v>476000</v>
      </c>
      <c r="H13" s="10">
        <f>+SOLHID!G12</f>
        <v>342720</v>
      </c>
      <c r="I13" s="10">
        <f>+PRADO!G12</f>
        <v>380800</v>
      </c>
      <c r="J13" s="10"/>
      <c r="K13" s="11">
        <f>+MIN(F13:J13)</f>
        <v>285600</v>
      </c>
      <c r="L13" s="12">
        <f>IFERROR(AVERAGE(F13:J13),"")</f>
        <v>371280</v>
      </c>
      <c r="M13" s="12">
        <f>IFERROR(MEDIAN(F13:J13),"")</f>
        <v>361760</v>
      </c>
      <c r="N13" s="12">
        <f>IFERROR(GEOMEAN(F13:J13),"")</f>
        <v>364964.30114547082</v>
      </c>
      <c r="O13" s="12">
        <f>IFERROR(HARMEAN(F13:J13),"")</f>
        <v>358869.10994764394</v>
      </c>
      <c r="P13" s="12">
        <f>IFERROR(_xlfn.STDEV.S(F13:J13),"")</f>
        <v>80028.421617989356</v>
      </c>
      <c r="Q13" s="13">
        <f t="shared" si="1"/>
        <v>0.21554735406698275</v>
      </c>
      <c r="R13" s="26">
        <f t="shared" si="2"/>
        <v>371280</v>
      </c>
      <c r="S13" s="14" t="str">
        <f t="shared" si="3"/>
        <v>PROMEDIO</v>
      </c>
      <c r="T13" s="15">
        <f>E13</f>
        <v>3</v>
      </c>
      <c r="U13" s="16" t="str">
        <f>D13</f>
        <v>Unidad</v>
      </c>
      <c r="V13" s="43">
        <f t="shared" si="5"/>
        <v>371280</v>
      </c>
      <c r="W13" s="21">
        <f t="shared" si="4"/>
        <v>1113840</v>
      </c>
      <c r="X13" s="49"/>
    </row>
    <row r="14" spans="1:28" ht="30" customHeight="1" x14ac:dyDescent="0.25">
      <c r="A14" s="9">
        <v>12</v>
      </c>
      <c r="B14" s="8" t="s">
        <v>51</v>
      </c>
      <c r="C14" s="52" t="s">
        <v>73</v>
      </c>
      <c r="D14" s="52" t="s">
        <v>114</v>
      </c>
      <c r="E14" s="52">
        <v>7</v>
      </c>
      <c r="F14" s="10">
        <f>+COLSAM!G13</f>
        <v>101150</v>
      </c>
      <c r="G14" s="10">
        <f>+TESCOL!G13</f>
        <v>142800</v>
      </c>
      <c r="H14" s="10">
        <f>+SOLHID!G13</f>
        <v>121380</v>
      </c>
      <c r="I14" s="10">
        <f>+PRADO!G13</f>
        <v>119000</v>
      </c>
      <c r="J14" s="10"/>
      <c r="K14" s="11">
        <f>+MIN(F14:J14)</f>
        <v>101150</v>
      </c>
      <c r="L14" s="12">
        <f>IFERROR(AVERAGE(F14:J14),"")</f>
        <v>121082.5</v>
      </c>
      <c r="M14" s="12">
        <f>IFERROR(MEDIAN(F14:J14),"")</f>
        <v>120190</v>
      </c>
      <c r="N14" s="12">
        <f>IFERROR(GEOMEAN(F14:J14),"")</f>
        <v>120184.10876650873</v>
      </c>
      <c r="O14" s="12">
        <f>IFERROR(HARMEAN(F14:J14),"")</f>
        <v>119292.3832923833</v>
      </c>
      <c r="P14" s="12">
        <f>IFERROR(_xlfn.STDEV.S(F14:J14),"")</f>
        <v>17062.431196442474</v>
      </c>
      <c r="Q14" s="13">
        <f t="shared" si="1"/>
        <v>0.14091574914989757</v>
      </c>
      <c r="R14" s="26">
        <f t="shared" si="2"/>
        <v>121082.5</v>
      </c>
      <c r="S14" s="14" t="str">
        <f t="shared" si="3"/>
        <v>PROMEDIO</v>
      </c>
      <c r="T14" s="15">
        <f>E14</f>
        <v>7</v>
      </c>
      <c r="U14" s="16" t="str">
        <f>D14</f>
        <v>Unidad</v>
      </c>
      <c r="V14" s="43">
        <f t="shared" si="5"/>
        <v>121083</v>
      </c>
      <c r="W14" s="21">
        <f t="shared" si="4"/>
        <v>847581</v>
      </c>
      <c r="X14" s="49"/>
      <c r="Y14" s="40">
        <f>+W14/$W$52</f>
        <v>8.9705060485331563E-3</v>
      </c>
    </row>
    <row r="15" spans="1:28" ht="30" customHeight="1" x14ac:dyDescent="0.25">
      <c r="A15" s="8">
        <v>13</v>
      </c>
      <c r="B15" s="8" t="s">
        <v>51</v>
      </c>
      <c r="C15" s="52" t="s">
        <v>74</v>
      </c>
      <c r="D15" s="52" t="s">
        <v>114</v>
      </c>
      <c r="E15" s="52">
        <v>1</v>
      </c>
      <c r="F15" s="10">
        <f>+COLSAM!G14</f>
        <v>190400</v>
      </c>
      <c r="G15" s="10">
        <f>+TESCOL!G14</f>
        <v>226100</v>
      </c>
      <c r="H15" s="10">
        <f>+SOLHID!G14</f>
        <v>228480</v>
      </c>
      <c r="I15" s="10">
        <f>+PRADO!G14</f>
        <v>178500</v>
      </c>
      <c r="J15" s="10"/>
      <c r="K15" s="11">
        <f>+MIN(F15:J15)</f>
        <v>178500</v>
      </c>
      <c r="L15" s="12">
        <f>IFERROR(AVERAGE(F15:J15),"")</f>
        <v>205870</v>
      </c>
      <c r="M15" s="12">
        <f>IFERROR(MEDIAN(F15:J15),"")</f>
        <v>208250</v>
      </c>
      <c r="N15" s="12">
        <f>IFERROR(GEOMEAN(F15:J15),"")</f>
        <v>204697.94335581627</v>
      </c>
      <c r="O15" s="12">
        <f>IFERROR(HARMEAN(F15:J15),"")</f>
        <v>203521.80028129395</v>
      </c>
      <c r="P15" s="12">
        <f>IFERROR(_xlfn.STDEV.S(F15:J15),"")</f>
        <v>25225.006111660972</v>
      </c>
      <c r="Q15" s="13">
        <f t="shared" si="1"/>
        <v>0.12252880998523812</v>
      </c>
      <c r="R15" s="26">
        <f t="shared" si="2"/>
        <v>205870</v>
      </c>
      <c r="S15" s="14" t="str">
        <f t="shared" si="3"/>
        <v>PROMEDIO</v>
      </c>
      <c r="T15" s="15">
        <f>E15</f>
        <v>1</v>
      </c>
      <c r="U15" s="16" t="str">
        <f>D15</f>
        <v>Unidad</v>
      </c>
      <c r="V15" s="43">
        <f t="shared" si="5"/>
        <v>205870</v>
      </c>
      <c r="W15" s="21">
        <f t="shared" si="4"/>
        <v>205870</v>
      </c>
      <c r="X15" s="49"/>
      <c r="Y15" s="40">
        <f t="shared" ref="Y15:Y22" si="6">+V15/$V$52</f>
        <v>3.732536314358353E-3</v>
      </c>
    </row>
    <row r="16" spans="1:28" ht="30" customHeight="1" x14ac:dyDescent="0.25">
      <c r="A16" s="8">
        <v>14</v>
      </c>
      <c r="B16" s="8" t="s">
        <v>51</v>
      </c>
      <c r="C16" s="52" t="s">
        <v>75</v>
      </c>
      <c r="D16" s="52" t="s">
        <v>114</v>
      </c>
      <c r="E16" s="52">
        <v>1</v>
      </c>
      <c r="F16" s="10">
        <f>+COLSAM!G15</f>
        <v>190400</v>
      </c>
      <c r="G16" s="10">
        <f>+TESCOL!G15</f>
        <v>226100</v>
      </c>
      <c r="H16" s="10">
        <f>+SOLHID!G15</f>
        <v>228480</v>
      </c>
      <c r="I16" s="10">
        <f>+PRADO!G15</f>
        <v>178500</v>
      </c>
      <c r="J16" s="10"/>
      <c r="K16" s="11">
        <f>+MIN(F16:J16)</f>
        <v>178500</v>
      </c>
      <c r="L16" s="12">
        <f>IFERROR(AVERAGE(F16:J16),"")</f>
        <v>205870</v>
      </c>
      <c r="M16" s="12">
        <f>IFERROR(MEDIAN(F16:J16),"")</f>
        <v>208250</v>
      </c>
      <c r="N16" s="12">
        <f>IFERROR(GEOMEAN(F16:J16),"")</f>
        <v>204697.94335581627</v>
      </c>
      <c r="O16" s="12">
        <f>IFERROR(HARMEAN(F16:J16),"")</f>
        <v>203521.80028129395</v>
      </c>
      <c r="P16" s="12">
        <f>IFERROR(_xlfn.STDEV.S(F16:J16),"")</f>
        <v>25225.006111660972</v>
      </c>
      <c r="Q16" s="13">
        <f t="shared" si="1"/>
        <v>0.12252880998523812</v>
      </c>
      <c r="R16" s="26">
        <f t="shared" si="2"/>
        <v>205870</v>
      </c>
      <c r="S16" s="14" t="str">
        <f t="shared" si="3"/>
        <v>PROMEDIO</v>
      </c>
      <c r="T16" s="15">
        <f>E16</f>
        <v>1</v>
      </c>
      <c r="U16" s="16" t="str">
        <f>D16</f>
        <v>Unidad</v>
      </c>
      <c r="V16" s="43">
        <f t="shared" si="5"/>
        <v>205870</v>
      </c>
      <c r="W16" s="21">
        <f t="shared" si="4"/>
        <v>205870</v>
      </c>
      <c r="X16" s="49"/>
      <c r="Y16" s="40">
        <f t="shared" si="6"/>
        <v>3.732536314358353E-3</v>
      </c>
    </row>
    <row r="17" spans="1:25" ht="30" customHeight="1" x14ac:dyDescent="0.25">
      <c r="A17" s="9">
        <v>15</v>
      </c>
      <c r="B17" s="8" t="s">
        <v>51</v>
      </c>
      <c r="C17" s="52" t="s">
        <v>76</v>
      </c>
      <c r="D17" s="52" t="s">
        <v>114</v>
      </c>
      <c r="E17" s="52">
        <v>1</v>
      </c>
      <c r="F17" s="10">
        <f>+COLSAM!G16</f>
        <v>190400</v>
      </c>
      <c r="G17" s="10">
        <f>+TESCOL!G16</f>
        <v>226100</v>
      </c>
      <c r="H17" s="10">
        <f>+SOLHID!G16</f>
        <v>228480</v>
      </c>
      <c r="I17" s="10">
        <f>+PRADO!G16</f>
        <v>178500</v>
      </c>
      <c r="J17" s="10"/>
      <c r="K17" s="11">
        <f>+MIN(F17:J17)</f>
        <v>178500</v>
      </c>
      <c r="L17" s="12">
        <f>IFERROR(AVERAGE(F17:J17),"")</f>
        <v>205870</v>
      </c>
      <c r="M17" s="12">
        <f>IFERROR(MEDIAN(F17:J17),"")</f>
        <v>208250</v>
      </c>
      <c r="N17" s="12">
        <f>IFERROR(GEOMEAN(F17:J17),"")</f>
        <v>204697.94335581627</v>
      </c>
      <c r="O17" s="12">
        <f>IFERROR(HARMEAN(F17:J17),"")</f>
        <v>203521.80028129395</v>
      </c>
      <c r="P17" s="12">
        <f>IFERROR(_xlfn.STDEV.S(F17:J17),"")</f>
        <v>25225.006111660972</v>
      </c>
      <c r="Q17" s="13">
        <f t="shared" si="1"/>
        <v>0.12252880998523812</v>
      </c>
      <c r="R17" s="26">
        <f t="shared" si="2"/>
        <v>205870</v>
      </c>
      <c r="S17" s="14" t="str">
        <f t="shared" si="3"/>
        <v>PROMEDIO</v>
      </c>
      <c r="T17" s="15">
        <f>E17</f>
        <v>1</v>
      </c>
      <c r="U17" s="16" t="str">
        <f>D17</f>
        <v>Unidad</v>
      </c>
      <c r="V17" s="43">
        <f t="shared" si="5"/>
        <v>205870</v>
      </c>
      <c r="W17" s="21">
        <f t="shared" si="4"/>
        <v>205870</v>
      </c>
      <c r="X17" s="49"/>
      <c r="Y17" s="40">
        <f t="shared" si="6"/>
        <v>3.732536314358353E-3</v>
      </c>
    </row>
    <row r="18" spans="1:25" ht="30" customHeight="1" x14ac:dyDescent="0.25">
      <c r="A18" s="8">
        <v>16</v>
      </c>
      <c r="B18" s="8" t="s">
        <v>51</v>
      </c>
      <c r="C18" s="52" t="s">
        <v>77</v>
      </c>
      <c r="D18" s="52" t="s">
        <v>114</v>
      </c>
      <c r="E18" s="52">
        <v>1</v>
      </c>
      <c r="F18" s="10">
        <f>+COLSAM!G17</f>
        <v>190400</v>
      </c>
      <c r="G18" s="10">
        <f>+TESCOL!G17</f>
        <v>226100</v>
      </c>
      <c r="H18" s="10">
        <f>+SOLHID!G17</f>
        <v>228480</v>
      </c>
      <c r="I18" s="10">
        <f>+PRADO!G17</f>
        <v>178500</v>
      </c>
      <c r="J18" s="10"/>
      <c r="K18" s="11">
        <f>+MIN(F18:J18)</f>
        <v>178500</v>
      </c>
      <c r="L18" s="12">
        <f>IFERROR(AVERAGE(F18:J18),"")</f>
        <v>205870</v>
      </c>
      <c r="M18" s="12">
        <f>IFERROR(MEDIAN(F18:J18),"")</f>
        <v>208250</v>
      </c>
      <c r="N18" s="12">
        <f>IFERROR(GEOMEAN(F18:J18),"")</f>
        <v>204697.94335581627</v>
      </c>
      <c r="O18" s="12">
        <f>IFERROR(HARMEAN(F18:J18),"")</f>
        <v>203521.80028129395</v>
      </c>
      <c r="P18" s="12">
        <f>IFERROR(_xlfn.STDEV.S(F18:J18),"")</f>
        <v>25225.006111660972</v>
      </c>
      <c r="Q18" s="13">
        <f t="shared" si="1"/>
        <v>0.12252880998523812</v>
      </c>
      <c r="R18" s="26">
        <f t="shared" si="2"/>
        <v>205870</v>
      </c>
      <c r="S18" s="14" t="str">
        <f t="shared" si="3"/>
        <v>PROMEDIO</v>
      </c>
      <c r="T18" s="15">
        <f>E18</f>
        <v>1</v>
      </c>
      <c r="U18" s="16" t="str">
        <f>D18</f>
        <v>Unidad</v>
      </c>
      <c r="V18" s="43">
        <f t="shared" si="5"/>
        <v>205870</v>
      </c>
      <c r="W18" s="21">
        <f t="shared" si="4"/>
        <v>205870</v>
      </c>
      <c r="X18" s="49"/>
      <c r="Y18" s="40">
        <f t="shared" si="6"/>
        <v>3.732536314358353E-3</v>
      </c>
    </row>
    <row r="19" spans="1:25" ht="30" customHeight="1" x14ac:dyDescent="0.25">
      <c r="A19" s="8">
        <v>17</v>
      </c>
      <c r="B19" s="8" t="s">
        <v>51</v>
      </c>
      <c r="C19" s="52" t="s">
        <v>78</v>
      </c>
      <c r="D19" s="52" t="s">
        <v>114</v>
      </c>
      <c r="E19" s="52">
        <v>1</v>
      </c>
      <c r="F19" s="10">
        <f>+COLSAM!G18</f>
        <v>435540</v>
      </c>
      <c r="G19" s="10">
        <f>+TESCOL!G18</f>
        <v>357000</v>
      </c>
      <c r="H19" s="10">
        <f>+SOLHID!G18</f>
        <v>522648</v>
      </c>
      <c r="I19" s="10">
        <f>+PRADO!G18</f>
        <v>345100</v>
      </c>
      <c r="J19" s="10"/>
      <c r="K19" s="11">
        <f>+MIN(F19:J19)</f>
        <v>345100</v>
      </c>
      <c r="L19" s="12">
        <f>IFERROR(AVERAGE(F19:J19),"")</f>
        <v>415072</v>
      </c>
      <c r="M19" s="12">
        <f>IFERROR(MEDIAN(F19:J19),"")</f>
        <v>396270</v>
      </c>
      <c r="N19" s="12">
        <f>IFERROR(GEOMEAN(F19:J19),"")</f>
        <v>409225.4441736174</v>
      </c>
      <c r="O19" s="12">
        <f>IFERROR(HARMEAN(F19:J19),"")</f>
        <v>403707.43660771358</v>
      </c>
      <c r="P19" s="12">
        <f>IFERROR(_xlfn.STDEV.S(F19:J19),"")</f>
        <v>82178.611913319633</v>
      </c>
      <c r="Q19" s="13">
        <f t="shared" si="1"/>
        <v>0.19798640215027666</v>
      </c>
      <c r="R19" s="26">
        <f t="shared" si="2"/>
        <v>415072</v>
      </c>
      <c r="S19" s="14" t="str">
        <f t="shared" si="3"/>
        <v>PROMEDIO</v>
      </c>
      <c r="T19" s="15">
        <f>E19</f>
        <v>1</v>
      </c>
      <c r="U19" s="16" t="str">
        <f>D19</f>
        <v>Unidad</v>
      </c>
      <c r="V19" s="43">
        <f t="shared" si="5"/>
        <v>415072</v>
      </c>
      <c r="W19" s="21">
        <f t="shared" si="4"/>
        <v>415072</v>
      </c>
      <c r="X19" s="49"/>
      <c r="Y19" s="40">
        <f t="shared" si="6"/>
        <v>7.5254836210878239E-3</v>
      </c>
    </row>
    <row r="20" spans="1:25" ht="30" customHeight="1" x14ac:dyDescent="0.25">
      <c r="A20" s="9">
        <v>18</v>
      </c>
      <c r="B20" s="8" t="s">
        <v>51</v>
      </c>
      <c r="C20" s="52" t="s">
        <v>79</v>
      </c>
      <c r="D20" s="52" t="s">
        <v>114</v>
      </c>
      <c r="E20" s="52">
        <v>1</v>
      </c>
      <c r="F20" s="10">
        <f>+COLSAM!G19</f>
        <v>190400</v>
      </c>
      <c r="G20" s="10">
        <f>+TESCOL!G19</f>
        <v>226100</v>
      </c>
      <c r="H20" s="10">
        <f>+SOLHID!G19</f>
        <v>228480</v>
      </c>
      <c r="I20" s="10">
        <f>+PRADO!G19</f>
        <v>238000</v>
      </c>
      <c r="J20" s="10"/>
      <c r="K20" s="11">
        <f>+MIN(F20:J20)</f>
        <v>190400</v>
      </c>
      <c r="L20" s="12">
        <f>IFERROR(AVERAGE(F20:J20),"")</f>
        <v>220745</v>
      </c>
      <c r="M20" s="12">
        <f>IFERROR(MEDIAN(F20:J20),"")</f>
        <v>227290</v>
      </c>
      <c r="N20" s="12">
        <f>IFERROR(GEOMEAN(F20:J20),"")</f>
        <v>219962.25503627874</v>
      </c>
      <c r="O20" s="12">
        <f>IFERROR(HARMEAN(F20:J20),"")</f>
        <v>219137.80918727914</v>
      </c>
      <c r="P20" s="12">
        <f>IFERROR(_xlfn.STDEV.S(F20:J20),"")</f>
        <v>20873.111092184285</v>
      </c>
      <c r="Q20" s="13">
        <f t="shared" si="1"/>
        <v>9.4557571370514779E-2</v>
      </c>
      <c r="R20" s="26">
        <f t="shared" si="2"/>
        <v>220745</v>
      </c>
      <c r="S20" s="14" t="str">
        <f t="shared" si="3"/>
        <v>PROMEDIO</v>
      </c>
      <c r="T20" s="15">
        <f>E20</f>
        <v>1</v>
      </c>
      <c r="U20" s="16" t="str">
        <f>D20</f>
        <v>Unidad</v>
      </c>
      <c r="V20" s="43">
        <f t="shared" si="5"/>
        <v>220745</v>
      </c>
      <c r="W20" s="21">
        <f t="shared" si="4"/>
        <v>220745</v>
      </c>
      <c r="X20" s="49"/>
      <c r="Y20" s="40">
        <f t="shared" si="6"/>
        <v>4.0022282445865576E-3</v>
      </c>
    </row>
    <row r="21" spans="1:25" ht="138.75" customHeight="1" x14ac:dyDescent="0.25">
      <c r="A21" s="8">
        <v>19</v>
      </c>
      <c r="B21" s="8" t="s">
        <v>52</v>
      </c>
      <c r="C21" s="52" t="s">
        <v>80</v>
      </c>
      <c r="D21" s="52" t="s">
        <v>114</v>
      </c>
      <c r="E21" s="52">
        <v>1</v>
      </c>
      <c r="F21" s="10">
        <f>+COLSAM!G20</f>
        <v>452200</v>
      </c>
      <c r="G21" s="10">
        <f>+TESCOL!G20</f>
        <v>535500</v>
      </c>
      <c r="H21" s="10">
        <f>+SOLHID!G20</f>
        <v>599760</v>
      </c>
      <c r="I21" s="10">
        <f>+PRADO!G20</f>
        <v>476000</v>
      </c>
      <c r="J21" s="10"/>
      <c r="K21" s="11">
        <f>+MIN(F21:J21)</f>
        <v>452200</v>
      </c>
      <c r="L21" s="12">
        <f>IFERROR(AVERAGE(F21:J21),"")</f>
        <v>515865</v>
      </c>
      <c r="M21" s="12">
        <f>IFERROR(MEDIAN(F21:J21),"")</f>
        <v>505750</v>
      </c>
      <c r="N21" s="12">
        <f>IFERROR(GEOMEAN(F21:J21),"")</f>
        <v>512765.29188768659</v>
      </c>
      <c r="O21" s="12">
        <f>IFERROR(HARMEAN(F21:J21),"")</f>
        <v>509749.04942965787</v>
      </c>
      <c r="P21" s="12">
        <f>IFERROR(_xlfn.STDEV.S(F21:J21),"")</f>
        <v>65995.845071236618</v>
      </c>
      <c r="Q21" s="13">
        <f t="shared" si="1"/>
        <v>0.12793239524146166</v>
      </c>
      <c r="R21" s="26">
        <f t="shared" si="2"/>
        <v>515865</v>
      </c>
      <c r="S21" s="14" t="str">
        <f t="shared" si="3"/>
        <v>PROMEDIO</v>
      </c>
      <c r="T21" s="15">
        <f>E21</f>
        <v>1</v>
      </c>
      <c r="U21" s="16" t="str">
        <f>D21</f>
        <v>Unidad</v>
      </c>
      <c r="V21" s="43">
        <f t="shared" si="5"/>
        <v>515865</v>
      </c>
      <c r="W21" s="21">
        <f t="shared" si="4"/>
        <v>515865</v>
      </c>
      <c r="X21" s="49"/>
      <c r="Y21" s="40">
        <f t="shared" si="6"/>
        <v>9.3529161403141398E-3</v>
      </c>
    </row>
    <row r="22" spans="1:25" ht="138.75" customHeight="1" x14ac:dyDescent="0.25">
      <c r="A22" s="8">
        <v>20</v>
      </c>
      <c r="B22" s="8" t="s">
        <v>52</v>
      </c>
      <c r="C22" s="52" t="s">
        <v>81</v>
      </c>
      <c r="D22" s="52" t="s">
        <v>114</v>
      </c>
      <c r="E22" s="52">
        <v>1</v>
      </c>
      <c r="F22" s="10">
        <f>+COLSAM!G21</f>
        <v>99960</v>
      </c>
      <c r="G22" s="10">
        <f>+TESCOL!G21</f>
        <v>142800</v>
      </c>
      <c r="H22" s="10">
        <f>+SOLHID!G21</f>
        <v>119952</v>
      </c>
      <c r="I22" s="10">
        <f>+PRADO!G21</f>
        <v>95200</v>
      </c>
      <c r="J22" s="10"/>
      <c r="K22" s="11">
        <f>+MIN(F22:J22)</f>
        <v>95200</v>
      </c>
      <c r="L22" s="12">
        <f>IFERROR(AVERAGE(F22:J22),"")</f>
        <v>114478</v>
      </c>
      <c r="M22" s="12">
        <f>IFERROR(MEDIAN(F22:J22),"")</f>
        <v>109956</v>
      </c>
      <c r="N22" s="12">
        <f>IFERROR(GEOMEAN(F22:J22),"")</f>
        <v>112992.52771472902</v>
      </c>
      <c r="O22" s="12">
        <f>IFERROR(HARMEAN(F22:J22),"")</f>
        <v>111583.2558139535</v>
      </c>
      <c r="P22" s="12">
        <f>IFERROR(_xlfn.STDEV.S(F22:J22),"")</f>
        <v>21714.157962030211</v>
      </c>
      <c r="Q22" s="13">
        <f t="shared" si="1"/>
        <v>0.18967974599512755</v>
      </c>
      <c r="R22" s="26">
        <f t="shared" si="2"/>
        <v>114478</v>
      </c>
      <c r="S22" s="14" t="str">
        <f t="shared" si="3"/>
        <v>PROMEDIO</v>
      </c>
      <c r="T22" s="15">
        <f>E22</f>
        <v>1</v>
      </c>
      <c r="U22" s="16" t="str">
        <f>D22</f>
        <v>Unidad</v>
      </c>
      <c r="V22" s="43">
        <f t="shared" si="5"/>
        <v>114478</v>
      </c>
      <c r="W22" s="21">
        <f t="shared" si="4"/>
        <v>114478</v>
      </c>
      <c r="X22" s="49"/>
      <c r="Y22" s="40">
        <f t="shared" si="6"/>
        <v>2.0755490950362635E-3</v>
      </c>
    </row>
    <row r="23" spans="1:25" ht="138.75" customHeight="1" x14ac:dyDescent="0.25">
      <c r="A23" s="9">
        <v>21</v>
      </c>
      <c r="B23" s="8" t="s">
        <v>52</v>
      </c>
      <c r="C23" s="52" t="s">
        <v>82</v>
      </c>
      <c r="D23" s="52" t="s">
        <v>114</v>
      </c>
      <c r="E23" s="52">
        <v>1</v>
      </c>
      <c r="F23" s="10">
        <f>+COLSAM!G22</f>
        <v>515270</v>
      </c>
      <c r="G23" s="10">
        <f>+TESCOL!G22</f>
        <v>535500</v>
      </c>
      <c r="H23" s="10">
        <f>+SOLHID!G22</f>
        <v>618324</v>
      </c>
      <c r="I23" s="10">
        <f>+PRADO!G22</f>
        <v>476000</v>
      </c>
      <c r="J23" s="10"/>
      <c r="K23" s="11">
        <f>+MIN(F23:J23)</f>
        <v>476000</v>
      </c>
      <c r="L23" s="12">
        <f>IFERROR(AVERAGE(F23:J23),"")</f>
        <v>536273.5</v>
      </c>
      <c r="M23" s="12">
        <f>IFERROR(MEDIAN(F23:J23),"")</f>
        <v>525385</v>
      </c>
      <c r="N23" s="12">
        <f>IFERROR(GEOMEAN(F23:J23),"")</f>
        <v>533831.68507749913</v>
      </c>
      <c r="O23" s="12">
        <f>IFERROR(HARMEAN(F23:J23),"")</f>
        <v>531472.5306210157</v>
      </c>
      <c r="P23" s="12">
        <f>IFERROR(_xlfn.STDEV.S(F23:J23),"")</f>
        <v>60019.232103829301</v>
      </c>
      <c r="Q23" s="13">
        <f t="shared" ref="Q23:Q49" si="7">IFERROR(P23/L23,0)</f>
        <v>0.11191907133921274</v>
      </c>
      <c r="R23" s="26">
        <f t="shared" ref="R23:R49" si="8">+L23</f>
        <v>536273.5</v>
      </c>
      <c r="S23" s="14" t="str">
        <f t="shared" ref="S23:S49" si="9">IF(R23="","",IF(R23=L23,L$2,IF(R23=M23,M$2,IF(R23=N23,N$2,""))))</f>
        <v>PROMEDIO</v>
      </c>
      <c r="T23" s="15">
        <f>E23</f>
        <v>1</v>
      </c>
      <c r="U23" s="16" t="str">
        <f>D23</f>
        <v>Unidad</v>
      </c>
      <c r="V23" s="43">
        <f t="shared" ref="V23:V49" si="10">ROUND(R23,0)</f>
        <v>536274</v>
      </c>
      <c r="W23" s="21">
        <f t="shared" ref="W23:W49" si="11">T23*V23</f>
        <v>536274</v>
      </c>
      <c r="X23" s="49"/>
      <c r="Y23" s="40"/>
    </row>
    <row r="24" spans="1:25" ht="138.75" customHeight="1" x14ac:dyDescent="0.25">
      <c r="A24" s="8">
        <v>22</v>
      </c>
      <c r="B24" s="8" t="s">
        <v>52</v>
      </c>
      <c r="C24" s="52" t="s">
        <v>83</v>
      </c>
      <c r="D24" s="52" t="s">
        <v>114</v>
      </c>
      <c r="E24" s="52">
        <v>1</v>
      </c>
      <c r="F24" s="10">
        <f>+COLSAM!G23</f>
        <v>1015070</v>
      </c>
      <c r="G24" s="10">
        <f>+TESCOL!G23</f>
        <v>1071000</v>
      </c>
      <c r="H24" s="10">
        <f>+SOLHID!G23</f>
        <v>1218084</v>
      </c>
      <c r="I24" s="10">
        <f>+PRADO!G23</f>
        <v>952000</v>
      </c>
      <c r="J24" s="10"/>
      <c r="K24" s="11">
        <f>+MIN(F24:J24)</f>
        <v>952000</v>
      </c>
      <c r="L24" s="12">
        <f>IFERROR(AVERAGE(F24:J24),"")</f>
        <v>1064038.5</v>
      </c>
      <c r="M24" s="12">
        <f>IFERROR(MEDIAN(F24:J24),"")</f>
        <v>1043035</v>
      </c>
      <c r="N24" s="12">
        <f>IFERROR(GEOMEAN(F24:J24),"")</f>
        <v>1059619.4283869318</v>
      </c>
      <c r="O24" s="12">
        <f>IFERROR(HARMEAN(F24:J24),"")</f>
        <v>1055341.540016606</v>
      </c>
      <c r="P24" s="12">
        <f>IFERROR(_xlfn.STDEV.S(F24:J24),"")</f>
        <v>113620.74051715499</v>
      </c>
      <c r="Q24" s="13">
        <f t="shared" si="7"/>
        <v>0.10678254641834388</v>
      </c>
      <c r="R24" s="26">
        <f t="shared" si="8"/>
        <v>1064038.5</v>
      </c>
      <c r="S24" s="14" t="str">
        <f t="shared" si="9"/>
        <v>PROMEDIO</v>
      </c>
      <c r="T24" s="15">
        <f>E24</f>
        <v>1</v>
      </c>
      <c r="U24" s="16" t="str">
        <f>D24</f>
        <v>Unidad</v>
      </c>
      <c r="V24" s="43">
        <f t="shared" si="10"/>
        <v>1064039</v>
      </c>
      <c r="W24" s="21">
        <f t="shared" si="11"/>
        <v>1064039</v>
      </c>
      <c r="X24" s="49"/>
      <c r="Y24" s="40"/>
    </row>
    <row r="25" spans="1:25" ht="138.75" customHeight="1" x14ac:dyDescent="0.25">
      <c r="A25" s="8">
        <v>23</v>
      </c>
      <c r="B25" s="8" t="s">
        <v>52</v>
      </c>
      <c r="C25" s="52" t="s">
        <v>84</v>
      </c>
      <c r="D25" s="52" t="s">
        <v>114</v>
      </c>
      <c r="E25" s="52">
        <v>1</v>
      </c>
      <c r="F25" s="10">
        <f>+COLSAM!G24</f>
        <v>1041250</v>
      </c>
      <c r="G25" s="10">
        <f>+TESCOL!G24</f>
        <v>1047200</v>
      </c>
      <c r="H25" s="10">
        <f>+SOLHID!G24</f>
        <v>1249500</v>
      </c>
      <c r="I25" s="10">
        <f>+PRADO!G24</f>
        <v>975800</v>
      </c>
      <c r="J25" s="10"/>
      <c r="K25" s="11">
        <f>+MIN(F25:J25)</f>
        <v>975800</v>
      </c>
      <c r="L25" s="12">
        <f>IFERROR(AVERAGE(F25:J25),"")</f>
        <v>1078437.5</v>
      </c>
      <c r="M25" s="12">
        <f>IFERROR(MEDIAN(F25:J25),"")</f>
        <v>1044225</v>
      </c>
      <c r="N25" s="12">
        <f>IFERROR(GEOMEAN(F25:J25),"")</f>
        <v>1073792.6589322302</v>
      </c>
      <c r="O25" s="12">
        <f>IFERROR(HARMEAN(F25:J25),"")</f>
        <v>1069395.2296798832</v>
      </c>
      <c r="P25" s="12">
        <f>IFERROR(_xlfn.STDEV.S(F25:J25),"")</f>
        <v>118540.46689492439</v>
      </c>
      <c r="Q25" s="13">
        <f t="shared" si="7"/>
        <v>0.10991871749167141</v>
      </c>
      <c r="R25" s="26">
        <f t="shared" si="8"/>
        <v>1078437.5</v>
      </c>
      <c r="S25" s="14" t="str">
        <f t="shared" si="9"/>
        <v>PROMEDIO</v>
      </c>
      <c r="T25" s="15">
        <f>E25</f>
        <v>1</v>
      </c>
      <c r="U25" s="16" t="str">
        <f>D25</f>
        <v>Unidad</v>
      </c>
      <c r="V25" s="43">
        <f t="shared" si="10"/>
        <v>1078438</v>
      </c>
      <c r="W25" s="21">
        <f t="shared" si="11"/>
        <v>1078438</v>
      </c>
      <c r="X25" s="49"/>
      <c r="Y25" s="40"/>
    </row>
    <row r="26" spans="1:25" ht="138.75" customHeight="1" x14ac:dyDescent="0.25">
      <c r="A26" s="9">
        <v>24</v>
      </c>
      <c r="B26" s="8" t="s">
        <v>52</v>
      </c>
      <c r="C26" s="52" t="s">
        <v>85</v>
      </c>
      <c r="D26" s="52" t="s">
        <v>114</v>
      </c>
      <c r="E26" s="52">
        <v>1</v>
      </c>
      <c r="F26" s="10">
        <f>+COLSAM!G25</f>
        <v>226100</v>
      </c>
      <c r="G26" s="10">
        <f>+TESCOL!G25</f>
        <v>214200</v>
      </c>
      <c r="H26" s="10">
        <f>+SOLHID!G25</f>
        <v>271320</v>
      </c>
      <c r="I26" s="10">
        <f>+PRADO!G25</f>
        <v>238000</v>
      </c>
      <c r="J26" s="10"/>
      <c r="K26" s="11">
        <f>+MIN(F26:J26)</f>
        <v>214200</v>
      </c>
      <c r="L26" s="12">
        <f>IFERROR(AVERAGE(F26:J26),"")</f>
        <v>237405</v>
      </c>
      <c r="M26" s="12">
        <f>IFERROR(MEDIAN(F26:J26),"")</f>
        <v>232050</v>
      </c>
      <c r="N26" s="12">
        <f>IFERROR(GEOMEAN(F26:J26),"")</f>
        <v>236480.15347601782</v>
      </c>
      <c r="O26" s="12">
        <f>IFERROR(HARMEAN(F26:J26),"")</f>
        <v>235589.00144717802</v>
      </c>
      <c r="P26" s="12">
        <f>IFERROR(_xlfn.STDEV.S(F26:J26),"")</f>
        <v>24609.322759203809</v>
      </c>
      <c r="Q26" s="13">
        <f t="shared" si="7"/>
        <v>0.10365966495736741</v>
      </c>
      <c r="R26" s="26">
        <f t="shared" si="8"/>
        <v>237405</v>
      </c>
      <c r="S26" s="14" t="str">
        <f t="shared" si="9"/>
        <v>PROMEDIO</v>
      </c>
      <c r="T26" s="15">
        <f>E26</f>
        <v>1</v>
      </c>
      <c r="U26" s="16" t="str">
        <f>D26</f>
        <v>Unidad</v>
      </c>
      <c r="V26" s="43">
        <f t="shared" si="10"/>
        <v>237405</v>
      </c>
      <c r="W26" s="21">
        <f t="shared" si="11"/>
        <v>237405</v>
      </c>
      <c r="X26" s="49"/>
      <c r="Y26" s="40"/>
    </row>
    <row r="27" spans="1:25" ht="138.75" customHeight="1" x14ac:dyDescent="0.25">
      <c r="A27" s="8">
        <v>25</v>
      </c>
      <c r="B27" s="8" t="s">
        <v>52</v>
      </c>
      <c r="C27" s="52" t="s">
        <v>86</v>
      </c>
      <c r="D27" s="52" t="s">
        <v>114</v>
      </c>
      <c r="E27" s="52">
        <v>1</v>
      </c>
      <c r="F27" s="10">
        <f>+COLSAM!G26</f>
        <v>339150</v>
      </c>
      <c r="G27" s="10">
        <f>+TESCOL!G26</f>
        <v>416500</v>
      </c>
      <c r="H27" s="10">
        <f>+SOLHID!G26</f>
        <v>406980</v>
      </c>
      <c r="I27" s="10">
        <f>+PRADO!G26</f>
        <v>357000</v>
      </c>
      <c r="J27" s="10"/>
      <c r="K27" s="11">
        <f>+MIN(F27:J27)</f>
        <v>339150</v>
      </c>
      <c r="L27" s="12">
        <f>IFERROR(AVERAGE(F27:J27),"")</f>
        <v>379907.5</v>
      </c>
      <c r="M27" s="12">
        <f>IFERROR(MEDIAN(F27:J27),"")</f>
        <v>381990</v>
      </c>
      <c r="N27" s="12">
        <f>IFERROR(GEOMEAN(F27:J27),"")</f>
        <v>378496.63926181692</v>
      </c>
      <c r="O27" s="12">
        <f>IFERROR(HARMEAN(F27:J27),"")</f>
        <v>377082.72667107877</v>
      </c>
      <c r="P27" s="12">
        <f>IFERROR(_xlfn.STDEV.S(F27:J27),"")</f>
        <v>37673.415361498621</v>
      </c>
      <c r="Q27" s="13">
        <f t="shared" si="7"/>
        <v>9.9164705517786889E-2</v>
      </c>
      <c r="R27" s="26">
        <f t="shared" si="8"/>
        <v>379907.5</v>
      </c>
      <c r="S27" s="14" t="str">
        <f t="shared" si="9"/>
        <v>PROMEDIO</v>
      </c>
      <c r="T27" s="15">
        <f>E27</f>
        <v>1</v>
      </c>
      <c r="U27" s="16" t="str">
        <f>D27</f>
        <v>Unidad</v>
      </c>
      <c r="V27" s="43">
        <f t="shared" si="10"/>
        <v>379908</v>
      </c>
      <c r="W27" s="21">
        <f t="shared" si="11"/>
        <v>379908</v>
      </c>
      <c r="X27" s="49"/>
      <c r="Y27" s="40"/>
    </row>
    <row r="28" spans="1:25" ht="138.75" customHeight="1" x14ac:dyDescent="0.25">
      <c r="A28" s="8">
        <v>26</v>
      </c>
      <c r="B28" s="8" t="s">
        <v>52</v>
      </c>
      <c r="C28" s="52" t="s">
        <v>87</v>
      </c>
      <c r="D28" s="52" t="s">
        <v>115</v>
      </c>
      <c r="E28" s="52">
        <v>5</v>
      </c>
      <c r="F28" s="10">
        <f>+COLSAM!G27</f>
        <v>89250</v>
      </c>
      <c r="G28" s="10">
        <f>+TESCOL!G27</f>
        <v>119000</v>
      </c>
      <c r="H28" s="10">
        <f>+SOLHID!G27</f>
        <v>107100</v>
      </c>
      <c r="I28" s="10">
        <f>+PRADO!G27</f>
        <v>95200</v>
      </c>
      <c r="J28" s="10"/>
      <c r="K28" s="11">
        <f>+MIN(F28:J28)</f>
        <v>89250</v>
      </c>
      <c r="L28" s="12">
        <f>IFERROR(AVERAGE(F28:J28),"")</f>
        <v>102637.5</v>
      </c>
      <c r="M28" s="12">
        <f>IFERROR(MEDIAN(F28:J28),"")</f>
        <v>101150</v>
      </c>
      <c r="N28" s="12">
        <f>IFERROR(GEOMEAN(F28:J28),"")</f>
        <v>102010.62334024714</v>
      </c>
      <c r="O28" s="12">
        <f>IFERROR(HARMEAN(F28:J28),"")</f>
        <v>101396.44970414201</v>
      </c>
      <c r="P28" s="12">
        <f>IFERROR(_xlfn.STDEV.S(F28:J28),"")</f>
        <v>13193.266906519653</v>
      </c>
      <c r="Q28" s="13">
        <f t="shared" si="7"/>
        <v>0.12854236420917942</v>
      </c>
      <c r="R28" s="26">
        <f t="shared" si="8"/>
        <v>102637.5</v>
      </c>
      <c r="S28" s="14" t="str">
        <f t="shared" si="9"/>
        <v>PROMEDIO</v>
      </c>
      <c r="T28" s="15">
        <f>E28</f>
        <v>5</v>
      </c>
      <c r="U28" s="16" t="str">
        <f>D28</f>
        <v>METROS</v>
      </c>
      <c r="V28" s="43">
        <f t="shared" si="10"/>
        <v>102638</v>
      </c>
      <c r="W28" s="21">
        <f t="shared" si="11"/>
        <v>513190</v>
      </c>
      <c r="X28" s="49"/>
      <c r="Y28" s="40"/>
    </row>
    <row r="29" spans="1:25" ht="138.75" customHeight="1" x14ac:dyDescent="0.25">
      <c r="A29" s="9">
        <v>27</v>
      </c>
      <c r="B29" s="8" t="s">
        <v>52</v>
      </c>
      <c r="C29" s="52" t="s">
        <v>88</v>
      </c>
      <c r="D29" s="52" t="s">
        <v>114</v>
      </c>
      <c r="E29" s="52">
        <v>1</v>
      </c>
      <c r="F29" s="10">
        <f>+COLSAM!G28</f>
        <v>2975000</v>
      </c>
      <c r="G29" s="10">
        <f>+TESCOL!G28</f>
        <v>3213000</v>
      </c>
      <c r="H29" s="10">
        <f>+SOLHID!G28</f>
        <v>5140800</v>
      </c>
      <c r="I29" s="10">
        <f>+PRADO!G28</f>
        <v>2915500</v>
      </c>
      <c r="J29" s="10"/>
      <c r="K29" s="11">
        <f>+MIN(F29:J29)</f>
        <v>2915500</v>
      </c>
      <c r="L29" s="12">
        <f>IFERROR(AVERAGE(F29:J29),"")</f>
        <v>3561075</v>
      </c>
      <c r="M29" s="12">
        <f>IFERROR(MEDIAN(F29:J29),"")</f>
        <v>3094000</v>
      </c>
      <c r="N29" s="12">
        <f>IFERROR(GEOMEAN(F29:J29),"")</f>
        <v>3459675.4706046591</v>
      </c>
      <c r="O29" s="12">
        <f>IFERROR(HARMEAN(F29:J29),"")</f>
        <v>3375850.3310193252</v>
      </c>
      <c r="P29" s="12">
        <f>IFERROR(_xlfn.STDEV.S(F29:J29),"")</f>
        <v>1060964.6974177165</v>
      </c>
      <c r="Q29" s="13">
        <f t="shared" si="7"/>
        <v>0.29793382543690222</v>
      </c>
      <c r="R29" s="26">
        <f t="shared" si="8"/>
        <v>3561075</v>
      </c>
      <c r="S29" s="14" t="str">
        <f t="shared" si="9"/>
        <v>PROMEDIO</v>
      </c>
      <c r="T29" s="15">
        <f>E29</f>
        <v>1</v>
      </c>
      <c r="U29" s="16" t="str">
        <f>D29</f>
        <v>Unidad</v>
      </c>
      <c r="V29" s="43">
        <f t="shared" si="10"/>
        <v>3561075</v>
      </c>
      <c r="W29" s="21">
        <f t="shared" si="11"/>
        <v>3561075</v>
      </c>
      <c r="X29" s="49"/>
      <c r="Y29" s="40"/>
    </row>
    <row r="30" spans="1:25" ht="138.75" customHeight="1" x14ac:dyDescent="0.25">
      <c r="A30" s="8">
        <v>28</v>
      </c>
      <c r="B30" s="8" t="s">
        <v>52</v>
      </c>
      <c r="C30" s="52" t="s">
        <v>89</v>
      </c>
      <c r="D30" s="52" t="s">
        <v>114</v>
      </c>
      <c r="E30" s="52">
        <v>1</v>
      </c>
      <c r="F30" s="10">
        <f>+COLSAM!G29</f>
        <v>4522000</v>
      </c>
      <c r="G30" s="10">
        <f>+TESCOL!G29</f>
        <v>4284000</v>
      </c>
      <c r="H30" s="10">
        <f>+SOLHID!G29</f>
        <v>6777288</v>
      </c>
      <c r="I30" s="10">
        <f>+PRADO!G29</f>
        <v>4641000</v>
      </c>
      <c r="J30" s="10"/>
      <c r="K30" s="11">
        <f>+MIN(F30:J30)</f>
        <v>4284000</v>
      </c>
      <c r="L30" s="12">
        <f>IFERROR(AVERAGE(F30:J30),"")</f>
        <v>5056072</v>
      </c>
      <c r="M30" s="12">
        <f>IFERROR(MEDIAN(F30:J30),"")</f>
        <v>4581500</v>
      </c>
      <c r="N30" s="12">
        <f>IFERROR(GEOMEAN(F30:J30),"")</f>
        <v>4968346.5674800687</v>
      </c>
      <c r="O30" s="12">
        <f>IFERROR(HARMEAN(F30:J30),"")</f>
        <v>4892426.2982614832</v>
      </c>
      <c r="P30" s="12">
        <f>IFERROR(_xlfn.STDEV.S(F30:J30),"")</f>
        <v>1157036.063714524</v>
      </c>
      <c r="Q30" s="13">
        <f t="shared" si="7"/>
        <v>0.22884089936110957</v>
      </c>
      <c r="R30" s="26">
        <f t="shared" si="8"/>
        <v>5056072</v>
      </c>
      <c r="S30" s="14" t="str">
        <f t="shared" si="9"/>
        <v>PROMEDIO</v>
      </c>
      <c r="T30" s="15">
        <f>E30</f>
        <v>1</v>
      </c>
      <c r="U30" s="16" t="str">
        <f>D30</f>
        <v>Unidad</v>
      </c>
      <c r="V30" s="43">
        <f t="shared" si="10"/>
        <v>5056072</v>
      </c>
      <c r="W30" s="21">
        <f t="shared" si="11"/>
        <v>5056072</v>
      </c>
      <c r="X30" s="49"/>
      <c r="Y30" s="40"/>
    </row>
    <row r="31" spans="1:25" ht="138.75" customHeight="1" x14ac:dyDescent="0.25">
      <c r="A31" s="8">
        <v>29</v>
      </c>
      <c r="B31" s="8" t="s">
        <v>52</v>
      </c>
      <c r="C31" s="52" t="s">
        <v>90</v>
      </c>
      <c r="D31" s="52" t="s">
        <v>114</v>
      </c>
      <c r="E31" s="52">
        <v>1</v>
      </c>
      <c r="F31" s="10">
        <f>+COLSAM!G30</f>
        <v>5355000</v>
      </c>
      <c r="G31" s="10">
        <f>+TESCOL!G30</f>
        <v>3570000</v>
      </c>
      <c r="H31" s="10">
        <f>+SOLHID!G30</f>
        <v>6426000</v>
      </c>
      <c r="I31" s="10">
        <f>+PRADO!G30</f>
        <v>3332000</v>
      </c>
      <c r="J31" s="10"/>
      <c r="K31" s="11">
        <f>+MIN(F31:J31)</f>
        <v>3332000</v>
      </c>
      <c r="L31" s="12">
        <f>IFERROR(AVERAGE(F31:J31),"")</f>
        <v>4670750</v>
      </c>
      <c r="M31" s="12">
        <f>IFERROR(MEDIAN(F31:J31),"")</f>
        <v>4462500</v>
      </c>
      <c r="N31" s="12">
        <f>IFERROR(GEOMEAN(F31:J31),"")</f>
        <v>4497988.6094378075</v>
      </c>
      <c r="O31" s="12">
        <f>IFERROR(HARMEAN(F31:J31),"")</f>
        <v>4335614.457831325</v>
      </c>
      <c r="P31" s="12">
        <f>IFERROR(_xlfn.STDEV.S(F31:J31),"")</f>
        <v>1477949.3394565322</v>
      </c>
      <c r="Q31" s="13">
        <f t="shared" si="7"/>
        <v>0.31642655664647695</v>
      </c>
      <c r="R31" s="26">
        <f t="shared" si="8"/>
        <v>4670750</v>
      </c>
      <c r="S31" s="14" t="str">
        <f t="shared" si="9"/>
        <v>PROMEDIO</v>
      </c>
      <c r="T31" s="15">
        <f>E31</f>
        <v>1</v>
      </c>
      <c r="U31" s="16" t="str">
        <f>D31</f>
        <v>Unidad</v>
      </c>
      <c r="V31" s="43">
        <f t="shared" si="10"/>
        <v>4670750</v>
      </c>
      <c r="W31" s="21">
        <f t="shared" si="11"/>
        <v>4670750</v>
      </c>
      <c r="X31" s="49"/>
      <c r="Y31" s="40"/>
    </row>
    <row r="32" spans="1:25" ht="138.75" customHeight="1" x14ac:dyDescent="0.25">
      <c r="A32" s="9">
        <v>30</v>
      </c>
      <c r="B32" s="8" t="s">
        <v>51</v>
      </c>
      <c r="C32" s="52" t="s">
        <v>91</v>
      </c>
      <c r="D32" s="52" t="s">
        <v>114</v>
      </c>
      <c r="E32" s="52">
        <v>1</v>
      </c>
      <c r="F32" s="10">
        <f>+COLSAM!G31</f>
        <v>2856000</v>
      </c>
      <c r="G32" s="10">
        <f>+TESCOL!G31</f>
        <v>3570000</v>
      </c>
      <c r="H32" s="10">
        <f>+SOLHID!G31</f>
        <v>3427200</v>
      </c>
      <c r="I32" s="10">
        <f>+PRADO!G31</f>
        <v>3094000</v>
      </c>
      <c r="J32" s="10"/>
      <c r="K32" s="11">
        <f>+MIN(F32:J32)</f>
        <v>2856000</v>
      </c>
      <c r="L32" s="12">
        <f>IFERROR(AVERAGE(F32:J32),"")</f>
        <v>3236800</v>
      </c>
      <c r="M32" s="12">
        <f>IFERROR(MEDIAN(F32:J32),"")</f>
        <v>3260600</v>
      </c>
      <c r="N32" s="12">
        <f>IFERROR(GEOMEAN(F32:J32),"")</f>
        <v>3224568.0342964064</v>
      </c>
      <c r="O32" s="12">
        <f>IFERROR(HARMEAN(F32:J32),"")</f>
        <v>3212227.8298485945</v>
      </c>
      <c r="P32" s="12">
        <f>IFERROR(_xlfn.STDEV.S(F32:J32),"")</f>
        <v>322838.90719676274</v>
      </c>
      <c r="Q32" s="13">
        <f t="shared" si="7"/>
        <v>9.9740146810665703E-2</v>
      </c>
      <c r="R32" s="26">
        <f t="shared" si="8"/>
        <v>3236800</v>
      </c>
      <c r="S32" s="14" t="str">
        <f t="shared" si="9"/>
        <v>PROMEDIO</v>
      </c>
      <c r="T32" s="15">
        <f>E32</f>
        <v>1</v>
      </c>
      <c r="U32" s="16" t="str">
        <f>D32</f>
        <v>Unidad</v>
      </c>
      <c r="V32" s="43">
        <f t="shared" si="10"/>
        <v>3236800</v>
      </c>
      <c r="W32" s="21">
        <f t="shared" si="11"/>
        <v>3236800</v>
      </c>
      <c r="X32" s="49"/>
      <c r="Y32" s="40"/>
    </row>
    <row r="33" spans="1:25" ht="138.75" customHeight="1" x14ac:dyDescent="0.25">
      <c r="A33" s="8">
        <v>31</v>
      </c>
      <c r="B33" s="8" t="s">
        <v>51</v>
      </c>
      <c r="C33" s="52" t="s">
        <v>92</v>
      </c>
      <c r="D33" s="52" t="s">
        <v>114</v>
      </c>
      <c r="E33" s="52">
        <v>2</v>
      </c>
      <c r="F33" s="10">
        <f>+COLSAM!G32</f>
        <v>952000</v>
      </c>
      <c r="G33" s="10">
        <f>+TESCOL!G32</f>
        <v>1071000</v>
      </c>
      <c r="H33" s="10">
        <f>+SOLHID!G32</f>
        <v>1142400</v>
      </c>
      <c r="I33" s="10">
        <f>+PRADO!G32</f>
        <v>1011500</v>
      </c>
      <c r="J33" s="10"/>
      <c r="K33" s="11">
        <f>+MIN(F33:J33)</f>
        <v>952000</v>
      </c>
      <c r="L33" s="12">
        <f>IFERROR(AVERAGE(F33:J33),"")</f>
        <v>1044225</v>
      </c>
      <c r="M33" s="12">
        <f>IFERROR(MEDIAN(F33:J33),"")</f>
        <v>1041250</v>
      </c>
      <c r="N33" s="12">
        <f>IFERROR(GEOMEAN(F33:J33),"")</f>
        <v>1041843.8326224101</v>
      </c>
      <c r="O33" s="12">
        <f>IFERROR(HARMEAN(F33:J33),"")</f>
        <v>1039471.9000892059</v>
      </c>
      <c r="P33" s="12">
        <f>IFERROR(_xlfn.STDEV.S(F33:J33),"")</f>
        <v>81509.932932536918</v>
      </c>
      <c r="Q33" s="13">
        <f t="shared" si="7"/>
        <v>7.8057825595572713E-2</v>
      </c>
      <c r="R33" s="26">
        <f t="shared" si="8"/>
        <v>1044225</v>
      </c>
      <c r="S33" s="14" t="str">
        <f t="shared" si="9"/>
        <v>PROMEDIO</v>
      </c>
      <c r="T33" s="15">
        <f>E33</f>
        <v>2</v>
      </c>
      <c r="U33" s="16" t="str">
        <f>D33</f>
        <v>Unidad</v>
      </c>
      <c r="V33" s="43">
        <f t="shared" si="10"/>
        <v>1044225</v>
      </c>
      <c r="W33" s="21">
        <f t="shared" si="11"/>
        <v>2088450</v>
      </c>
      <c r="X33" s="49"/>
      <c r="Y33" s="40"/>
    </row>
    <row r="34" spans="1:25" ht="138.75" customHeight="1" x14ac:dyDescent="0.25">
      <c r="A34" s="8">
        <v>32</v>
      </c>
      <c r="B34" s="8" t="s">
        <v>51</v>
      </c>
      <c r="C34" s="52" t="s">
        <v>93</v>
      </c>
      <c r="D34" s="52" t="s">
        <v>114</v>
      </c>
      <c r="E34" s="52">
        <v>3</v>
      </c>
      <c r="F34" s="10">
        <f>+COLSAM!G33</f>
        <v>952000</v>
      </c>
      <c r="G34" s="10">
        <f>+TESCOL!G33</f>
        <v>1130500</v>
      </c>
      <c r="H34" s="10">
        <f>+SOLHID!G33</f>
        <v>1142400</v>
      </c>
      <c r="I34" s="10">
        <f>+PRADO!G33</f>
        <v>1071000</v>
      </c>
      <c r="J34" s="10"/>
      <c r="K34" s="11">
        <f>+MIN(F34:J34)</f>
        <v>952000</v>
      </c>
      <c r="L34" s="12">
        <f>IFERROR(AVERAGE(F34:J34),"")</f>
        <v>1073975</v>
      </c>
      <c r="M34" s="12">
        <f>IFERROR(MEDIAN(F34:J34),"")</f>
        <v>1100750</v>
      </c>
      <c r="N34" s="12">
        <f>IFERROR(GEOMEAN(F34:J34),"")</f>
        <v>1071220.3023874604</v>
      </c>
      <c r="O34" s="12">
        <f>IFERROR(HARMEAN(F34:J34),"")</f>
        <v>1068364.2329778508</v>
      </c>
      <c r="P34" s="12">
        <f>IFERROR(_xlfn.STDEV.S(F34:J34),"")</f>
        <v>87108.758648791074</v>
      </c>
      <c r="Q34" s="13">
        <f t="shared" si="7"/>
        <v>8.1108739634340718E-2</v>
      </c>
      <c r="R34" s="26">
        <f t="shared" si="8"/>
        <v>1073975</v>
      </c>
      <c r="S34" s="14" t="str">
        <f t="shared" si="9"/>
        <v>PROMEDIO</v>
      </c>
      <c r="T34" s="15">
        <f>E34</f>
        <v>3</v>
      </c>
      <c r="U34" s="16" t="str">
        <f>D34</f>
        <v>Unidad</v>
      </c>
      <c r="V34" s="43">
        <f t="shared" si="10"/>
        <v>1073975</v>
      </c>
      <c r="W34" s="21">
        <f t="shared" si="11"/>
        <v>3221925</v>
      </c>
      <c r="X34" s="49"/>
      <c r="Y34" s="40"/>
    </row>
    <row r="35" spans="1:25" ht="138.75" customHeight="1" x14ac:dyDescent="0.25">
      <c r="A35" s="9">
        <v>33</v>
      </c>
      <c r="B35" s="8" t="s">
        <v>52</v>
      </c>
      <c r="C35" s="52" t="s">
        <v>94</v>
      </c>
      <c r="D35" s="52" t="s">
        <v>114</v>
      </c>
      <c r="E35" s="52">
        <v>3</v>
      </c>
      <c r="F35" s="10">
        <f>+COLSAM!G34</f>
        <v>186830</v>
      </c>
      <c r="G35" s="10">
        <f>+TESCOL!G34</f>
        <v>357000</v>
      </c>
      <c r="H35" s="10">
        <f>+SOLHID!G34</f>
        <v>224196</v>
      </c>
      <c r="I35" s="10">
        <f>+PRADO!G34</f>
        <v>238000</v>
      </c>
      <c r="J35" s="10"/>
      <c r="K35" s="11">
        <f>+MIN(F35:J35)</f>
        <v>186830</v>
      </c>
      <c r="L35" s="12">
        <f>IFERROR(AVERAGE(F35:J35),"")</f>
        <v>251506.5</v>
      </c>
      <c r="M35" s="12">
        <f>IFERROR(MEDIAN(F35:J35),"")</f>
        <v>231098</v>
      </c>
      <c r="N35" s="12">
        <f>IFERROR(GEOMEAN(F35:J35),"")</f>
        <v>244247.37881447491</v>
      </c>
      <c r="O35" s="12">
        <f>IFERROR(HARMEAN(F35:J35),"")</f>
        <v>237873.74005305042</v>
      </c>
      <c r="P35" s="12">
        <f>IFERROR(_xlfn.STDEV.S(F35:J35),"")</f>
        <v>73575.850084566933</v>
      </c>
      <c r="Q35" s="13">
        <f t="shared" si="7"/>
        <v>0.29254055097807385</v>
      </c>
      <c r="R35" s="26">
        <f t="shared" si="8"/>
        <v>251506.5</v>
      </c>
      <c r="S35" s="14" t="str">
        <f t="shared" si="9"/>
        <v>PROMEDIO</v>
      </c>
      <c r="T35" s="15">
        <f>E35</f>
        <v>3</v>
      </c>
      <c r="U35" s="16" t="str">
        <f>D35</f>
        <v>Unidad</v>
      </c>
      <c r="V35" s="43">
        <f t="shared" si="10"/>
        <v>251507</v>
      </c>
      <c r="W35" s="21">
        <f t="shared" si="11"/>
        <v>754521</v>
      </c>
      <c r="X35" s="49"/>
      <c r="Y35" s="40"/>
    </row>
    <row r="36" spans="1:25" ht="138.75" customHeight="1" x14ac:dyDescent="0.25">
      <c r="A36" s="8">
        <v>34</v>
      </c>
      <c r="B36" s="8" t="s">
        <v>52</v>
      </c>
      <c r="C36" s="52" t="s">
        <v>95</v>
      </c>
      <c r="D36" s="52" t="s">
        <v>114</v>
      </c>
      <c r="E36" s="52">
        <v>1</v>
      </c>
      <c r="F36" s="10">
        <f>+COLSAM!G35</f>
        <v>99960</v>
      </c>
      <c r="G36" s="10">
        <f>+TESCOL!G35</f>
        <v>107100</v>
      </c>
      <c r="H36" s="10">
        <f>+SOLHID!G35</f>
        <v>119952</v>
      </c>
      <c r="I36" s="10">
        <f>+PRADO!G35</f>
        <v>119000</v>
      </c>
      <c r="J36" s="10"/>
      <c r="K36" s="11">
        <f>+MIN(F36:J36)</f>
        <v>99960</v>
      </c>
      <c r="L36" s="12">
        <f>IFERROR(AVERAGE(F36:J36),"")</f>
        <v>111503</v>
      </c>
      <c r="M36" s="12">
        <f>IFERROR(MEDIAN(F36:J36),"")</f>
        <v>113050</v>
      </c>
      <c r="N36" s="12">
        <f>IFERROR(GEOMEAN(F36:J36),"")</f>
        <v>111184.0637363798</v>
      </c>
      <c r="O36" s="12">
        <f>IFERROR(HARMEAN(F36:J36),"")</f>
        <v>110861.36783733827</v>
      </c>
      <c r="P36" s="12">
        <f>IFERROR(_xlfn.STDEV.S(F36:J36),"")</f>
        <v>9664.6756800215499</v>
      </c>
      <c r="Q36" s="13">
        <f t="shared" si="7"/>
        <v>8.6676373550680696E-2</v>
      </c>
      <c r="R36" s="26">
        <f t="shared" si="8"/>
        <v>111503</v>
      </c>
      <c r="S36" s="14" t="str">
        <f t="shared" si="9"/>
        <v>PROMEDIO</v>
      </c>
      <c r="T36" s="15">
        <f>E36</f>
        <v>1</v>
      </c>
      <c r="U36" s="16" t="str">
        <f>D36</f>
        <v>Unidad</v>
      </c>
      <c r="V36" s="43">
        <f t="shared" si="10"/>
        <v>111503</v>
      </c>
      <c r="W36" s="21">
        <f t="shared" si="11"/>
        <v>111503</v>
      </c>
      <c r="X36" s="49"/>
      <c r="Y36" s="40"/>
    </row>
    <row r="37" spans="1:25" ht="138.75" customHeight="1" x14ac:dyDescent="0.25">
      <c r="A37" s="8">
        <v>35</v>
      </c>
      <c r="B37" s="8" t="s">
        <v>52</v>
      </c>
      <c r="C37" s="52" t="s">
        <v>96</v>
      </c>
      <c r="D37" s="52" t="s">
        <v>114</v>
      </c>
      <c r="E37" s="52">
        <v>1</v>
      </c>
      <c r="F37" s="10">
        <f>+COLSAM!G36</f>
        <v>4522000</v>
      </c>
      <c r="G37" s="10">
        <f>+TESCOL!G36</f>
        <v>4522000</v>
      </c>
      <c r="H37" s="10">
        <f>+SOLHID!G36</f>
        <v>5933340</v>
      </c>
      <c r="I37" s="10">
        <f>+PRADO!G36</f>
        <v>4641000</v>
      </c>
      <c r="J37" s="10"/>
      <c r="K37" s="11">
        <f>+MIN(F37:J37)</f>
        <v>4522000</v>
      </c>
      <c r="L37" s="12">
        <f>IFERROR(AVERAGE(F37:J37),"")</f>
        <v>4904585</v>
      </c>
      <c r="M37" s="12">
        <f>IFERROR(MEDIAN(F37:J37),"")</f>
        <v>4581500</v>
      </c>
      <c r="N37" s="12">
        <f>IFERROR(GEOMEAN(F37:J37),"")</f>
        <v>4871278.7276876215</v>
      </c>
      <c r="O37" s="12">
        <f>IFERROR(HARMEAN(F37:J37),"")</f>
        <v>4840903.0190922907</v>
      </c>
      <c r="P37" s="12">
        <f>IFERROR(_xlfn.STDEV.S(F37:J37),"")</f>
        <v>688127.03931275173</v>
      </c>
      <c r="Q37" s="13">
        <f t="shared" si="7"/>
        <v>0.14030280631546843</v>
      </c>
      <c r="R37" s="26">
        <f t="shared" si="8"/>
        <v>4904585</v>
      </c>
      <c r="S37" s="14" t="str">
        <f t="shared" si="9"/>
        <v>PROMEDIO</v>
      </c>
      <c r="T37" s="15">
        <f>E37</f>
        <v>1</v>
      </c>
      <c r="U37" s="16" t="str">
        <f>D37</f>
        <v>Unidad</v>
      </c>
      <c r="V37" s="43">
        <f t="shared" si="10"/>
        <v>4904585</v>
      </c>
      <c r="W37" s="21">
        <f t="shared" si="11"/>
        <v>4904585</v>
      </c>
      <c r="X37" s="49"/>
      <c r="Y37" s="40"/>
    </row>
    <row r="38" spans="1:25" ht="138.75" customHeight="1" x14ac:dyDescent="0.25">
      <c r="A38" s="9">
        <v>36</v>
      </c>
      <c r="B38" s="8" t="s">
        <v>51</v>
      </c>
      <c r="C38" s="52" t="s">
        <v>97</v>
      </c>
      <c r="D38" s="52" t="s">
        <v>116</v>
      </c>
      <c r="E38" s="52">
        <v>2</v>
      </c>
      <c r="F38" s="10">
        <f>+COLSAM!G37</f>
        <v>1547000</v>
      </c>
      <c r="G38" s="10">
        <f>+TESCOL!G37</f>
        <v>1011500</v>
      </c>
      <c r="H38" s="10">
        <f>+SOLHID!G37</f>
        <v>779450</v>
      </c>
      <c r="I38" s="10">
        <f>+PRADO!G37</f>
        <v>1071000</v>
      </c>
      <c r="J38" s="10"/>
      <c r="K38" s="11">
        <f>+MIN(F38:J38)</f>
        <v>779450</v>
      </c>
      <c r="L38" s="12">
        <f>IFERROR(AVERAGE(F38:J38),"")</f>
        <v>1102237.5</v>
      </c>
      <c r="M38" s="12">
        <f>IFERROR(MEDIAN(F38:J38),"")</f>
        <v>1041250</v>
      </c>
      <c r="N38" s="12">
        <f>IFERROR(GEOMEAN(F38:J38),"")</f>
        <v>1069075.7617222837</v>
      </c>
      <c r="O38" s="12">
        <f>IFERROR(HARMEAN(F38:J38),"")</f>
        <v>1038500.8875640554</v>
      </c>
      <c r="P38" s="12">
        <f>IFERROR(_xlfn.STDEV.S(F38:J38),"")</f>
        <v>322084.11265537457</v>
      </c>
      <c r="Q38" s="13">
        <f t="shared" si="7"/>
        <v>0.2922093583781849</v>
      </c>
      <c r="R38" s="26">
        <f t="shared" si="8"/>
        <v>1102237.5</v>
      </c>
      <c r="S38" s="14" t="str">
        <f t="shared" si="9"/>
        <v>PROMEDIO</v>
      </c>
      <c r="T38" s="15">
        <f>E38</f>
        <v>2</v>
      </c>
      <c r="U38" s="16" t="str">
        <f>D38</f>
        <v>Número de lavados</v>
      </c>
      <c r="V38" s="43">
        <f t="shared" si="10"/>
        <v>1102238</v>
      </c>
      <c r="W38" s="21">
        <f t="shared" si="11"/>
        <v>2204476</v>
      </c>
      <c r="X38" s="49"/>
      <c r="Y38" s="40"/>
    </row>
    <row r="39" spans="1:25" ht="138.75" customHeight="1" x14ac:dyDescent="0.25">
      <c r="A39" s="8">
        <v>37</v>
      </c>
      <c r="B39" s="8" t="s">
        <v>51</v>
      </c>
      <c r="C39" s="52" t="s">
        <v>98</v>
      </c>
      <c r="D39" s="52" t="s">
        <v>116</v>
      </c>
      <c r="E39" s="52">
        <v>2</v>
      </c>
      <c r="F39" s="10">
        <f>+COLSAM!G38</f>
        <v>1071000</v>
      </c>
      <c r="G39" s="10">
        <f>+TESCOL!G38</f>
        <v>952000</v>
      </c>
      <c r="H39" s="10">
        <f>+SOLHID!G38</f>
        <v>542640</v>
      </c>
      <c r="I39" s="10">
        <f>+PRADO!G38</f>
        <v>1059100</v>
      </c>
      <c r="J39" s="10"/>
      <c r="K39" s="11">
        <f>+MIN(F39:J39)</f>
        <v>542640</v>
      </c>
      <c r="L39" s="12">
        <f>IFERROR(AVERAGE(F39:J39),"")</f>
        <v>906185</v>
      </c>
      <c r="M39" s="12">
        <f>IFERROR(MEDIAN(F39:J39),"")</f>
        <v>1005550</v>
      </c>
      <c r="N39" s="12">
        <f>IFERROR(GEOMEAN(F39:J39),"")</f>
        <v>874920.91370156955</v>
      </c>
      <c r="O39" s="12">
        <f>IFERROR(HARMEAN(F39:J39),"")</f>
        <v>838369.26237215556</v>
      </c>
      <c r="P39" s="12">
        <f>IFERROR(_xlfn.STDEV.S(F39:J39),"")</f>
        <v>248200.83447348306</v>
      </c>
      <c r="Q39" s="13">
        <f t="shared" si="7"/>
        <v>0.27389642785246177</v>
      </c>
      <c r="R39" s="26">
        <f t="shared" si="8"/>
        <v>906185</v>
      </c>
      <c r="S39" s="14" t="str">
        <f t="shared" si="9"/>
        <v>PROMEDIO</v>
      </c>
      <c r="T39" s="15">
        <f>E39</f>
        <v>2</v>
      </c>
      <c r="U39" s="16" t="str">
        <f>D39</f>
        <v>Número de lavados</v>
      </c>
      <c r="V39" s="43">
        <f t="shared" si="10"/>
        <v>906185</v>
      </c>
      <c r="W39" s="21">
        <f t="shared" si="11"/>
        <v>1812370</v>
      </c>
      <c r="X39" s="49"/>
      <c r="Y39" s="40"/>
    </row>
    <row r="40" spans="1:25" ht="138.75" customHeight="1" x14ac:dyDescent="0.25">
      <c r="A40" s="8">
        <v>38</v>
      </c>
      <c r="B40" s="8" t="s">
        <v>51</v>
      </c>
      <c r="C40" s="52" t="s">
        <v>99</v>
      </c>
      <c r="D40" s="52" t="s">
        <v>116</v>
      </c>
      <c r="E40" s="52">
        <v>2</v>
      </c>
      <c r="F40" s="10">
        <f>+COLSAM!G39</f>
        <v>975800</v>
      </c>
      <c r="G40" s="10">
        <f>+TESCOL!G39</f>
        <v>940100</v>
      </c>
      <c r="H40" s="10">
        <f>+SOLHID!G39</f>
        <v>542640</v>
      </c>
      <c r="I40" s="10">
        <f>+PRADO!G39</f>
        <v>1011500</v>
      </c>
      <c r="J40" s="10"/>
      <c r="K40" s="11">
        <f>+MIN(F40:J40)</f>
        <v>542640</v>
      </c>
      <c r="L40" s="12">
        <f>IFERROR(AVERAGE(F40:J40),"")</f>
        <v>867510</v>
      </c>
      <c r="M40" s="12">
        <f>IFERROR(MEDIAN(F40:J40),"")</f>
        <v>957950</v>
      </c>
      <c r="N40" s="12">
        <f>IFERROR(GEOMEAN(F40:J40),"")</f>
        <v>842370.48070106667</v>
      </c>
      <c r="O40" s="12">
        <f>IFERROR(HARMEAN(F40:J40),"")</f>
        <v>813009.79305101791</v>
      </c>
      <c r="P40" s="12">
        <f>IFERROR(_xlfn.STDEV.S(F40:J40),"")</f>
        <v>218532.73530526267</v>
      </c>
      <c r="Q40" s="13">
        <f t="shared" si="7"/>
        <v>0.25190803023050184</v>
      </c>
      <c r="R40" s="26">
        <f t="shared" si="8"/>
        <v>867510</v>
      </c>
      <c r="S40" s="14" t="str">
        <f t="shared" si="9"/>
        <v>PROMEDIO</v>
      </c>
      <c r="T40" s="15">
        <f>E40</f>
        <v>2</v>
      </c>
      <c r="U40" s="16" t="str">
        <f>D40</f>
        <v>Número de lavados</v>
      </c>
      <c r="V40" s="43">
        <f t="shared" si="10"/>
        <v>867510</v>
      </c>
      <c r="W40" s="21">
        <f t="shared" si="11"/>
        <v>1735020</v>
      </c>
      <c r="X40" s="49"/>
      <c r="Y40" s="40"/>
    </row>
    <row r="41" spans="1:25" ht="138.75" customHeight="1" x14ac:dyDescent="0.25">
      <c r="A41" s="9">
        <v>39</v>
      </c>
      <c r="B41" s="8" t="s">
        <v>51</v>
      </c>
      <c r="C41" s="52" t="s">
        <v>100</v>
      </c>
      <c r="D41" s="52" t="s">
        <v>116</v>
      </c>
      <c r="E41" s="52">
        <v>2</v>
      </c>
      <c r="F41" s="10">
        <f>+COLSAM!G40</f>
        <v>654500</v>
      </c>
      <c r="G41" s="10">
        <f>+TESCOL!G40</f>
        <v>535500</v>
      </c>
      <c r="H41" s="10">
        <f>+SOLHID!G40</f>
        <v>386750</v>
      </c>
      <c r="I41" s="10">
        <f>+PRADO!G40</f>
        <v>595000</v>
      </c>
      <c r="J41" s="10"/>
      <c r="K41" s="11">
        <f>+MIN(F41:J41)</f>
        <v>386750</v>
      </c>
      <c r="L41" s="12">
        <f>IFERROR(AVERAGE(F41:J41),"")</f>
        <v>542937.5</v>
      </c>
      <c r="M41" s="12">
        <f>IFERROR(MEDIAN(F41:J41),"")</f>
        <v>565250</v>
      </c>
      <c r="N41" s="12">
        <f>IFERROR(GEOMEAN(F41:J41),"")</f>
        <v>532910.28680462192</v>
      </c>
      <c r="O41" s="12">
        <f>IFERROR(HARMEAN(F41:J41),"")</f>
        <v>522082.83620248857</v>
      </c>
      <c r="P41" s="12">
        <f>IFERROR(_xlfn.STDEV.S(F41:J41),"")</f>
        <v>114900.74974370997</v>
      </c>
      <c r="Q41" s="13">
        <f t="shared" si="7"/>
        <v>0.21162794933801768</v>
      </c>
      <c r="R41" s="26">
        <f t="shared" si="8"/>
        <v>542937.5</v>
      </c>
      <c r="S41" s="14" t="str">
        <f t="shared" si="9"/>
        <v>PROMEDIO</v>
      </c>
      <c r="T41" s="15">
        <f>E41</f>
        <v>2</v>
      </c>
      <c r="U41" s="16" t="str">
        <f>D41</f>
        <v>Número de lavados</v>
      </c>
      <c r="V41" s="43">
        <f t="shared" si="10"/>
        <v>542938</v>
      </c>
      <c r="W41" s="21">
        <f t="shared" si="11"/>
        <v>1085876</v>
      </c>
      <c r="X41" s="49"/>
      <c r="Y41" s="40"/>
    </row>
    <row r="42" spans="1:25" ht="138.75" customHeight="1" x14ac:dyDescent="0.25">
      <c r="A42" s="8">
        <v>40</v>
      </c>
      <c r="B42" s="8" t="s">
        <v>51</v>
      </c>
      <c r="C42" s="52" t="s">
        <v>101</v>
      </c>
      <c r="D42" s="52" t="s">
        <v>116</v>
      </c>
      <c r="E42" s="52">
        <v>6</v>
      </c>
      <c r="F42" s="10">
        <f>+COLSAM!G41</f>
        <v>416500</v>
      </c>
      <c r="G42" s="10">
        <f>+TESCOL!G41</f>
        <v>345100</v>
      </c>
      <c r="H42" s="10">
        <f>+SOLHID!G41</f>
        <v>511700</v>
      </c>
      <c r="I42" s="10">
        <f>+PRADO!G41</f>
        <v>357000</v>
      </c>
      <c r="J42" s="10"/>
      <c r="K42" s="11">
        <f>+MIN(F42:J42)</f>
        <v>345100</v>
      </c>
      <c r="L42" s="12">
        <f>IFERROR(AVERAGE(F42:J42),"")</f>
        <v>407575</v>
      </c>
      <c r="M42" s="12">
        <f>IFERROR(MEDIAN(F42:J42),"")</f>
        <v>386750</v>
      </c>
      <c r="N42" s="12">
        <f>IFERROR(GEOMEAN(F42:J42),"")</f>
        <v>402541.72147506155</v>
      </c>
      <c r="O42" s="12">
        <f>IFERROR(HARMEAN(F42:J42),"")</f>
        <v>397849.15897992405</v>
      </c>
      <c r="P42" s="12">
        <f>IFERROR(_xlfn.STDEV.S(F42:J42),"")</f>
        <v>76119.702880835437</v>
      </c>
      <c r="Q42" s="13">
        <f t="shared" si="7"/>
        <v>0.1867624434296398</v>
      </c>
      <c r="R42" s="26">
        <f t="shared" si="8"/>
        <v>407575</v>
      </c>
      <c r="S42" s="14" t="str">
        <f t="shared" si="9"/>
        <v>PROMEDIO</v>
      </c>
      <c r="T42" s="15">
        <f>E42</f>
        <v>6</v>
      </c>
      <c r="U42" s="16" t="str">
        <f>D42</f>
        <v>Número de lavados</v>
      </c>
      <c r="V42" s="43">
        <f t="shared" si="10"/>
        <v>407575</v>
      </c>
      <c r="W42" s="21">
        <f t="shared" si="11"/>
        <v>2445450</v>
      </c>
      <c r="X42" s="49"/>
      <c r="Y42" s="40"/>
    </row>
    <row r="43" spans="1:25" ht="138.75" customHeight="1" x14ac:dyDescent="0.25">
      <c r="A43" s="8">
        <v>41</v>
      </c>
      <c r="B43" s="8" t="s">
        <v>51</v>
      </c>
      <c r="C43" s="52" t="s">
        <v>102</v>
      </c>
      <c r="D43" s="52" t="s">
        <v>116</v>
      </c>
      <c r="E43" s="52">
        <v>2</v>
      </c>
      <c r="F43" s="10">
        <f>+COLSAM!G42</f>
        <v>833000</v>
      </c>
      <c r="G43" s="10">
        <f>+TESCOL!G42</f>
        <v>666400</v>
      </c>
      <c r="H43" s="10">
        <f>+SOLHID!G42</f>
        <v>478380</v>
      </c>
      <c r="I43" s="10">
        <f>+PRADO!G42</f>
        <v>714000</v>
      </c>
      <c r="J43" s="10"/>
      <c r="K43" s="11">
        <f>+MIN(F43:J43)</f>
        <v>478380</v>
      </c>
      <c r="L43" s="12">
        <f>IFERROR(AVERAGE(F43:J43),"")</f>
        <v>672945</v>
      </c>
      <c r="M43" s="12">
        <f>IFERROR(MEDIAN(F43:J43),"")</f>
        <v>690200</v>
      </c>
      <c r="N43" s="12">
        <f>IFERROR(GEOMEAN(F43:J43),"")</f>
        <v>659876.71543413145</v>
      </c>
      <c r="O43" s="12">
        <f>IFERROR(HARMEAN(F43:J43),"")</f>
        <v>645991.80130214617</v>
      </c>
      <c r="P43" s="12">
        <f>IFERROR(_xlfn.STDEV.S(F43:J43),"")</f>
        <v>147423.98301045413</v>
      </c>
      <c r="Q43" s="13">
        <f t="shared" si="7"/>
        <v>0.21907285589528733</v>
      </c>
      <c r="R43" s="26">
        <f t="shared" si="8"/>
        <v>672945</v>
      </c>
      <c r="S43" s="14" t="str">
        <f t="shared" si="9"/>
        <v>PROMEDIO</v>
      </c>
      <c r="T43" s="15">
        <f>E43</f>
        <v>2</v>
      </c>
      <c r="U43" s="16" t="str">
        <f>D43</f>
        <v>Número de lavados</v>
      </c>
      <c r="V43" s="43">
        <f t="shared" si="10"/>
        <v>672945</v>
      </c>
      <c r="W43" s="21">
        <f t="shared" si="11"/>
        <v>1345890</v>
      </c>
      <c r="X43" s="49"/>
      <c r="Y43" s="40"/>
    </row>
    <row r="44" spans="1:25" ht="138.75" customHeight="1" x14ac:dyDescent="0.25">
      <c r="A44" s="9">
        <v>42</v>
      </c>
      <c r="B44" s="8" t="s">
        <v>51</v>
      </c>
      <c r="C44" s="52" t="s">
        <v>103</v>
      </c>
      <c r="D44" s="52" t="s">
        <v>116</v>
      </c>
      <c r="E44" s="52">
        <v>4</v>
      </c>
      <c r="F44" s="10">
        <f>+COLSAM!G43</f>
        <v>416500</v>
      </c>
      <c r="G44" s="10">
        <f>+TESCOL!G43</f>
        <v>345100</v>
      </c>
      <c r="H44" s="10">
        <f>+SOLHID!G43</f>
        <v>386750</v>
      </c>
      <c r="I44" s="10">
        <f>+PRADO!G43</f>
        <v>357000</v>
      </c>
      <c r="J44" s="10"/>
      <c r="K44" s="11">
        <f>+MIN(F44:J44)</f>
        <v>345100</v>
      </c>
      <c r="L44" s="12">
        <f>IFERROR(AVERAGE(F44:J44),"")</f>
        <v>376337.5</v>
      </c>
      <c r="M44" s="12">
        <f>IFERROR(MEDIAN(F44:J44),"")</f>
        <v>371875</v>
      </c>
      <c r="N44" s="12">
        <f>IFERROR(GEOMEAN(F44:J44),"")</f>
        <v>375331.16417731636</v>
      </c>
      <c r="O44" s="12">
        <f>IFERROR(HARMEAN(F44:J44),"")</f>
        <v>374341.11453263141</v>
      </c>
      <c r="P44" s="12">
        <f>IFERROR(_xlfn.STDEV.S(F44:J44),"")</f>
        <v>31995.660513054994</v>
      </c>
      <c r="Q44" s="13">
        <f t="shared" si="7"/>
        <v>8.5018528616082625E-2</v>
      </c>
      <c r="R44" s="26">
        <f t="shared" si="8"/>
        <v>376337.5</v>
      </c>
      <c r="S44" s="14" t="str">
        <f t="shared" si="9"/>
        <v>PROMEDIO</v>
      </c>
      <c r="T44" s="15">
        <f>E44</f>
        <v>4</v>
      </c>
      <c r="U44" s="16" t="str">
        <f>D44</f>
        <v>Número de lavados</v>
      </c>
      <c r="V44" s="43">
        <f t="shared" si="10"/>
        <v>376338</v>
      </c>
      <c r="W44" s="21">
        <f t="shared" si="11"/>
        <v>1505352</v>
      </c>
      <c r="X44" s="49"/>
      <c r="Y44" s="40"/>
    </row>
    <row r="45" spans="1:25" ht="138.75" customHeight="1" x14ac:dyDescent="0.25">
      <c r="A45" s="8">
        <v>43</v>
      </c>
      <c r="B45" s="8" t="s">
        <v>51</v>
      </c>
      <c r="C45" s="52" t="s">
        <v>104</v>
      </c>
      <c r="D45" s="52" t="s">
        <v>116</v>
      </c>
      <c r="E45" s="52">
        <v>2</v>
      </c>
      <c r="F45" s="10">
        <f>+COLSAM!G44</f>
        <v>1071000</v>
      </c>
      <c r="G45" s="10">
        <f>+TESCOL!G44</f>
        <v>1428000</v>
      </c>
      <c r="H45" s="10">
        <f>+SOLHID!G44</f>
        <v>674730</v>
      </c>
      <c r="I45" s="10">
        <f>+PRADO!G44</f>
        <v>1130500</v>
      </c>
      <c r="J45" s="10"/>
      <c r="K45" s="11">
        <f>+MIN(F45:J45)</f>
        <v>674730</v>
      </c>
      <c r="L45" s="12">
        <f>IFERROR(AVERAGE(F45:J45),"")</f>
        <v>1076057.5</v>
      </c>
      <c r="M45" s="12">
        <f>IFERROR(MEDIAN(F45:J45),"")</f>
        <v>1100750</v>
      </c>
      <c r="N45" s="12">
        <f>IFERROR(GEOMEAN(F45:J45),"")</f>
        <v>1039272.8126674745</v>
      </c>
      <c r="O45" s="12">
        <f>IFERROR(HARMEAN(F45:J45),"")</f>
        <v>999843.62661467225</v>
      </c>
      <c r="P45" s="12">
        <f>IFERROR(_xlfn.STDEV.S(F45:J45),"")</f>
        <v>309793.93671439082</v>
      </c>
      <c r="Q45" s="13">
        <f t="shared" si="7"/>
        <v>0.28789719574873168</v>
      </c>
      <c r="R45" s="26">
        <f t="shared" si="8"/>
        <v>1076057.5</v>
      </c>
      <c r="S45" s="14" t="str">
        <f t="shared" si="9"/>
        <v>PROMEDIO</v>
      </c>
      <c r="T45" s="15">
        <f>E45</f>
        <v>2</v>
      </c>
      <c r="U45" s="16" t="str">
        <f>D45</f>
        <v>Número de lavados</v>
      </c>
      <c r="V45" s="43">
        <f t="shared" si="10"/>
        <v>1076058</v>
      </c>
      <c r="W45" s="21">
        <f t="shared" si="11"/>
        <v>2152116</v>
      </c>
      <c r="X45" s="49"/>
      <c r="Y45" s="40"/>
    </row>
    <row r="46" spans="1:25" ht="138.75" customHeight="1" x14ac:dyDescent="0.25">
      <c r="A46" s="8">
        <v>44</v>
      </c>
      <c r="B46" s="8" t="s">
        <v>51</v>
      </c>
      <c r="C46" s="52" t="s">
        <v>105</v>
      </c>
      <c r="D46" s="52" t="s">
        <v>116</v>
      </c>
      <c r="E46" s="52">
        <v>2</v>
      </c>
      <c r="F46" s="10">
        <f>+COLSAM!G45</f>
        <v>904400</v>
      </c>
      <c r="G46" s="10">
        <f>+TESCOL!G45</f>
        <v>1059100</v>
      </c>
      <c r="H46" s="10">
        <f>+SOLHID!G45</f>
        <v>809200</v>
      </c>
      <c r="I46" s="10">
        <f>+PRADO!G45</f>
        <v>952000</v>
      </c>
      <c r="J46" s="10"/>
      <c r="K46" s="11">
        <f>+MIN(F46:J46)</f>
        <v>809200</v>
      </c>
      <c r="L46" s="12">
        <f>IFERROR(AVERAGE(F46:J46),"")</f>
        <v>931175</v>
      </c>
      <c r="M46" s="12">
        <f>IFERROR(MEDIAN(F46:J46),"")</f>
        <v>928200</v>
      </c>
      <c r="N46" s="12">
        <f>IFERROR(GEOMEAN(F46:J46),"")</f>
        <v>926824.67176882667</v>
      </c>
      <c r="O46" s="12">
        <f>IFERROR(HARMEAN(F46:J46),"")</f>
        <v>922485.40874885186</v>
      </c>
      <c r="P46" s="12">
        <f>IFERROR(_xlfn.STDEV.S(F46:J46),"")</f>
        <v>103912.28271960924</v>
      </c>
      <c r="Q46" s="13">
        <f t="shared" si="7"/>
        <v>0.11159264662346953</v>
      </c>
      <c r="R46" s="26">
        <f t="shared" si="8"/>
        <v>931175</v>
      </c>
      <c r="S46" s="14" t="str">
        <f t="shared" si="9"/>
        <v>PROMEDIO</v>
      </c>
      <c r="T46" s="15">
        <f>E46</f>
        <v>2</v>
      </c>
      <c r="U46" s="16" t="str">
        <f>D46</f>
        <v>Número de lavados</v>
      </c>
      <c r="V46" s="43">
        <f t="shared" si="10"/>
        <v>931175</v>
      </c>
      <c r="W46" s="21">
        <f t="shared" si="11"/>
        <v>1862350</v>
      </c>
      <c r="X46" s="49"/>
      <c r="Y46" s="40"/>
    </row>
    <row r="47" spans="1:25" ht="138.75" customHeight="1" x14ac:dyDescent="0.25">
      <c r="A47" s="9">
        <v>45</v>
      </c>
      <c r="B47" s="8" t="s">
        <v>51</v>
      </c>
      <c r="C47" s="52" t="s">
        <v>106</v>
      </c>
      <c r="D47" s="52" t="s">
        <v>116</v>
      </c>
      <c r="E47" s="52">
        <v>2</v>
      </c>
      <c r="F47" s="10">
        <f>+COLSAM!G46</f>
        <v>1047200</v>
      </c>
      <c r="G47" s="10">
        <f>+TESCOL!G46</f>
        <v>1011500</v>
      </c>
      <c r="H47" s="10">
        <f>+SOLHID!G46</f>
        <v>642600</v>
      </c>
      <c r="I47" s="10">
        <f>+PRADO!G46</f>
        <v>1071000</v>
      </c>
      <c r="J47" s="10"/>
      <c r="K47" s="11">
        <f>+MIN(F47:J47)</f>
        <v>642600</v>
      </c>
      <c r="L47" s="12">
        <f>IFERROR(AVERAGE(F47:J47),"")</f>
        <v>943075</v>
      </c>
      <c r="M47" s="12">
        <f>IFERROR(MEDIAN(F47:J47),"")</f>
        <v>1029350</v>
      </c>
      <c r="N47" s="12">
        <f>IFERROR(GEOMEAN(F47:J47),"")</f>
        <v>924020.12072707433</v>
      </c>
      <c r="O47" s="12">
        <f>IFERROR(HARMEAN(F47:J47),"")</f>
        <v>902233.31769122474</v>
      </c>
      <c r="P47" s="12">
        <f>IFERROR(_xlfn.STDEV.S(F47:J47),"")</f>
        <v>201803.55753388823</v>
      </c>
      <c r="Q47" s="13">
        <f t="shared" si="7"/>
        <v>0.21398463275337404</v>
      </c>
      <c r="R47" s="26">
        <f t="shared" si="8"/>
        <v>943075</v>
      </c>
      <c r="S47" s="14" t="str">
        <f t="shared" si="9"/>
        <v>PROMEDIO</v>
      </c>
      <c r="T47" s="15">
        <f>E47</f>
        <v>2</v>
      </c>
      <c r="U47" s="16" t="str">
        <f>D47</f>
        <v>Número de lavados</v>
      </c>
      <c r="V47" s="43">
        <f t="shared" si="10"/>
        <v>943075</v>
      </c>
      <c r="W47" s="21">
        <f t="shared" si="11"/>
        <v>1886150</v>
      </c>
      <c r="X47" s="49"/>
      <c r="Y47" s="40"/>
    </row>
    <row r="48" spans="1:25" ht="138.75" customHeight="1" x14ac:dyDescent="0.25">
      <c r="A48" s="8">
        <v>46</v>
      </c>
      <c r="B48" s="8" t="s">
        <v>51</v>
      </c>
      <c r="C48" s="52" t="s">
        <v>107</v>
      </c>
      <c r="D48" s="52" t="s">
        <v>116</v>
      </c>
      <c r="E48" s="52">
        <v>6</v>
      </c>
      <c r="F48" s="10">
        <f>+COLSAM!G47</f>
        <v>416500</v>
      </c>
      <c r="G48" s="10">
        <f>+TESCOL!G47</f>
        <v>595000</v>
      </c>
      <c r="H48" s="10">
        <f>+SOLHID!G47</f>
        <v>684250</v>
      </c>
      <c r="I48" s="10">
        <f>+PRADO!G47</f>
        <v>476000</v>
      </c>
      <c r="J48" s="10"/>
      <c r="K48" s="11">
        <f>+MIN(F48:J48)</f>
        <v>416500</v>
      </c>
      <c r="L48" s="12">
        <f>IFERROR(AVERAGE(F48:J48),"")</f>
        <v>542937.5</v>
      </c>
      <c r="M48" s="12">
        <f>IFERROR(MEDIAN(F48:J48),"")</f>
        <v>535500</v>
      </c>
      <c r="N48" s="12">
        <f>IFERROR(GEOMEAN(F48:J48),"")</f>
        <v>533013.77458244946</v>
      </c>
      <c r="O48" s="12">
        <f>IFERROR(HARMEAN(F48:J48),"")</f>
        <v>523291.22567429155</v>
      </c>
      <c r="P48" s="12">
        <f>IFERROR(_xlfn.STDEV.S(F48:J48),"")</f>
        <v>119926.08400594092</v>
      </c>
      <c r="Q48" s="13">
        <f t="shared" si="7"/>
        <v>0.22088377392598765</v>
      </c>
      <c r="R48" s="26">
        <f t="shared" si="8"/>
        <v>542937.5</v>
      </c>
      <c r="S48" s="14" t="str">
        <f t="shared" si="9"/>
        <v>PROMEDIO</v>
      </c>
      <c r="T48" s="15">
        <f>E48</f>
        <v>6</v>
      </c>
      <c r="U48" s="16" t="str">
        <f>D48</f>
        <v>Número de lavados</v>
      </c>
      <c r="V48" s="43">
        <f t="shared" si="10"/>
        <v>542938</v>
      </c>
      <c r="W48" s="21">
        <f t="shared" si="11"/>
        <v>3257628</v>
      </c>
      <c r="X48" s="49"/>
      <c r="Y48" s="40"/>
    </row>
    <row r="49" spans="1:25" ht="138.75" customHeight="1" x14ac:dyDescent="0.25">
      <c r="A49" s="8">
        <v>47</v>
      </c>
      <c r="B49" s="8" t="s">
        <v>51</v>
      </c>
      <c r="C49" s="52" t="s">
        <v>108</v>
      </c>
      <c r="D49" s="52" t="s">
        <v>116</v>
      </c>
      <c r="E49" s="52">
        <v>2</v>
      </c>
      <c r="F49" s="10">
        <f>+COLSAM!G48</f>
        <v>6545000</v>
      </c>
      <c r="G49" s="10">
        <f>+TESCOL!G48</f>
        <v>7378000</v>
      </c>
      <c r="H49" s="10">
        <f>+SOLHID!G48</f>
        <v>5236000</v>
      </c>
      <c r="I49" s="10">
        <f>+PRADO!G48</f>
        <v>7140000</v>
      </c>
      <c r="J49" s="10"/>
      <c r="K49" s="11">
        <f>+MIN(F49:J49)</f>
        <v>5236000</v>
      </c>
      <c r="L49" s="12">
        <f>IFERROR(AVERAGE(F49:J49),"")</f>
        <v>6574750</v>
      </c>
      <c r="M49" s="12">
        <f>IFERROR(MEDIAN(F49:J49),"")</f>
        <v>6842500</v>
      </c>
      <c r="N49" s="12">
        <f>IFERROR(GEOMEAN(F49:J49),"")</f>
        <v>6518332.9174278658</v>
      </c>
      <c r="O49" s="12">
        <f>IFERROR(HARMEAN(F49:J49),"")</f>
        <v>6458196.2864721492</v>
      </c>
      <c r="P49" s="12">
        <f>IFERROR(_xlfn.STDEV.S(F49:J49),"")</f>
        <v>958793.46924489771</v>
      </c>
      <c r="Q49" s="13">
        <f t="shared" si="7"/>
        <v>0.14582964663978062</v>
      </c>
      <c r="R49" s="26">
        <f t="shared" si="8"/>
        <v>6574750</v>
      </c>
      <c r="S49" s="14" t="str">
        <f t="shared" si="9"/>
        <v>PROMEDIO</v>
      </c>
      <c r="T49" s="15">
        <f>E49</f>
        <v>2</v>
      </c>
      <c r="U49" s="16" t="str">
        <f>D49</f>
        <v>Número de lavados</v>
      </c>
      <c r="V49" s="43">
        <f t="shared" si="10"/>
        <v>6574750</v>
      </c>
      <c r="W49" s="21">
        <f t="shared" si="11"/>
        <v>13149500</v>
      </c>
      <c r="X49" s="49"/>
      <c r="Y49" s="40"/>
    </row>
    <row r="50" spans="1:25" ht="138.75" customHeight="1" x14ac:dyDescent="0.25">
      <c r="A50" s="9">
        <v>48</v>
      </c>
      <c r="B50" s="8" t="s">
        <v>51</v>
      </c>
      <c r="C50" s="52" t="s">
        <v>109</v>
      </c>
      <c r="D50" s="52" t="s">
        <v>116</v>
      </c>
      <c r="E50" s="52">
        <v>2</v>
      </c>
      <c r="F50" s="10">
        <f>+COLSAM!G49</f>
        <v>5355000</v>
      </c>
      <c r="G50" s="10">
        <f>+TESCOL!G49</f>
        <v>7080619</v>
      </c>
      <c r="H50" s="10">
        <f>+SOLHID!G49</f>
        <v>4219740</v>
      </c>
      <c r="I50" s="10">
        <f>+PRADO!G49</f>
        <v>6902000</v>
      </c>
      <c r="J50" s="10"/>
      <c r="K50" s="11">
        <f>+MIN(F50:J50)</f>
        <v>4219740</v>
      </c>
      <c r="L50" s="12">
        <f>IFERROR(AVERAGE(F50:J50),"")</f>
        <v>5889339.75</v>
      </c>
      <c r="M50" s="12">
        <f>IFERROR(MEDIAN(F50:J50),"")</f>
        <v>6128500</v>
      </c>
      <c r="N50" s="12">
        <f>IFERROR(GEOMEAN(F50:J50),"")</f>
        <v>5764648.5788037376</v>
      </c>
      <c r="O50" s="12">
        <f>IFERROR(HARMEAN(F50:J50),"")</f>
        <v>5635081.2725421963</v>
      </c>
      <c r="P50" s="12">
        <f>IFERROR(_xlfn.STDEV.S(F50:J50),"")</f>
        <v>1356184.5163350438</v>
      </c>
      <c r="Q50" s="13">
        <f t="shared" si="1"/>
        <v>0.23027785352934407</v>
      </c>
      <c r="R50" s="26">
        <f t="shared" si="2"/>
        <v>5889339.75</v>
      </c>
      <c r="S50" s="14" t="str">
        <f t="shared" si="3"/>
        <v>PROMEDIO</v>
      </c>
      <c r="T50" s="15">
        <f>E50</f>
        <v>2</v>
      </c>
      <c r="U50" s="16" t="str">
        <f>D50</f>
        <v>Número de lavados</v>
      </c>
      <c r="V50" s="43">
        <f t="shared" si="5"/>
        <v>5889340</v>
      </c>
      <c r="W50" s="21">
        <f t="shared" si="4"/>
        <v>11778680</v>
      </c>
      <c r="X50" s="49"/>
      <c r="Y50" s="40">
        <f>+V50/$V$52</f>
        <v>0.10677697293244874</v>
      </c>
    </row>
    <row r="51" spans="1:25" ht="138.75" customHeight="1" x14ac:dyDescent="0.25">
      <c r="A51" s="8">
        <v>49</v>
      </c>
      <c r="B51" s="8" t="s">
        <v>51</v>
      </c>
      <c r="C51" s="52" t="s">
        <v>110</v>
      </c>
      <c r="D51" s="52" t="s">
        <v>116</v>
      </c>
      <c r="E51" s="52">
        <v>2</v>
      </c>
      <c r="F51" s="10">
        <f>+COLSAM!G50</f>
        <v>297500</v>
      </c>
      <c r="G51" s="10">
        <f>+TESCOL!G50</f>
        <v>583100</v>
      </c>
      <c r="H51" s="10">
        <f>+SOLHID!G50</f>
        <v>565250</v>
      </c>
      <c r="I51" s="10">
        <f>+PRADO!G50</f>
        <v>535500</v>
      </c>
      <c r="J51" s="10"/>
      <c r="K51" s="11">
        <f>+MIN(F51:J51)</f>
        <v>297500</v>
      </c>
      <c r="L51" s="12">
        <f>IFERROR(AVERAGE(F51:J51),"")</f>
        <v>495337.5</v>
      </c>
      <c r="M51" s="12">
        <f>IFERROR(MEDIAN(F51:J51),"")</f>
        <v>550375</v>
      </c>
      <c r="N51" s="12">
        <f>IFERROR(GEOMEAN(F51:J51),"")</f>
        <v>478693.48238420236</v>
      </c>
      <c r="O51" s="12">
        <f>IFERROR(HARMEAN(F51:J51),"")</f>
        <v>459091.57880197064</v>
      </c>
      <c r="P51" s="12">
        <f>IFERROR(_xlfn.STDEV.S(F51:J51),"")</f>
        <v>133345.06224453906</v>
      </c>
      <c r="Q51" s="13">
        <f t="shared" si="1"/>
        <v>0.26920041839057018</v>
      </c>
      <c r="R51" s="26">
        <f t="shared" si="2"/>
        <v>495337.5</v>
      </c>
      <c r="S51" s="14" t="str">
        <f t="shared" si="3"/>
        <v>PROMEDIO</v>
      </c>
      <c r="T51" s="15">
        <f>E51</f>
        <v>2</v>
      </c>
      <c r="U51" s="16" t="str">
        <f>D51</f>
        <v>Número de lavados</v>
      </c>
      <c r="V51" s="43">
        <f t="shared" si="5"/>
        <v>495338</v>
      </c>
      <c r="W51" s="21">
        <f t="shared" si="4"/>
        <v>990676</v>
      </c>
      <c r="X51" s="49"/>
      <c r="Y51" s="40">
        <f>+V51/$V$52</f>
        <v>8.9807503418741826E-3</v>
      </c>
    </row>
    <row r="52" spans="1:25" ht="138.75" customHeight="1" x14ac:dyDescent="0.25">
      <c r="F52" s="25">
        <f>+SUM(F3:F51)</f>
        <v>52546830</v>
      </c>
      <c r="G52" s="25">
        <f t="shared" ref="G52:W52" si="12">+SUM(G3:G51)</f>
        <v>57227219</v>
      </c>
      <c r="H52" s="25"/>
      <c r="I52" s="25"/>
      <c r="J52" s="25"/>
      <c r="K52" s="25">
        <f t="shared" si="12"/>
        <v>44069270</v>
      </c>
      <c r="L52" s="25">
        <f t="shared" si="12"/>
        <v>55155518.25</v>
      </c>
      <c r="M52" s="25">
        <f t="shared" si="12"/>
        <v>54201049</v>
      </c>
      <c r="N52" s="25">
        <f t="shared" si="12"/>
        <v>54227843.935932495</v>
      </c>
      <c r="O52" s="25">
        <f t="shared" si="12"/>
        <v>53327638.758650847</v>
      </c>
      <c r="P52" s="25">
        <f t="shared" si="12"/>
        <v>11018497.927742187</v>
      </c>
      <c r="Q52" s="25"/>
      <c r="R52" s="25">
        <f t="shared" si="12"/>
        <v>55155518.25</v>
      </c>
      <c r="S52" s="25"/>
      <c r="T52" s="25"/>
      <c r="U52" s="25"/>
      <c r="V52" s="25">
        <f t="shared" si="12"/>
        <v>55155525</v>
      </c>
      <c r="W52" s="25">
        <f t="shared" si="12"/>
        <v>94485305</v>
      </c>
      <c r="Y52" s="42">
        <f>+ROUND(W52*12%,0)</f>
        <v>11338237</v>
      </c>
    </row>
    <row r="53" spans="1:25" ht="138.75" customHeight="1" x14ac:dyDescent="0.25">
      <c r="F53" s="7"/>
      <c r="G53" s="7"/>
      <c r="H53" s="7"/>
      <c r="I53" s="7"/>
      <c r="J53" s="7"/>
      <c r="K53" s="7"/>
      <c r="W53" s="41"/>
    </row>
    <row r="54" spans="1:25" ht="138.75" customHeight="1" x14ac:dyDescent="0.25">
      <c r="F54" s="7"/>
      <c r="G54" s="7"/>
      <c r="H54" s="7"/>
      <c r="I54" s="7"/>
      <c r="J54" s="7"/>
      <c r="K54" s="7"/>
    </row>
    <row r="55" spans="1:25" ht="138.75" customHeight="1" x14ac:dyDescent="0.25">
      <c r="F55" s="7"/>
      <c r="G55" s="7"/>
      <c r="H55" s="7"/>
      <c r="I55" s="7"/>
      <c r="J55" s="7"/>
      <c r="K55" s="7"/>
    </row>
    <row r="56" spans="1:25" ht="138.75" customHeight="1" x14ac:dyDescent="0.25">
      <c r="F56" s="7"/>
      <c r="G56" s="7"/>
      <c r="H56" s="7"/>
      <c r="I56" s="7"/>
      <c r="J56" s="7"/>
      <c r="K56" s="7"/>
    </row>
    <row r="57" spans="1:25" ht="138.75" customHeight="1" x14ac:dyDescent="0.25">
      <c r="F57" s="7"/>
      <c r="G57" s="7"/>
      <c r="H57" s="7"/>
      <c r="I57" s="7"/>
      <c r="J57" s="7"/>
      <c r="K57" s="7"/>
    </row>
    <row r="58" spans="1:25" ht="138.75" customHeight="1" x14ac:dyDescent="0.25">
      <c r="F58" s="7"/>
      <c r="G58" s="7"/>
      <c r="H58" s="7"/>
      <c r="I58" s="7"/>
      <c r="J58" s="7"/>
      <c r="K58" s="7"/>
    </row>
    <row r="59" spans="1:25" ht="138.75" customHeight="1" x14ac:dyDescent="0.25">
      <c r="F59" s="7"/>
      <c r="G59" s="7"/>
      <c r="H59" s="7"/>
      <c r="I59" s="7"/>
      <c r="J59" s="7"/>
      <c r="K59" s="7"/>
    </row>
    <row r="60" spans="1:25" ht="138.75" customHeight="1" x14ac:dyDescent="0.25">
      <c r="F60" s="7"/>
      <c r="G60" s="7"/>
      <c r="H60" s="7"/>
      <c r="I60" s="7"/>
      <c r="J60" s="7"/>
      <c r="K60" s="7"/>
    </row>
    <row r="61" spans="1:25" ht="138.75" customHeight="1" x14ac:dyDescent="0.25">
      <c r="F61" s="7"/>
      <c r="G61" s="7"/>
      <c r="H61" s="7"/>
      <c r="I61" s="7"/>
      <c r="J61" s="7"/>
      <c r="K61" s="7"/>
    </row>
    <row r="62" spans="1:25" ht="138.75" customHeight="1" x14ac:dyDescent="0.25">
      <c r="F62" s="7"/>
      <c r="G62" s="7"/>
      <c r="H62" s="7"/>
      <c r="I62" s="7"/>
      <c r="J62" s="7"/>
      <c r="K62" s="7"/>
    </row>
    <row r="63" spans="1:25" ht="138.75" customHeight="1" x14ac:dyDescent="0.25">
      <c r="F63" s="7"/>
      <c r="G63" s="7"/>
      <c r="H63" s="7"/>
      <c r="I63" s="7"/>
      <c r="J63" s="7"/>
      <c r="K63" s="7"/>
    </row>
    <row r="64" spans="1:25" ht="138.75" customHeight="1" x14ac:dyDescent="0.25">
      <c r="F64" s="7"/>
      <c r="G64" s="7"/>
      <c r="H64" s="7"/>
      <c r="I64" s="7"/>
      <c r="J64" s="7"/>
      <c r="K64" s="7"/>
    </row>
    <row r="65" spans="6:11" ht="138.75" customHeight="1" x14ac:dyDescent="0.25">
      <c r="F65" s="7"/>
      <c r="G65" s="7"/>
      <c r="H65" s="7"/>
      <c r="I65" s="7"/>
      <c r="J65" s="7"/>
      <c r="K65" s="7"/>
    </row>
    <row r="66" spans="6:11" ht="138.75" customHeight="1" x14ac:dyDescent="0.25">
      <c r="F66" s="7"/>
      <c r="G66" s="7"/>
      <c r="H66" s="7"/>
      <c r="I66" s="7"/>
      <c r="J66" s="7"/>
      <c r="K66" s="7"/>
    </row>
    <row r="67" spans="6:11" ht="138.75" customHeight="1" x14ac:dyDescent="0.25">
      <c r="F67" s="7"/>
      <c r="G67" s="7"/>
      <c r="H67" s="7"/>
      <c r="I67" s="7"/>
      <c r="J67" s="7"/>
      <c r="K67" s="7"/>
    </row>
    <row r="68" spans="6:11" ht="138.75" customHeight="1" x14ac:dyDescent="0.25">
      <c r="F68" s="7"/>
      <c r="G68" s="7"/>
      <c r="H68" s="7"/>
      <c r="I68" s="7"/>
      <c r="J68" s="7"/>
      <c r="K68" s="7"/>
    </row>
    <row r="69" spans="6:11" ht="138.75" customHeight="1" x14ac:dyDescent="0.25">
      <c r="F69" s="7"/>
      <c r="G69" s="7"/>
      <c r="H69" s="7"/>
      <c r="I69" s="7"/>
      <c r="J69" s="7"/>
      <c r="K69" s="7"/>
    </row>
    <row r="70" spans="6:11" ht="138.75" customHeight="1" x14ac:dyDescent="0.25">
      <c r="F70" s="7"/>
      <c r="G70" s="7"/>
      <c r="H70" s="7"/>
      <c r="I70" s="7"/>
      <c r="J70" s="7"/>
      <c r="K70" s="7"/>
    </row>
  </sheetData>
  <autoFilter ref="A2:W52" xr:uid="{AB49FBA0-3DED-4723-895A-B5C05532D0CD}"/>
  <mergeCells count="2">
    <mergeCell ref="T1:W1"/>
    <mergeCell ref="K1:S1"/>
  </mergeCells>
  <conditionalFormatting sqref="Q3:Q51">
    <cfRule type="cellIs" dxfId="0" priority="1" operator="greaterThan">
      <formula>0.33</formula>
    </cfRule>
  </conditionalFormatting>
  <dataValidations disablePrompts="1" count="1">
    <dataValidation allowBlank="1" showInputMessage="1" showErrorMessage="1" prompt="Valor IPC Inicial contrato" sqref="E1" xr:uid="{88ACE4DF-379C-49ED-A4DC-D1274530FB6C}"/>
  </dataValidations>
  <printOptions horizontalCentered="1" verticalCentered="1"/>
  <pageMargins left="0.70866141732283472" right="0.70866141732283472" top="0.74803149606299213" bottom="0.74803149606299213" header="0.31496062992125984" footer="0.31496062992125984"/>
  <pageSetup paperSize="121" scale="23" orientation="portrait" r:id="rId1"/>
  <rowBreaks count="1" manualBreakCount="1">
    <brk id="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6566-F4B0-4BCC-B531-3960E0FB9B72}">
  <dimension ref="B2:L24"/>
  <sheetViews>
    <sheetView topLeftCell="A2" workbookViewId="0">
      <selection activeCell="D2" sqref="D2"/>
    </sheetView>
  </sheetViews>
  <sheetFormatPr baseColWidth="10" defaultRowHeight="15" x14ac:dyDescent="0.25"/>
  <cols>
    <col min="4" max="4" width="27.7109375" customWidth="1"/>
    <col min="5" max="10" width="12.7109375" bestFit="1" customWidth="1"/>
    <col min="11" max="11" width="11.7109375" bestFit="1" customWidth="1"/>
    <col min="12" max="12" width="11.5703125" bestFit="1" customWidth="1"/>
  </cols>
  <sheetData>
    <row r="2" spans="2:12" ht="101.25" x14ac:dyDescent="0.25">
      <c r="B2" s="44" t="s">
        <v>15</v>
      </c>
      <c r="C2" s="44" t="s">
        <v>22</v>
      </c>
      <c r="D2" s="44" t="s">
        <v>16</v>
      </c>
      <c r="E2" s="44" t="s">
        <v>55</v>
      </c>
      <c r="F2" s="44" t="s">
        <v>56</v>
      </c>
      <c r="G2" s="44" t="s">
        <v>23</v>
      </c>
      <c r="H2" s="44" t="s">
        <v>0</v>
      </c>
      <c r="I2" s="44" t="s">
        <v>1</v>
      </c>
      <c r="J2" s="44" t="s">
        <v>18</v>
      </c>
      <c r="K2" s="44" t="s">
        <v>6</v>
      </c>
      <c r="L2" s="44" t="s">
        <v>20</v>
      </c>
    </row>
    <row r="3" spans="2:12" ht="45" x14ac:dyDescent="0.25">
      <c r="B3" s="45">
        <v>1</v>
      </c>
      <c r="C3" s="45" t="s">
        <v>51</v>
      </c>
      <c r="D3" s="45" t="s">
        <v>58</v>
      </c>
      <c r="E3" s="47">
        <v>10055500</v>
      </c>
      <c r="F3" s="47">
        <v>10917256.35</v>
      </c>
      <c r="G3" s="47">
        <v>10055500</v>
      </c>
      <c r="H3" s="47">
        <v>10486378.175000001</v>
      </c>
      <c r="I3" s="47">
        <v>10486378.175000001</v>
      </c>
      <c r="J3" s="47">
        <v>10477522.189307213</v>
      </c>
      <c r="K3" s="47">
        <v>609353.75881556759</v>
      </c>
      <c r="L3" s="48">
        <v>5.8109077190091667E-2</v>
      </c>
    </row>
    <row r="4" spans="2:12" ht="78.75" x14ac:dyDescent="0.25">
      <c r="B4" s="45">
        <v>2</v>
      </c>
      <c r="C4" s="45" t="s">
        <v>51</v>
      </c>
      <c r="D4" s="45" t="s">
        <v>59</v>
      </c>
      <c r="E4" s="47">
        <v>54097400</v>
      </c>
      <c r="F4" s="47">
        <v>58733547.18</v>
      </c>
      <c r="G4" s="47">
        <v>54097400</v>
      </c>
      <c r="H4" s="47">
        <v>56415473.590000004</v>
      </c>
      <c r="I4" s="47">
        <v>56415473.590000004</v>
      </c>
      <c r="J4" s="47">
        <v>56367829.43501845</v>
      </c>
      <c r="K4" s="47">
        <v>3278251.1095568892</v>
      </c>
      <c r="L4" s="48">
        <v>5.8109077190091687E-2</v>
      </c>
    </row>
    <row r="5" spans="2:12" ht="56.25" x14ac:dyDescent="0.25">
      <c r="B5" s="46">
        <v>3</v>
      </c>
      <c r="C5" s="45" t="s">
        <v>51</v>
      </c>
      <c r="D5" s="45" t="s">
        <v>33</v>
      </c>
      <c r="E5" s="47">
        <v>4703475</v>
      </c>
      <c r="F5" s="47">
        <v>5106562.51</v>
      </c>
      <c r="G5" s="47">
        <v>4703475</v>
      </c>
      <c r="H5" s="47">
        <v>4905018.7549999999</v>
      </c>
      <c r="I5" s="47">
        <v>4905018.7549999999</v>
      </c>
      <c r="J5" s="47">
        <v>4900876.3605830995</v>
      </c>
      <c r="K5" s="47">
        <v>285025.91173260013</v>
      </c>
      <c r="L5" s="48">
        <v>5.8109036064756113E-2</v>
      </c>
    </row>
    <row r="6" spans="2:12" ht="78.75" x14ac:dyDescent="0.25">
      <c r="B6" s="45">
        <v>4</v>
      </c>
      <c r="C6" s="45" t="s">
        <v>51</v>
      </c>
      <c r="D6" s="45" t="s">
        <v>60</v>
      </c>
      <c r="E6" s="47">
        <v>78720129.109999999</v>
      </c>
      <c r="F6" s="47">
        <v>85466443.790000007</v>
      </c>
      <c r="G6" s="47">
        <v>78720129.109999999</v>
      </c>
      <c r="H6" s="47">
        <v>82093286.450000003</v>
      </c>
      <c r="I6" s="47">
        <v>82093286.450000003</v>
      </c>
      <c r="J6" s="47">
        <v>82023956.803615361</v>
      </c>
      <c r="K6" s="47">
        <v>4770364.858246359</v>
      </c>
      <c r="L6" s="48">
        <v>5.8109074012426251E-2</v>
      </c>
    </row>
    <row r="7" spans="2:12" ht="45" x14ac:dyDescent="0.25">
      <c r="B7" s="45">
        <v>5</v>
      </c>
      <c r="C7" s="45" t="s">
        <v>51</v>
      </c>
      <c r="D7" s="45" t="s">
        <v>61</v>
      </c>
      <c r="E7" s="47">
        <v>535500</v>
      </c>
      <c r="F7" s="47">
        <v>581660.1</v>
      </c>
      <c r="G7" s="47">
        <v>535500</v>
      </c>
      <c r="H7" s="47">
        <v>558580.05000000005</v>
      </c>
      <c r="I7" s="47">
        <v>558580.05000000005</v>
      </c>
      <c r="J7" s="47">
        <v>558103.02234444139</v>
      </c>
      <c r="K7" s="47">
        <v>32640.119730249135</v>
      </c>
      <c r="L7" s="48">
        <v>5.843409504197139E-2</v>
      </c>
    </row>
    <row r="8" spans="2:12" ht="56.25" x14ac:dyDescent="0.25">
      <c r="B8" s="46">
        <v>6</v>
      </c>
      <c r="C8" s="45" t="s">
        <v>51</v>
      </c>
      <c r="D8" s="45" t="s">
        <v>34</v>
      </c>
      <c r="E8" s="47">
        <v>8121750</v>
      </c>
      <c r="F8" s="47">
        <v>8821844.8499999996</v>
      </c>
      <c r="G8" s="47">
        <v>8121750</v>
      </c>
      <c r="H8" s="47">
        <v>8471797.4250000007</v>
      </c>
      <c r="I8" s="47">
        <v>8471797.4250000007</v>
      </c>
      <c r="J8" s="47">
        <v>8464562.5055573601</v>
      </c>
      <c r="K8" s="47">
        <v>495041.81590877852</v>
      </c>
      <c r="L8" s="48">
        <v>5.843409504197139E-2</v>
      </c>
    </row>
    <row r="9" spans="2:12" ht="45" x14ac:dyDescent="0.25">
      <c r="B9" s="45">
        <v>7</v>
      </c>
      <c r="C9" s="45" t="s">
        <v>51</v>
      </c>
      <c r="D9" s="45" t="s">
        <v>35</v>
      </c>
      <c r="E9" s="47">
        <v>11126500</v>
      </c>
      <c r="F9" s="47">
        <v>12085604.300000001</v>
      </c>
      <c r="G9" s="47">
        <v>11126500</v>
      </c>
      <c r="H9" s="47">
        <v>11606052.15</v>
      </c>
      <c r="I9" s="47">
        <v>11606052.15</v>
      </c>
      <c r="J9" s="47">
        <v>11596140.575378949</v>
      </c>
      <c r="K9" s="47">
        <v>678189.15439517738</v>
      </c>
      <c r="L9" s="48">
        <v>5.8434095041971473E-2</v>
      </c>
    </row>
    <row r="10" spans="2:12" ht="33.75" x14ac:dyDescent="0.25">
      <c r="B10" s="45">
        <v>8</v>
      </c>
      <c r="C10" s="45" t="s">
        <v>51</v>
      </c>
      <c r="D10" s="45" t="s">
        <v>36</v>
      </c>
      <c r="E10" s="47">
        <v>5414500</v>
      </c>
      <c r="F10" s="47">
        <v>5881229.9000000004</v>
      </c>
      <c r="G10" s="47">
        <v>5414500</v>
      </c>
      <c r="H10" s="47">
        <v>5647864.9500000002</v>
      </c>
      <c r="I10" s="47">
        <v>5647864.9500000002</v>
      </c>
      <c r="J10" s="47">
        <v>5643041.6703715743</v>
      </c>
      <c r="K10" s="47">
        <v>330027.87727251946</v>
      </c>
      <c r="L10" s="48">
        <v>5.8434095041971473E-2</v>
      </c>
    </row>
    <row r="11" spans="2:12" ht="33.75" x14ac:dyDescent="0.25">
      <c r="B11" s="46">
        <v>9</v>
      </c>
      <c r="C11" s="45" t="s">
        <v>51</v>
      </c>
      <c r="D11" s="45" t="s">
        <v>37</v>
      </c>
      <c r="E11" s="47">
        <v>1392300</v>
      </c>
      <c r="F11" s="47">
        <v>1512316.26</v>
      </c>
      <c r="G11" s="47">
        <v>1392300</v>
      </c>
      <c r="H11" s="47">
        <v>1452308.13</v>
      </c>
      <c r="I11" s="47">
        <v>1452308.13</v>
      </c>
      <c r="J11" s="47">
        <v>1451067.8580955477</v>
      </c>
      <c r="K11" s="47">
        <v>84864.311298647808</v>
      </c>
      <c r="L11" s="48">
        <v>5.8434095041971439E-2</v>
      </c>
    </row>
    <row r="12" spans="2:12" ht="45" x14ac:dyDescent="0.25">
      <c r="B12" s="45">
        <v>10</v>
      </c>
      <c r="C12" s="45" t="s">
        <v>51</v>
      </c>
      <c r="D12" s="45" t="s">
        <v>38</v>
      </c>
      <c r="E12" s="47">
        <v>4165000</v>
      </c>
      <c r="F12" s="47">
        <v>4524023</v>
      </c>
      <c r="G12" s="47">
        <v>4165000</v>
      </c>
      <c r="H12" s="47">
        <v>4344511.5</v>
      </c>
      <c r="I12" s="47">
        <v>4344511.5</v>
      </c>
      <c r="J12" s="47">
        <v>4340801.2849012101</v>
      </c>
      <c r="K12" s="47">
        <v>253867.59790193784</v>
      </c>
      <c r="L12" s="48">
        <v>5.8434095041971425E-2</v>
      </c>
    </row>
    <row r="13" spans="2:12" ht="45" x14ac:dyDescent="0.25">
      <c r="B13" s="45">
        <v>11</v>
      </c>
      <c r="C13" s="45" t="s">
        <v>51</v>
      </c>
      <c r="D13" s="45" t="s">
        <v>39</v>
      </c>
      <c r="E13" s="47">
        <v>773500</v>
      </c>
      <c r="F13" s="47">
        <v>839788.95</v>
      </c>
      <c r="G13" s="47">
        <v>773500</v>
      </c>
      <c r="H13" s="47">
        <v>806644.47499999998</v>
      </c>
      <c r="I13" s="47">
        <v>806644.47499999998</v>
      </c>
      <c r="J13" s="47">
        <v>805963.24533132405</v>
      </c>
      <c r="K13" s="47">
        <v>46873.366062735957</v>
      </c>
      <c r="L13" s="48">
        <v>5.8109077190091653E-2</v>
      </c>
    </row>
    <row r="14" spans="2:12" ht="45" x14ac:dyDescent="0.25">
      <c r="B14" s="46">
        <v>12</v>
      </c>
      <c r="C14" s="45" t="s">
        <v>51</v>
      </c>
      <c r="D14" s="45" t="s">
        <v>62</v>
      </c>
      <c r="E14" s="47">
        <v>4343500</v>
      </c>
      <c r="F14" s="47">
        <v>4715737.95</v>
      </c>
      <c r="G14" s="47">
        <v>4343500</v>
      </c>
      <c r="H14" s="47">
        <v>4529618.9749999996</v>
      </c>
      <c r="I14" s="47">
        <v>4529618.9749999996</v>
      </c>
      <c r="J14" s="47">
        <v>4525793.608398973</v>
      </c>
      <c r="K14" s="47">
        <v>263211.97865997913</v>
      </c>
      <c r="L14" s="48">
        <v>5.8109077190091722E-2</v>
      </c>
    </row>
    <row r="15" spans="2:12" ht="22.5" x14ac:dyDescent="0.25">
      <c r="B15" s="45">
        <v>13</v>
      </c>
      <c r="C15" s="45" t="s">
        <v>52</v>
      </c>
      <c r="D15" s="45" t="s">
        <v>40</v>
      </c>
      <c r="E15" s="47">
        <v>1066240</v>
      </c>
      <c r="F15" s="47">
        <v>1147061.23</v>
      </c>
      <c r="G15" s="47">
        <v>1066240</v>
      </c>
      <c r="H15" s="47">
        <v>1106650.615</v>
      </c>
      <c r="I15" s="47">
        <v>1106650.615</v>
      </c>
      <c r="J15" s="47">
        <v>1105912.5489274457</v>
      </c>
      <c r="K15" s="47">
        <v>57149.239796837617</v>
      </c>
      <c r="L15" s="48">
        <v>5.1641628371423817E-2</v>
      </c>
    </row>
    <row r="16" spans="2:12" ht="22.5" x14ac:dyDescent="0.25">
      <c r="B16" s="45">
        <v>14</v>
      </c>
      <c r="C16" s="45" t="s">
        <v>52</v>
      </c>
      <c r="D16" s="45" t="s">
        <v>41</v>
      </c>
      <c r="E16" s="47">
        <v>2490886.58</v>
      </c>
      <c r="F16" s="47">
        <v>2679695.5499999998</v>
      </c>
      <c r="G16" s="47">
        <v>2490886.58</v>
      </c>
      <c r="H16" s="47">
        <v>2585291.0649999999</v>
      </c>
      <c r="I16" s="47">
        <v>2585291.0649999999</v>
      </c>
      <c r="J16" s="47">
        <v>2583566.8530116882</v>
      </c>
      <c r="K16" s="47">
        <v>133508.10303584722</v>
      </c>
      <c r="L16" s="48">
        <v>5.1641420512876457E-2</v>
      </c>
    </row>
    <row r="17" spans="2:12" ht="22.5" x14ac:dyDescent="0.25">
      <c r="B17" s="46">
        <v>15</v>
      </c>
      <c r="C17" s="45" t="s">
        <v>52</v>
      </c>
      <c r="D17" s="45" t="s">
        <v>42</v>
      </c>
      <c r="E17" s="47">
        <v>906066</v>
      </c>
      <c r="F17" s="47">
        <v>974745.66</v>
      </c>
      <c r="G17" s="47">
        <v>906066</v>
      </c>
      <c r="H17" s="47">
        <v>940405.83000000007</v>
      </c>
      <c r="I17" s="47">
        <v>940405.83000000007</v>
      </c>
      <c r="J17" s="47">
        <v>939778.64477416174</v>
      </c>
      <c r="K17" s="47">
        <v>48563.853315586508</v>
      </c>
      <c r="L17" s="48">
        <v>5.1641378398926456E-2</v>
      </c>
    </row>
    <row r="18" spans="2:12" x14ac:dyDescent="0.25">
      <c r="B18" s="45">
        <v>16</v>
      </c>
      <c r="C18" s="45" t="s">
        <v>52</v>
      </c>
      <c r="D18" s="45" t="s">
        <v>43</v>
      </c>
      <c r="E18" s="47">
        <v>1454418</v>
      </c>
      <c r="F18" s="47">
        <v>1564663.17</v>
      </c>
      <c r="G18" s="47">
        <v>1454418</v>
      </c>
      <c r="H18" s="47">
        <v>1509540.585</v>
      </c>
      <c r="I18" s="47">
        <v>1509540.585</v>
      </c>
      <c r="J18" s="47">
        <v>1508533.8174482731</v>
      </c>
      <c r="K18" s="47">
        <v>77955.107300063682</v>
      </c>
      <c r="L18" s="48">
        <v>5.1641610748785323E-2</v>
      </c>
    </row>
    <row r="19" spans="2:12" ht="22.5" x14ac:dyDescent="0.25">
      <c r="B19" s="45">
        <v>17</v>
      </c>
      <c r="C19" s="45" t="s">
        <v>52</v>
      </c>
      <c r="D19" s="45" t="s">
        <v>44</v>
      </c>
      <c r="E19" s="47">
        <v>546210</v>
      </c>
      <c r="F19" s="47">
        <v>587612.48</v>
      </c>
      <c r="G19" s="47">
        <v>546210</v>
      </c>
      <c r="H19" s="47">
        <v>566911.24</v>
      </c>
      <c r="I19" s="47">
        <v>566911.24</v>
      </c>
      <c r="J19" s="47">
        <v>566533.15234044334</v>
      </c>
      <c r="K19" s="47">
        <v>29275.974365940398</v>
      </c>
      <c r="L19" s="48">
        <v>5.1641195835066524E-2</v>
      </c>
    </row>
    <row r="20" spans="2:12" ht="22.5" x14ac:dyDescent="0.25">
      <c r="B20" s="46">
        <v>18</v>
      </c>
      <c r="C20" s="45" t="s">
        <v>52</v>
      </c>
      <c r="D20" s="45" t="s">
        <v>45</v>
      </c>
      <c r="E20" s="47">
        <v>65450</v>
      </c>
      <c r="F20" s="47">
        <v>70411.11</v>
      </c>
      <c r="G20" s="47">
        <v>65450</v>
      </c>
      <c r="H20" s="47">
        <v>67930.554999999993</v>
      </c>
      <c r="I20" s="47">
        <v>67930.554999999993</v>
      </c>
      <c r="J20" s="47">
        <v>67885.249866963</v>
      </c>
      <c r="K20" s="47">
        <v>3508.0345232123932</v>
      </c>
      <c r="L20" s="48">
        <v>5.164148185175866E-2</v>
      </c>
    </row>
    <row r="21" spans="2:12" ht="22.5" x14ac:dyDescent="0.25">
      <c r="B21" s="45">
        <v>19</v>
      </c>
      <c r="C21" s="45" t="s">
        <v>52</v>
      </c>
      <c r="D21" s="45" t="s">
        <v>46</v>
      </c>
      <c r="E21" s="47">
        <v>0</v>
      </c>
      <c r="F21" s="47">
        <v>83213.13</v>
      </c>
      <c r="G21" s="47">
        <v>0</v>
      </c>
      <c r="H21" s="47">
        <v>41606.565000000002</v>
      </c>
      <c r="I21" s="47">
        <v>41606.565000000002</v>
      </c>
      <c r="J21" s="47" t="s">
        <v>57</v>
      </c>
      <c r="K21" s="47">
        <v>58840.568506757736</v>
      </c>
      <c r="L21" s="48">
        <v>1.4142135623730949</v>
      </c>
    </row>
    <row r="22" spans="2:12" x14ac:dyDescent="0.25">
      <c r="B22" s="45">
        <v>20</v>
      </c>
      <c r="C22" s="45" t="s">
        <v>52</v>
      </c>
      <c r="D22" s="45" t="s">
        <v>47</v>
      </c>
      <c r="E22" s="47">
        <v>108290</v>
      </c>
      <c r="F22" s="47">
        <v>116498.62</v>
      </c>
      <c r="G22" s="47">
        <v>108290</v>
      </c>
      <c r="H22" s="47">
        <v>112394.31</v>
      </c>
      <c r="I22" s="47">
        <v>112394.31</v>
      </c>
      <c r="J22" s="47">
        <v>112319.34632911642</v>
      </c>
      <c r="K22" s="47">
        <v>5804.3708661835144</v>
      </c>
      <c r="L22" s="48">
        <v>5.1642924505551163E-2</v>
      </c>
    </row>
    <row r="23" spans="2:12" ht="22.5" x14ac:dyDescent="0.25">
      <c r="B23" s="46">
        <v>21</v>
      </c>
      <c r="C23" s="45" t="s">
        <v>52</v>
      </c>
      <c r="D23" s="45" t="s">
        <v>48</v>
      </c>
      <c r="E23" s="47">
        <v>96450.69</v>
      </c>
      <c r="F23" s="47">
        <v>103762.05</v>
      </c>
      <c r="G23" s="47">
        <v>96450.69</v>
      </c>
      <c r="H23" s="47">
        <v>100106.37</v>
      </c>
      <c r="I23" s="47">
        <v>100106.37</v>
      </c>
      <c r="J23" s="47">
        <v>100039.598751267</v>
      </c>
      <c r="K23" s="47">
        <v>5169.9122356960761</v>
      </c>
      <c r="L23" s="48">
        <v>5.1644188433723814E-2</v>
      </c>
    </row>
    <row r="24" spans="2:12" ht="22.5" x14ac:dyDescent="0.25">
      <c r="B24" s="45">
        <v>22</v>
      </c>
      <c r="C24" s="45" t="s">
        <v>52</v>
      </c>
      <c r="D24" s="45" t="s">
        <v>49</v>
      </c>
      <c r="E24" s="47">
        <v>292459.16000000003</v>
      </c>
      <c r="F24" s="47">
        <v>314627.67</v>
      </c>
      <c r="G24" s="47">
        <v>292459.16000000003</v>
      </c>
      <c r="H24" s="47">
        <v>303543.41500000004</v>
      </c>
      <c r="I24" s="47">
        <v>303543.41500000004</v>
      </c>
      <c r="J24" s="47">
        <v>303340.97000068618</v>
      </c>
      <c r="K24" s="47">
        <v>15675.503749801757</v>
      </c>
      <c r="L24" s="48">
        <v>5.1641719026590496E-2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9724-C466-4103-90E6-D82266858A0A}">
  <dimension ref="C4:J28"/>
  <sheetViews>
    <sheetView topLeftCell="A4" workbookViewId="0">
      <selection activeCell="D2" sqref="D2"/>
    </sheetView>
  </sheetViews>
  <sheetFormatPr baseColWidth="10" defaultRowHeight="15" x14ac:dyDescent="0.25"/>
  <cols>
    <col min="8" max="8" width="15.5703125" bestFit="1" customWidth="1"/>
    <col min="9" max="9" width="16.7109375" bestFit="1" customWidth="1"/>
  </cols>
  <sheetData>
    <row r="4" spans="3:10" ht="33.75" x14ac:dyDescent="0.25">
      <c r="C4" s="44" t="s">
        <v>15</v>
      </c>
      <c r="D4" s="44" t="s">
        <v>22</v>
      </c>
      <c r="E4" s="44" t="s">
        <v>16</v>
      </c>
      <c r="F4" s="44" t="s">
        <v>3</v>
      </c>
      <c r="G4" s="44" t="s">
        <v>4</v>
      </c>
      <c r="H4" s="44" t="s">
        <v>8</v>
      </c>
      <c r="I4" s="44" t="s">
        <v>21</v>
      </c>
    </row>
    <row r="5" spans="3:10" ht="135" x14ac:dyDescent="0.25">
      <c r="C5" s="45">
        <v>1</v>
      </c>
      <c r="D5" s="45" t="s">
        <v>51</v>
      </c>
      <c r="E5" s="45" t="s">
        <v>58</v>
      </c>
      <c r="F5" s="36" t="s">
        <v>51</v>
      </c>
      <c r="G5" s="36">
        <v>1</v>
      </c>
      <c r="H5" s="50">
        <v>10486378</v>
      </c>
      <c r="I5" s="50">
        <v>10486378</v>
      </c>
      <c r="J5" s="51">
        <f>+H5*G5-I5</f>
        <v>0</v>
      </c>
    </row>
    <row r="6" spans="3:10" ht="213.75" x14ac:dyDescent="0.25">
      <c r="C6" s="45">
        <v>2</v>
      </c>
      <c r="D6" s="45" t="s">
        <v>51</v>
      </c>
      <c r="E6" s="45" t="s">
        <v>59</v>
      </c>
      <c r="F6" s="36" t="s">
        <v>51</v>
      </c>
      <c r="G6" s="36">
        <v>1</v>
      </c>
      <c r="H6" s="50">
        <v>56415474</v>
      </c>
      <c r="I6" s="50">
        <v>56415474</v>
      </c>
      <c r="J6" s="51">
        <f t="shared" ref="J6:J26" si="0">+H6*G6-I6</f>
        <v>0</v>
      </c>
    </row>
    <row r="7" spans="3:10" ht="135" x14ac:dyDescent="0.25">
      <c r="C7" s="46">
        <v>3</v>
      </c>
      <c r="D7" s="45" t="s">
        <v>51</v>
      </c>
      <c r="E7" s="45" t="s">
        <v>33</v>
      </c>
      <c r="F7" s="36" t="s">
        <v>51</v>
      </c>
      <c r="G7" s="36">
        <v>1</v>
      </c>
      <c r="H7" s="50">
        <v>4905019</v>
      </c>
      <c r="I7" s="50">
        <v>4905019</v>
      </c>
      <c r="J7" s="51">
        <f t="shared" si="0"/>
        <v>0</v>
      </c>
    </row>
    <row r="8" spans="3:10" ht="202.5" x14ac:dyDescent="0.25">
      <c r="C8" s="45">
        <v>4</v>
      </c>
      <c r="D8" s="45" t="s">
        <v>51</v>
      </c>
      <c r="E8" s="45" t="s">
        <v>60</v>
      </c>
      <c r="F8" s="36" t="s">
        <v>51</v>
      </c>
      <c r="G8" s="36">
        <v>1</v>
      </c>
      <c r="H8" s="50">
        <v>82093286</v>
      </c>
      <c r="I8" s="50">
        <v>82093286</v>
      </c>
      <c r="J8" s="51">
        <f t="shared" si="0"/>
        <v>0</v>
      </c>
    </row>
    <row r="9" spans="3:10" ht="101.25" x14ac:dyDescent="0.25">
      <c r="C9" s="45">
        <v>5</v>
      </c>
      <c r="D9" s="45" t="s">
        <v>51</v>
      </c>
      <c r="E9" s="45" t="s">
        <v>61</v>
      </c>
      <c r="F9" s="36" t="s">
        <v>51</v>
      </c>
      <c r="G9" s="36">
        <v>5</v>
      </c>
      <c r="H9" s="50">
        <v>558580</v>
      </c>
      <c r="I9" s="50">
        <v>2792900</v>
      </c>
      <c r="J9" s="51">
        <f t="shared" si="0"/>
        <v>0</v>
      </c>
    </row>
    <row r="10" spans="3:10" ht="157.5" x14ac:dyDescent="0.25">
      <c r="C10" s="46">
        <v>6</v>
      </c>
      <c r="D10" s="45" t="s">
        <v>51</v>
      </c>
      <c r="E10" s="45" t="s">
        <v>34</v>
      </c>
      <c r="F10" s="36" t="s">
        <v>51</v>
      </c>
      <c r="G10" s="36">
        <v>1</v>
      </c>
      <c r="H10" s="50">
        <v>8471797</v>
      </c>
      <c r="I10" s="50">
        <v>8471797</v>
      </c>
      <c r="J10" s="51">
        <f t="shared" si="0"/>
        <v>0</v>
      </c>
    </row>
    <row r="11" spans="3:10" ht="101.25" x14ac:dyDescent="0.25">
      <c r="C11" s="45">
        <v>7</v>
      </c>
      <c r="D11" s="45" t="s">
        <v>51</v>
      </c>
      <c r="E11" s="45" t="s">
        <v>35</v>
      </c>
      <c r="F11" s="36" t="s">
        <v>51</v>
      </c>
      <c r="G11" s="36">
        <v>1</v>
      </c>
      <c r="H11" s="50">
        <v>11606052</v>
      </c>
      <c r="I11" s="50">
        <v>11606052</v>
      </c>
      <c r="J11" s="51">
        <f t="shared" si="0"/>
        <v>0</v>
      </c>
    </row>
    <row r="12" spans="3:10" ht="78.75" x14ac:dyDescent="0.25">
      <c r="C12" s="45">
        <v>8</v>
      </c>
      <c r="D12" s="45" t="s">
        <v>51</v>
      </c>
      <c r="E12" s="45" t="s">
        <v>36</v>
      </c>
      <c r="F12" s="36" t="s">
        <v>51</v>
      </c>
      <c r="G12" s="36">
        <v>1</v>
      </c>
      <c r="H12" s="50">
        <v>5647865</v>
      </c>
      <c r="I12" s="50">
        <v>5647865</v>
      </c>
      <c r="J12" s="51">
        <f t="shared" si="0"/>
        <v>0</v>
      </c>
    </row>
    <row r="13" spans="3:10" ht="90" x14ac:dyDescent="0.25">
      <c r="C13" s="46">
        <v>9</v>
      </c>
      <c r="D13" s="45" t="s">
        <v>51</v>
      </c>
      <c r="E13" s="45" t="s">
        <v>37</v>
      </c>
      <c r="F13" s="36" t="s">
        <v>51</v>
      </c>
      <c r="G13" s="36">
        <v>1</v>
      </c>
      <c r="H13" s="50">
        <v>1452308</v>
      </c>
      <c r="I13" s="50">
        <v>1452308</v>
      </c>
      <c r="J13" s="51">
        <f t="shared" si="0"/>
        <v>0</v>
      </c>
    </row>
    <row r="14" spans="3:10" ht="112.5" x14ac:dyDescent="0.25">
      <c r="C14" s="45">
        <v>10</v>
      </c>
      <c r="D14" s="45" t="s">
        <v>51</v>
      </c>
      <c r="E14" s="45" t="s">
        <v>38</v>
      </c>
      <c r="F14" s="36" t="s">
        <v>51</v>
      </c>
      <c r="G14" s="36">
        <v>4</v>
      </c>
      <c r="H14" s="50">
        <v>4344512</v>
      </c>
      <c r="I14" s="50">
        <v>17378048</v>
      </c>
      <c r="J14" s="51">
        <f t="shared" si="0"/>
        <v>0</v>
      </c>
    </row>
    <row r="15" spans="3:10" ht="135" x14ac:dyDescent="0.25">
      <c r="C15" s="45">
        <v>11</v>
      </c>
      <c r="D15" s="45" t="s">
        <v>51</v>
      </c>
      <c r="E15" s="45" t="s">
        <v>39</v>
      </c>
      <c r="F15" s="36" t="s">
        <v>51</v>
      </c>
      <c r="G15" s="36">
        <v>10</v>
      </c>
      <c r="H15" s="50">
        <v>806644</v>
      </c>
      <c r="I15" s="50">
        <v>8066440</v>
      </c>
      <c r="J15" s="51">
        <f t="shared" si="0"/>
        <v>0</v>
      </c>
    </row>
    <row r="16" spans="3:10" ht="112.5" x14ac:dyDescent="0.25">
      <c r="C16" s="46">
        <v>12</v>
      </c>
      <c r="D16" s="45" t="s">
        <v>51</v>
      </c>
      <c r="E16" s="45" t="s">
        <v>62</v>
      </c>
      <c r="F16" s="36" t="s">
        <v>53</v>
      </c>
      <c r="G16" s="36">
        <v>1</v>
      </c>
      <c r="H16" s="50">
        <v>4529619</v>
      </c>
      <c r="I16" s="50">
        <v>4529619</v>
      </c>
      <c r="J16" s="51">
        <f t="shared" si="0"/>
        <v>0</v>
      </c>
    </row>
    <row r="17" spans="3:10" ht="45" x14ac:dyDescent="0.25">
      <c r="C17" s="45">
        <v>13</v>
      </c>
      <c r="D17" s="45" t="s">
        <v>52</v>
      </c>
      <c r="E17" s="45" t="s">
        <v>40</v>
      </c>
      <c r="F17" s="36" t="s">
        <v>54</v>
      </c>
      <c r="G17" s="36">
        <v>3</v>
      </c>
      <c r="H17" s="50">
        <v>1106651</v>
      </c>
      <c r="I17" s="50">
        <v>3319953</v>
      </c>
      <c r="J17" s="51">
        <f t="shared" si="0"/>
        <v>0</v>
      </c>
    </row>
    <row r="18" spans="3:10" ht="45" x14ac:dyDescent="0.25">
      <c r="C18" s="45">
        <v>14</v>
      </c>
      <c r="D18" s="45" t="s">
        <v>52</v>
      </c>
      <c r="E18" s="45" t="s">
        <v>41</v>
      </c>
      <c r="F18" s="36" t="s">
        <v>54</v>
      </c>
      <c r="G18" s="36">
        <v>2</v>
      </c>
      <c r="H18" s="50">
        <v>2585291</v>
      </c>
      <c r="I18" s="50">
        <v>5170582</v>
      </c>
      <c r="J18" s="51">
        <f t="shared" si="0"/>
        <v>0</v>
      </c>
    </row>
    <row r="19" spans="3:10" ht="45" x14ac:dyDescent="0.25">
      <c r="C19" s="46">
        <v>15</v>
      </c>
      <c r="D19" s="45" t="s">
        <v>52</v>
      </c>
      <c r="E19" s="45" t="s">
        <v>42</v>
      </c>
      <c r="F19" s="36" t="s">
        <v>54</v>
      </c>
      <c r="G19" s="36">
        <v>6</v>
      </c>
      <c r="H19" s="50">
        <v>940406</v>
      </c>
      <c r="I19" s="50">
        <v>5642436</v>
      </c>
      <c r="J19" s="51">
        <f t="shared" si="0"/>
        <v>0</v>
      </c>
    </row>
    <row r="20" spans="3:10" ht="45" x14ac:dyDescent="0.25">
      <c r="C20" s="45">
        <v>16</v>
      </c>
      <c r="D20" s="45" t="s">
        <v>52</v>
      </c>
      <c r="E20" s="45" t="s">
        <v>43</v>
      </c>
      <c r="F20" s="36" t="s">
        <v>54</v>
      </c>
      <c r="G20" s="36">
        <v>6</v>
      </c>
      <c r="H20" s="50">
        <v>1509541</v>
      </c>
      <c r="I20" s="50">
        <v>9057246</v>
      </c>
      <c r="J20" s="51">
        <f t="shared" si="0"/>
        <v>0</v>
      </c>
    </row>
    <row r="21" spans="3:10" ht="45" x14ac:dyDescent="0.25">
      <c r="C21" s="45">
        <v>17</v>
      </c>
      <c r="D21" s="45" t="s">
        <v>52</v>
      </c>
      <c r="E21" s="45" t="s">
        <v>44</v>
      </c>
      <c r="F21" s="36" t="s">
        <v>54</v>
      </c>
      <c r="G21" s="36">
        <v>6</v>
      </c>
      <c r="H21" s="50">
        <v>566911</v>
      </c>
      <c r="I21" s="50">
        <v>3401466</v>
      </c>
      <c r="J21" s="51">
        <f t="shared" si="0"/>
        <v>0</v>
      </c>
    </row>
    <row r="22" spans="3:10" ht="56.25" x14ac:dyDescent="0.25">
      <c r="C22" s="46">
        <v>18</v>
      </c>
      <c r="D22" s="45" t="s">
        <v>52</v>
      </c>
      <c r="E22" s="45" t="s">
        <v>45</v>
      </c>
      <c r="F22" s="36" t="s">
        <v>54</v>
      </c>
      <c r="G22" s="36">
        <v>2</v>
      </c>
      <c r="H22" s="50">
        <v>67931</v>
      </c>
      <c r="I22" s="50">
        <v>135862</v>
      </c>
      <c r="J22" s="51">
        <f t="shared" si="0"/>
        <v>0</v>
      </c>
    </row>
    <row r="23" spans="3:10" ht="33.75" x14ac:dyDescent="0.25">
      <c r="C23" s="45">
        <v>19</v>
      </c>
      <c r="D23" s="45" t="s">
        <v>52</v>
      </c>
      <c r="E23" s="45" t="s">
        <v>46</v>
      </c>
      <c r="F23" s="36" t="s">
        <v>54</v>
      </c>
      <c r="G23" s="36">
        <v>10</v>
      </c>
      <c r="H23" s="50">
        <v>41607</v>
      </c>
      <c r="I23" s="50">
        <v>416070</v>
      </c>
      <c r="J23" s="51">
        <f t="shared" si="0"/>
        <v>0</v>
      </c>
    </row>
    <row r="24" spans="3:10" ht="33.75" x14ac:dyDescent="0.25">
      <c r="C24" s="45">
        <v>20</v>
      </c>
      <c r="D24" s="45" t="s">
        <v>52</v>
      </c>
      <c r="E24" s="45" t="s">
        <v>47</v>
      </c>
      <c r="F24" s="36" t="s">
        <v>54</v>
      </c>
      <c r="G24" s="36">
        <v>1</v>
      </c>
      <c r="H24" s="50">
        <v>112394</v>
      </c>
      <c r="I24" s="50">
        <v>112394</v>
      </c>
      <c r="J24" s="51">
        <f t="shared" si="0"/>
        <v>0</v>
      </c>
    </row>
    <row r="25" spans="3:10" ht="67.5" x14ac:dyDescent="0.25">
      <c r="C25" s="46">
        <v>21</v>
      </c>
      <c r="D25" s="45" t="s">
        <v>52</v>
      </c>
      <c r="E25" s="45" t="s">
        <v>48</v>
      </c>
      <c r="F25" s="36" t="s">
        <v>54</v>
      </c>
      <c r="G25" s="36">
        <v>4</v>
      </c>
      <c r="H25" s="50">
        <v>100106</v>
      </c>
      <c r="I25" s="50">
        <v>400424</v>
      </c>
      <c r="J25" s="51">
        <f t="shared" si="0"/>
        <v>0</v>
      </c>
    </row>
    <row r="26" spans="3:10" ht="45" x14ac:dyDescent="0.25">
      <c r="C26" s="45">
        <v>22</v>
      </c>
      <c r="D26" s="45" t="s">
        <v>52</v>
      </c>
      <c r="E26" s="45" t="s">
        <v>49</v>
      </c>
      <c r="F26" s="36" t="s">
        <v>54</v>
      </c>
      <c r="G26" s="36">
        <v>3</v>
      </c>
      <c r="H26" s="50">
        <v>303543</v>
      </c>
      <c r="I26" s="50">
        <v>910629</v>
      </c>
      <c r="J26" s="51">
        <f t="shared" si="0"/>
        <v>0</v>
      </c>
    </row>
    <row r="28" spans="3:10" x14ac:dyDescent="0.25">
      <c r="I28" s="35">
        <f>+SUM(I5:I26)</f>
        <v>242412248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A2BD4-96EC-4EAD-9AD3-B8183953087D}">
  <dimension ref="C3:L6"/>
  <sheetViews>
    <sheetView topLeftCell="A3" workbookViewId="0">
      <selection activeCell="I3" sqref="I3"/>
    </sheetView>
  </sheetViews>
  <sheetFormatPr baseColWidth="10" defaultRowHeight="15" x14ac:dyDescent="0.25"/>
  <cols>
    <col min="8" max="9" width="13" bestFit="1" customWidth="1"/>
    <col min="12" max="12" width="15.5703125" bestFit="1" customWidth="1"/>
  </cols>
  <sheetData>
    <row r="3" spans="3:12" ht="33.75" x14ac:dyDescent="0.25">
      <c r="C3" s="29" t="s">
        <v>15</v>
      </c>
      <c r="D3" s="29" t="s">
        <v>22</v>
      </c>
      <c r="E3" s="29" t="s">
        <v>16</v>
      </c>
      <c r="F3" s="29" t="s">
        <v>4</v>
      </c>
      <c r="G3" s="29" t="s">
        <v>3</v>
      </c>
      <c r="H3" s="29" t="s">
        <v>8</v>
      </c>
      <c r="I3" s="29" t="s">
        <v>21</v>
      </c>
      <c r="J3" s="29" t="s">
        <v>32</v>
      </c>
      <c r="L3" s="35">
        <f>+SUM(I4:I6)</f>
        <v>51787815</v>
      </c>
    </row>
    <row r="4" spans="3:12" ht="135" x14ac:dyDescent="0.25">
      <c r="C4" s="30">
        <v>1</v>
      </c>
      <c r="D4" s="30" t="s">
        <v>11</v>
      </c>
      <c r="E4" s="31" t="s">
        <v>29</v>
      </c>
      <c r="F4" s="34">
        <v>2</v>
      </c>
      <c r="G4" s="32" t="s">
        <v>9</v>
      </c>
      <c r="H4" s="33">
        <v>12274136</v>
      </c>
      <c r="I4" s="33">
        <v>24548272</v>
      </c>
      <c r="J4" s="32" t="s">
        <v>0</v>
      </c>
    </row>
    <row r="5" spans="3:12" ht="67.5" x14ac:dyDescent="0.25">
      <c r="C5" s="30">
        <v>2</v>
      </c>
      <c r="D5" s="30" t="s">
        <v>12</v>
      </c>
      <c r="E5" s="31" t="s">
        <v>30</v>
      </c>
      <c r="F5" s="34">
        <v>2</v>
      </c>
      <c r="G5" s="32" t="s">
        <v>10</v>
      </c>
      <c r="H5" s="33">
        <v>1868300</v>
      </c>
      <c r="I5" s="33">
        <v>3736600</v>
      </c>
      <c r="J5" s="32" t="s">
        <v>23</v>
      </c>
    </row>
    <row r="6" spans="3:12" ht="101.25" x14ac:dyDescent="0.25">
      <c r="C6" s="30">
        <v>3</v>
      </c>
      <c r="D6" s="30" t="s">
        <v>13</v>
      </c>
      <c r="E6" s="31" t="s">
        <v>31</v>
      </c>
      <c r="F6" s="34">
        <v>3</v>
      </c>
      <c r="G6" s="32" t="s">
        <v>14</v>
      </c>
      <c r="H6" s="33">
        <v>7834314.374190378</v>
      </c>
      <c r="I6" s="33">
        <v>23502943</v>
      </c>
      <c r="J6" s="32" t="s">
        <v>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83B58-C048-414D-B805-78CAF3BBE4F9}">
  <dimension ref="A1:H51"/>
  <sheetViews>
    <sheetView topLeftCell="A42" workbookViewId="0">
      <selection activeCell="G48" sqref="G48"/>
    </sheetView>
  </sheetViews>
  <sheetFormatPr baseColWidth="10" defaultRowHeight="15" x14ac:dyDescent="0.25"/>
  <cols>
    <col min="2" max="2" width="22.7109375" customWidth="1"/>
    <col min="3" max="3" width="60.7109375" customWidth="1"/>
    <col min="4" max="4" width="21.5703125" customWidth="1"/>
    <col min="5" max="5" width="17.28515625" customWidth="1"/>
    <col min="6" max="6" width="14.7109375" customWidth="1"/>
    <col min="7" max="7" width="14.140625" bestFit="1" customWidth="1"/>
    <col min="8" max="8" width="15.28515625" bestFit="1" customWidth="1"/>
  </cols>
  <sheetData>
    <row r="1" spans="1:8" ht="33.75" x14ac:dyDescent="0.25">
      <c r="A1" s="17" t="s">
        <v>15</v>
      </c>
      <c r="B1" s="17" t="s">
        <v>22</v>
      </c>
      <c r="C1" s="17" t="s">
        <v>16</v>
      </c>
      <c r="D1" s="37" t="s">
        <v>4</v>
      </c>
      <c r="E1" s="17" t="s">
        <v>24</v>
      </c>
      <c r="F1" s="17" t="s">
        <v>25</v>
      </c>
      <c r="G1" s="17" t="s">
        <v>26</v>
      </c>
      <c r="H1" s="17" t="s">
        <v>28</v>
      </c>
    </row>
    <row r="2" spans="1:8" ht="30" x14ac:dyDescent="0.25">
      <c r="A2" s="8">
        <v>1</v>
      </c>
      <c r="B2" s="8" t="s">
        <v>51</v>
      </c>
      <c r="C2" s="52" t="s">
        <v>63</v>
      </c>
      <c r="D2" s="52">
        <v>3</v>
      </c>
      <c r="E2" s="54">
        <v>260000</v>
      </c>
      <c r="F2" s="39">
        <f>+E2*19%</f>
        <v>49400</v>
      </c>
      <c r="G2" s="39">
        <f>+E2+F2</f>
        <v>309400</v>
      </c>
      <c r="H2" s="39">
        <f>+D2*G2</f>
        <v>928200</v>
      </c>
    </row>
    <row r="3" spans="1:8" ht="30" x14ac:dyDescent="0.25">
      <c r="A3" s="8">
        <v>2</v>
      </c>
      <c r="B3" s="8" t="s">
        <v>51</v>
      </c>
      <c r="C3" s="52" t="s">
        <v>63</v>
      </c>
      <c r="D3" s="52">
        <v>3</v>
      </c>
      <c r="E3" s="54">
        <v>260000</v>
      </c>
      <c r="F3" s="39">
        <f>+E3*19%</f>
        <v>49400</v>
      </c>
      <c r="G3" s="39">
        <f>+E3+F3</f>
        <v>309400</v>
      </c>
      <c r="H3" s="39">
        <f t="shared" ref="H3:H4" si="0">+D3*G3</f>
        <v>928200</v>
      </c>
    </row>
    <row r="4" spans="1:8" ht="30" x14ac:dyDescent="0.25">
      <c r="A4" s="9">
        <v>3</v>
      </c>
      <c r="B4" s="8" t="s">
        <v>51</v>
      </c>
      <c r="C4" s="52" t="s">
        <v>64</v>
      </c>
      <c r="D4" s="52">
        <v>3</v>
      </c>
      <c r="E4" s="54">
        <v>240000</v>
      </c>
      <c r="F4" s="39">
        <f>+E4*19%</f>
        <v>45600</v>
      </c>
      <c r="G4" s="39">
        <f>+E4+F4</f>
        <v>285600</v>
      </c>
      <c r="H4" s="39">
        <f t="shared" si="0"/>
        <v>856800</v>
      </c>
    </row>
    <row r="5" spans="1:8" ht="30" x14ac:dyDescent="0.25">
      <c r="A5" s="8">
        <v>4</v>
      </c>
      <c r="B5" s="8" t="s">
        <v>51</v>
      </c>
      <c r="C5" s="52" t="s">
        <v>65</v>
      </c>
      <c r="D5" s="52">
        <v>3</v>
      </c>
      <c r="E5" s="54">
        <v>260000</v>
      </c>
      <c r="F5" s="39">
        <f t="shared" ref="F5:F50" si="1">+E5*19%</f>
        <v>49400</v>
      </c>
      <c r="G5" s="39">
        <f t="shared" ref="G5:G50" si="2">+E5+F5</f>
        <v>309400</v>
      </c>
      <c r="H5" s="39">
        <f t="shared" ref="H5:H50" si="3">+D5*G5</f>
        <v>928200</v>
      </c>
    </row>
    <row r="6" spans="1:8" ht="45" x14ac:dyDescent="0.25">
      <c r="A6" s="8">
        <v>5</v>
      </c>
      <c r="B6" s="8" t="s">
        <v>51</v>
      </c>
      <c r="C6" s="52" t="s">
        <v>66</v>
      </c>
      <c r="D6" s="52">
        <v>3</v>
      </c>
      <c r="E6" s="54">
        <v>260000</v>
      </c>
      <c r="F6" s="39">
        <f t="shared" si="1"/>
        <v>49400</v>
      </c>
      <c r="G6" s="39">
        <f t="shared" si="2"/>
        <v>309400</v>
      </c>
      <c r="H6" s="39">
        <f t="shared" si="3"/>
        <v>928200</v>
      </c>
    </row>
    <row r="7" spans="1:8" ht="45" x14ac:dyDescent="0.25">
      <c r="A7" s="9">
        <v>6</v>
      </c>
      <c r="B7" s="8" t="s">
        <v>51</v>
      </c>
      <c r="C7" s="52" t="s">
        <v>67</v>
      </c>
      <c r="D7" s="52">
        <v>3</v>
      </c>
      <c r="E7" s="54">
        <v>260000</v>
      </c>
      <c r="F7" s="39">
        <f t="shared" si="1"/>
        <v>49400</v>
      </c>
      <c r="G7" s="39">
        <f t="shared" si="2"/>
        <v>309400</v>
      </c>
      <c r="H7" s="39">
        <f t="shared" si="3"/>
        <v>928200</v>
      </c>
    </row>
    <row r="8" spans="1:8" ht="45" x14ac:dyDescent="0.25">
      <c r="A8" s="8">
        <v>7</v>
      </c>
      <c r="B8" s="8" t="s">
        <v>51</v>
      </c>
      <c r="C8" s="53" t="s">
        <v>68</v>
      </c>
      <c r="D8" s="52">
        <v>3</v>
      </c>
      <c r="E8" s="54">
        <v>260000</v>
      </c>
      <c r="F8" s="39">
        <f t="shared" si="1"/>
        <v>49400</v>
      </c>
      <c r="G8" s="39">
        <f t="shared" si="2"/>
        <v>309400</v>
      </c>
      <c r="H8" s="39">
        <f t="shared" si="3"/>
        <v>928200</v>
      </c>
    </row>
    <row r="9" spans="1:8" ht="45" x14ac:dyDescent="0.25">
      <c r="A9" s="8">
        <v>8</v>
      </c>
      <c r="B9" s="8" t="s">
        <v>51</v>
      </c>
      <c r="C9" s="53" t="s">
        <v>69</v>
      </c>
      <c r="D9" s="52">
        <v>3</v>
      </c>
      <c r="E9" s="54">
        <v>240000</v>
      </c>
      <c r="F9" s="39">
        <f t="shared" si="1"/>
        <v>45600</v>
      </c>
      <c r="G9" s="39">
        <f t="shared" si="2"/>
        <v>285600</v>
      </c>
      <c r="H9" s="39">
        <f t="shared" si="3"/>
        <v>856800</v>
      </c>
    </row>
    <row r="10" spans="1:8" ht="30" x14ac:dyDescent="0.25">
      <c r="A10" s="9">
        <v>9</v>
      </c>
      <c r="B10" s="8" t="s">
        <v>51</v>
      </c>
      <c r="C10" s="53" t="s">
        <v>70</v>
      </c>
      <c r="D10" s="52">
        <v>3</v>
      </c>
      <c r="E10" s="54">
        <v>240000</v>
      </c>
      <c r="F10" s="39">
        <f t="shared" si="1"/>
        <v>45600</v>
      </c>
      <c r="G10" s="39">
        <f t="shared" si="2"/>
        <v>285600</v>
      </c>
      <c r="H10" s="39">
        <f t="shared" si="3"/>
        <v>856800</v>
      </c>
    </row>
    <row r="11" spans="1:8" ht="60" x14ac:dyDescent="0.25">
      <c r="A11" s="8">
        <v>10</v>
      </c>
      <c r="B11" s="8" t="s">
        <v>51</v>
      </c>
      <c r="C11" s="53" t="s">
        <v>71</v>
      </c>
      <c r="D11" s="52">
        <v>3</v>
      </c>
      <c r="E11" s="54">
        <v>260000</v>
      </c>
      <c r="F11" s="39">
        <f t="shared" si="1"/>
        <v>49400</v>
      </c>
      <c r="G11" s="39">
        <f t="shared" si="2"/>
        <v>309400</v>
      </c>
      <c r="H11" s="39">
        <f t="shared" si="3"/>
        <v>928200</v>
      </c>
    </row>
    <row r="12" spans="1:8" ht="60" x14ac:dyDescent="0.25">
      <c r="A12" s="8">
        <v>11</v>
      </c>
      <c r="B12" s="8" t="s">
        <v>51</v>
      </c>
      <c r="C12" s="52" t="s">
        <v>72</v>
      </c>
      <c r="D12" s="52">
        <v>3</v>
      </c>
      <c r="E12" s="54">
        <v>240000</v>
      </c>
      <c r="F12" s="39">
        <f t="shared" si="1"/>
        <v>45600</v>
      </c>
      <c r="G12" s="39">
        <f t="shared" si="2"/>
        <v>285600</v>
      </c>
      <c r="H12" s="39">
        <f t="shared" si="3"/>
        <v>856800</v>
      </c>
    </row>
    <row r="13" spans="1:8" ht="30" x14ac:dyDescent="0.25">
      <c r="A13" s="9">
        <v>12</v>
      </c>
      <c r="B13" s="8" t="s">
        <v>51</v>
      </c>
      <c r="C13" s="52" t="s">
        <v>73</v>
      </c>
      <c r="D13" s="52">
        <v>7</v>
      </c>
      <c r="E13" s="54">
        <v>85000</v>
      </c>
      <c r="F13" s="39">
        <f t="shared" si="1"/>
        <v>16150</v>
      </c>
      <c r="G13" s="39">
        <f t="shared" si="2"/>
        <v>101150</v>
      </c>
      <c r="H13" s="39">
        <f t="shared" si="3"/>
        <v>708050</v>
      </c>
    </row>
    <row r="14" spans="1:8" ht="45" x14ac:dyDescent="0.25">
      <c r="A14" s="8">
        <v>13</v>
      </c>
      <c r="B14" s="8" t="s">
        <v>51</v>
      </c>
      <c r="C14" s="52" t="s">
        <v>74</v>
      </c>
      <c r="D14" s="52">
        <v>1</v>
      </c>
      <c r="E14" s="54">
        <v>160000</v>
      </c>
      <c r="F14" s="39">
        <f t="shared" si="1"/>
        <v>30400</v>
      </c>
      <c r="G14" s="39">
        <f t="shared" si="2"/>
        <v>190400</v>
      </c>
      <c r="H14" s="39">
        <f t="shared" si="3"/>
        <v>190400</v>
      </c>
    </row>
    <row r="15" spans="1:8" ht="45" x14ac:dyDescent="0.25">
      <c r="A15" s="8">
        <v>14</v>
      </c>
      <c r="B15" s="8" t="s">
        <v>51</v>
      </c>
      <c r="C15" s="52" t="s">
        <v>75</v>
      </c>
      <c r="D15" s="52">
        <v>1</v>
      </c>
      <c r="E15" s="54">
        <v>160000</v>
      </c>
      <c r="F15" s="39">
        <f t="shared" si="1"/>
        <v>30400</v>
      </c>
      <c r="G15" s="39">
        <f t="shared" si="2"/>
        <v>190400</v>
      </c>
      <c r="H15" s="39">
        <f t="shared" si="3"/>
        <v>190400</v>
      </c>
    </row>
    <row r="16" spans="1:8" ht="45" x14ac:dyDescent="0.25">
      <c r="A16" s="9">
        <v>15</v>
      </c>
      <c r="B16" s="8" t="s">
        <v>51</v>
      </c>
      <c r="C16" s="52" t="s">
        <v>76</v>
      </c>
      <c r="D16" s="52">
        <v>1</v>
      </c>
      <c r="E16" s="54">
        <v>160000</v>
      </c>
      <c r="F16" s="39">
        <f t="shared" si="1"/>
        <v>30400</v>
      </c>
      <c r="G16" s="39">
        <f t="shared" si="2"/>
        <v>190400</v>
      </c>
      <c r="H16" s="39">
        <f t="shared" si="3"/>
        <v>190400</v>
      </c>
    </row>
    <row r="17" spans="1:8" ht="60" x14ac:dyDescent="0.25">
      <c r="A17" s="8">
        <v>16</v>
      </c>
      <c r="B17" s="8" t="s">
        <v>51</v>
      </c>
      <c r="C17" s="52" t="s">
        <v>77</v>
      </c>
      <c r="D17" s="52">
        <v>1</v>
      </c>
      <c r="E17" s="54">
        <v>160000</v>
      </c>
      <c r="F17" s="39">
        <f t="shared" si="1"/>
        <v>30400</v>
      </c>
      <c r="G17" s="39">
        <f t="shared" si="2"/>
        <v>190400</v>
      </c>
      <c r="H17" s="39">
        <f t="shared" si="3"/>
        <v>190400</v>
      </c>
    </row>
    <row r="18" spans="1:8" ht="45" x14ac:dyDescent="0.25">
      <c r="A18" s="8">
        <v>17</v>
      </c>
      <c r="B18" s="8" t="s">
        <v>51</v>
      </c>
      <c r="C18" s="52" t="s">
        <v>78</v>
      </c>
      <c r="D18" s="52">
        <v>1</v>
      </c>
      <c r="E18" s="54">
        <v>366000</v>
      </c>
      <c r="F18" s="39">
        <f t="shared" si="1"/>
        <v>69540</v>
      </c>
      <c r="G18" s="39">
        <f t="shared" si="2"/>
        <v>435540</v>
      </c>
      <c r="H18" s="39">
        <f t="shared" si="3"/>
        <v>435540</v>
      </c>
    </row>
    <row r="19" spans="1:8" ht="60" x14ac:dyDescent="0.25">
      <c r="A19" s="9">
        <v>18</v>
      </c>
      <c r="B19" s="8" t="s">
        <v>51</v>
      </c>
      <c r="C19" s="52" t="s">
        <v>79</v>
      </c>
      <c r="D19" s="52">
        <v>1</v>
      </c>
      <c r="E19" s="54">
        <v>160000</v>
      </c>
      <c r="F19" s="39">
        <f t="shared" si="1"/>
        <v>30400</v>
      </c>
      <c r="G19" s="39">
        <f t="shared" si="2"/>
        <v>190400</v>
      </c>
      <c r="H19" s="39">
        <f t="shared" si="3"/>
        <v>190400</v>
      </c>
    </row>
    <row r="20" spans="1:8" ht="45" x14ac:dyDescent="0.25">
      <c r="A20" s="8">
        <v>19</v>
      </c>
      <c r="B20" s="8" t="s">
        <v>52</v>
      </c>
      <c r="C20" s="52" t="s">
        <v>80</v>
      </c>
      <c r="D20" s="52">
        <v>1</v>
      </c>
      <c r="E20" s="54">
        <v>380000</v>
      </c>
      <c r="F20" s="39">
        <f t="shared" si="1"/>
        <v>72200</v>
      </c>
      <c r="G20" s="39">
        <f t="shared" si="2"/>
        <v>452200</v>
      </c>
      <c r="H20" s="39">
        <f t="shared" si="3"/>
        <v>452200</v>
      </c>
    </row>
    <row r="21" spans="1:8" ht="45" x14ac:dyDescent="0.25">
      <c r="A21" s="8">
        <v>20</v>
      </c>
      <c r="B21" s="8" t="s">
        <v>52</v>
      </c>
      <c r="C21" s="52" t="s">
        <v>81</v>
      </c>
      <c r="D21" s="52">
        <v>1</v>
      </c>
      <c r="E21" s="54">
        <v>84000</v>
      </c>
      <c r="F21" s="39">
        <f t="shared" si="1"/>
        <v>15960</v>
      </c>
      <c r="G21" s="39">
        <f t="shared" si="2"/>
        <v>99960</v>
      </c>
      <c r="H21" s="39">
        <f t="shared" si="3"/>
        <v>99960</v>
      </c>
    </row>
    <row r="22" spans="1:8" ht="45" x14ac:dyDescent="0.25">
      <c r="A22" s="8">
        <v>21</v>
      </c>
      <c r="B22" s="8" t="s">
        <v>52</v>
      </c>
      <c r="C22" s="52" t="s">
        <v>82</v>
      </c>
      <c r="D22" s="52">
        <v>1</v>
      </c>
      <c r="E22" s="54">
        <v>433000</v>
      </c>
      <c r="F22" s="39">
        <f t="shared" ref="F22:F48" si="4">+E22*19%</f>
        <v>82270</v>
      </c>
      <c r="G22" s="39">
        <f t="shared" ref="G22:G48" si="5">+E22+F22</f>
        <v>515270</v>
      </c>
      <c r="H22" s="39">
        <f t="shared" ref="H22:H48" si="6">+D22*G22</f>
        <v>515270</v>
      </c>
    </row>
    <row r="23" spans="1:8" ht="45" x14ac:dyDescent="0.25">
      <c r="A23" s="9">
        <v>22</v>
      </c>
      <c r="B23" s="8" t="s">
        <v>52</v>
      </c>
      <c r="C23" s="52" t="s">
        <v>83</v>
      </c>
      <c r="D23" s="52">
        <v>1</v>
      </c>
      <c r="E23" s="54">
        <v>853000</v>
      </c>
      <c r="F23" s="39">
        <f t="shared" si="4"/>
        <v>162070</v>
      </c>
      <c r="G23" s="39">
        <f t="shared" si="5"/>
        <v>1015070</v>
      </c>
      <c r="H23" s="39">
        <f t="shared" si="6"/>
        <v>1015070</v>
      </c>
    </row>
    <row r="24" spans="1:8" ht="60" x14ac:dyDescent="0.25">
      <c r="A24" s="8">
        <v>23</v>
      </c>
      <c r="B24" s="8" t="s">
        <v>52</v>
      </c>
      <c r="C24" s="52" t="s">
        <v>84</v>
      </c>
      <c r="D24" s="52">
        <v>1</v>
      </c>
      <c r="E24" s="54">
        <v>875000</v>
      </c>
      <c r="F24" s="39">
        <f t="shared" si="4"/>
        <v>166250</v>
      </c>
      <c r="G24" s="39">
        <f t="shared" si="5"/>
        <v>1041250</v>
      </c>
      <c r="H24" s="39">
        <f t="shared" si="6"/>
        <v>1041250</v>
      </c>
    </row>
    <row r="25" spans="1:8" ht="45" x14ac:dyDescent="0.25">
      <c r="A25" s="8">
        <v>24</v>
      </c>
      <c r="B25" s="8" t="s">
        <v>52</v>
      </c>
      <c r="C25" s="52" t="s">
        <v>85</v>
      </c>
      <c r="D25" s="52">
        <v>1</v>
      </c>
      <c r="E25" s="54">
        <v>190000</v>
      </c>
      <c r="F25" s="39">
        <f t="shared" si="4"/>
        <v>36100</v>
      </c>
      <c r="G25" s="39">
        <f t="shared" si="5"/>
        <v>226100</v>
      </c>
      <c r="H25" s="39">
        <f t="shared" si="6"/>
        <v>226100</v>
      </c>
    </row>
    <row r="26" spans="1:8" ht="45" x14ac:dyDescent="0.25">
      <c r="A26" s="8">
        <v>25</v>
      </c>
      <c r="B26" s="8" t="s">
        <v>52</v>
      </c>
      <c r="C26" s="52" t="s">
        <v>86</v>
      </c>
      <c r="D26" s="52">
        <v>1</v>
      </c>
      <c r="E26" s="54">
        <v>285000</v>
      </c>
      <c r="F26" s="39">
        <f t="shared" si="4"/>
        <v>54150</v>
      </c>
      <c r="G26" s="39">
        <f t="shared" si="5"/>
        <v>339150</v>
      </c>
      <c r="H26" s="39">
        <f t="shared" si="6"/>
        <v>339150</v>
      </c>
    </row>
    <row r="27" spans="1:8" ht="60" x14ac:dyDescent="0.25">
      <c r="A27" s="9">
        <v>26</v>
      </c>
      <c r="B27" s="8" t="s">
        <v>52</v>
      </c>
      <c r="C27" s="52" t="s">
        <v>87</v>
      </c>
      <c r="D27" s="52">
        <v>5</v>
      </c>
      <c r="E27" s="54">
        <v>75000</v>
      </c>
      <c r="F27" s="39">
        <f t="shared" si="4"/>
        <v>14250</v>
      </c>
      <c r="G27" s="39">
        <f t="shared" si="5"/>
        <v>89250</v>
      </c>
      <c r="H27" s="39">
        <f t="shared" si="6"/>
        <v>446250</v>
      </c>
    </row>
    <row r="28" spans="1:8" ht="45" x14ac:dyDescent="0.25">
      <c r="A28" s="8">
        <v>27</v>
      </c>
      <c r="B28" s="8" t="s">
        <v>52</v>
      </c>
      <c r="C28" s="52" t="s">
        <v>88</v>
      </c>
      <c r="D28" s="52">
        <v>1</v>
      </c>
      <c r="E28" s="54">
        <v>2500000</v>
      </c>
      <c r="F28" s="39">
        <f t="shared" si="4"/>
        <v>475000</v>
      </c>
      <c r="G28" s="39">
        <f t="shared" si="5"/>
        <v>2975000</v>
      </c>
      <c r="H28" s="39">
        <f t="shared" si="6"/>
        <v>2975000</v>
      </c>
    </row>
    <row r="29" spans="1:8" ht="120" x14ac:dyDescent="0.25">
      <c r="A29" s="8">
        <v>28</v>
      </c>
      <c r="B29" s="8" t="s">
        <v>52</v>
      </c>
      <c r="C29" s="52" t="s">
        <v>89</v>
      </c>
      <c r="D29" s="52">
        <v>1</v>
      </c>
      <c r="E29" s="54">
        <v>3800000</v>
      </c>
      <c r="F29" s="39">
        <f t="shared" si="4"/>
        <v>722000</v>
      </c>
      <c r="G29" s="39">
        <f t="shared" si="5"/>
        <v>4522000</v>
      </c>
      <c r="H29" s="39">
        <f t="shared" si="6"/>
        <v>4522000</v>
      </c>
    </row>
    <row r="30" spans="1:8" ht="135" x14ac:dyDescent="0.25">
      <c r="A30" s="8">
        <v>29</v>
      </c>
      <c r="B30" s="8" t="s">
        <v>52</v>
      </c>
      <c r="C30" s="52" t="s">
        <v>90</v>
      </c>
      <c r="D30" s="52">
        <v>1</v>
      </c>
      <c r="E30" s="54">
        <v>4500000</v>
      </c>
      <c r="F30" s="39">
        <f t="shared" si="4"/>
        <v>855000</v>
      </c>
      <c r="G30" s="39">
        <f t="shared" si="5"/>
        <v>5355000</v>
      </c>
      <c r="H30" s="39">
        <f t="shared" si="6"/>
        <v>5355000</v>
      </c>
    </row>
    <row r="31" spans="1:8" ht="60" x14ac:dyDescent="0.25">
      <c r="A31" s="9">
        <v>30</v>
      </c>
      <c r="B31" s="8" t="s">
        <v>51</v>
      </c>
      <c r="C31" s="52" t="s">
        <v>91</v>
      </c>
      <c r="D31" s="52">
        <v>1</v>
      </c>
      <c r="E31" s="54">
        <v>2400000</v>
      </c>
      <c r="F31" s="39">
        <f t="shared" si="4"/>
        <v>456000</v>
      </c>
      <c r="G31" s="39">
        <f t="shared" si="5"/>
        <v>2856000</v>
      </c>
      <c r="H31" s="39">
        <f t="shared" si="6"/>
        <v>2856000</v>
      </c>
    </row>
    <row r="32" spans="1:8" ht="90" x14ac:dyDescent="0.25">
      <c r="A32" s="8">
        <v>31</v>
      </c>
      <c r="B32" s="8" t="s">
        <v>51</v>
      </c>
      <c r="C32" s="52" t="s">
        <v>92</v>
      </c>
      <c r="D32" s="52">
        <v>2</v>
      </c>
      <c r="E32" s="54">
        <v>800000</v>
      </c>
      <c r="F32" s="39">
        <f t="shared" si="4"/>
        <v>152000</v>
      </c>
      <c r="G32" s="39">
        <f t="shared" si="5"/>
        <v>952000</v>
      </c>
      <c r="H32" s="39">
        <f t="shared" si="6"/>
        <v>1904000</v>
      </c>
    </row>
    <row r="33" spans="1:8" ht="90" x14ac:dyDescent="0.25">
      <c r="A33" s="8">
        <v>32</v>
      </c>
      <c r="B33" s="8" t="s">
        <v>51</v>
      </c>
      <c r="C33" s="52" t="s">
        <v>93</v>
      </c>
      <c r="D33" s="52">
        <v>3</v>
      </c>
      <c r="E33" s="54">
        <v>800000</v>
      </c>
      <c r="F33" s="39">
        <f t="shared" si="4"/>
        <v>152000</v>
      </c>
      <c r="G33" s="39">
        <f t="shared" si="5"/>
        <v>952000</v>
      </c>
      <c r="H33" s="39">
        <f t="shared" si="6"/>
        <v>2856000</v>
      </c>
    </row>
    <row r="34" spans="1:8" ht="45" x14ac:dyDescent="0.25">
      <c r="A34" s="8">
        <v>33</v>
      </c>
      <c r="B34" s="8" t="s">
        <v>52</v>
      </c>
      <c r="C34" s="52" t="s">
        <v>94</v>
      </c>
      <c r="D34" s="52">
        <v>3</v>
      </c>
      <c r="E34" s="54">
        <v>157000</v>
      </c>
      <c r="F34" s="39">
        <f t="shared" si="4"/>
        <v>29830</v>
      </c>
      <c r="G34" s="39">
        <f t="shared" si="5"/>
        <v>186830</v>
      </c>
      <c r="H34" s="39">
        <f t="shared" si="6"/>
        <v>560490</v>
      </c>
    </row>
    <row r="35" spans="1:8" ht="45" x14ac:dyDescent="0.25">
      <c r="A35" s="9">
        <v>34</v>
      </c>
      <c r="B35" s="8" t="s">
        <v>52</v>
      </c>
      <c r="C35" s="52" t="s">
        <v>95</v>
      </c>
      <c r="D35" s="52">
        <v>1</v>
      </c>
      <c r="E35" s="54">
        <v>84000</v>
      </c>
      <c r="F35" s="39">
        <f t="shared" si="4"/>
        <v>15960</v>
      </c>
      <c r="G35" s="39">
        <f t="shared" si="5"/>
        <v>99960</v>
      </c>
      <c r="H35" s="39">
        <f t="shared" si="6"/>
        <v>99960</v>
      </c>
    </row>
    <row r="36" spans="1:8" ht="105" x14ac:dyDescent="0.25">
      <c r="A36" s="8">
        <v>35</v>
      </c>
      <c r="B36" s="8" t="s">
        <v>52</v>
      </c>
      <c r="C36" s="52" t="s">
        <v>96</v>
      </c>
      <c r="D36" s="52">
        <v>1</v>
      </c>
      <c r="E36" s="54">
        <v>3800000</v>
      </c>
      <c r="F36" s="39">
        <f t="shared" si="4"/>
        <v>722000</v>
      </c>
      <c r="G36" s="39">
        <f t="shared" si="5"/>
        <v>4522000</v>
      </c>
      <c r="H36" s="39">
        <f t="shared" si="6"/>
        <v>4522000</v>
      </c>
    </row>
    <row r="37" spans="1:8" ht="30" x14ac:dyDescent="0.25">
      <c r="A37" s="8">
        <v>36</v>
      </c>
      <c r="B37" s="8" t="s">
        <v>51</v>
      </c>
      <c r="C37" s="52" t="s">
        <v>97</v>
      </c>
      <c r="D37" s="52">
        <v>2</v>
      </c>
      <c r="E37" s="54">
        <v>1300000</v>
      </c>
      <c r="F37" s="39">
        <f t="shared" si="4"/>
        <v>247000</v>
      </c>
      <c r="G37" s="39">
        <f t="shared" si="5"/>
        <v>1547000</v>
      </c>
      <c r="H37" s="39">
        <f t="shared" si="6"/>
        <v>3094000</v>
      </c>
    </row>
    <row r="38" spans="1:8" ht="30" x14ac:dyDescent="0.25">
      <c r="A38" s="8">
        <v>37</v>
      </c>
      <c r="B38" s="8" t="s">
        <v>51</v>
      </c>
      <c r="C38" s="52" t="s">
        <v>98</v>
      </c>
      <c r="D38" s="52">
        <v>2</v>
      </c>
      <c r="E38" s="54">
        <v>900000</v>
      </c>
      <c r="F38" s="39">
        <f t="shared" si="4"/>
        <v>171000</v>
      </c>
      <c r="G38" s="39">
        <f t="shared" si="5"/>
        <v>1071000</v>
      </c>
      <c r="H38" s="39">
        <f t="shared" si="6"/>
        <v>2142000</v>
      </c>
    </row>
    <row r="39" spans="1:8" ht="30" x14ac:dyDescent="0.25">
      <c r="A39" s="9">
        <v>38</v>
      </c>
      <c r="B39" s="8" t="s">
        <v>51</v>
      </c>
      <c r="C39" s="52" t="s">
        <v>99</v>
      </c>
      <c r="D39" s="52">
        <v>2</v>
      </c>
      <c r="E39" s="54">
        <v>820000</v>
      </c>
      <c r="F39" s="39">
        <f t="shared" si="4"/>
        <v>155800</v>
      </c>
      <c r="G39" s="39">
        <f t="shared" si="5"/>
        <v>975800</v>
      </c>
      <c r="H39" s="39">
        <f t="shared" si="6"/>
        <v>1951600</v>
      </c>
    </row>
    <row r="40" spans="1:8" ht="30" x14ac:dyDescent="0.25">
      <c r="A40" s="8">
        <v>39</v>
      </c>
      <c r="B40" s="8" t="s">
        <v>51</v>
      </c>
      <c r="C40" s="52" t="s">
        <v>100</v>
      </c>
      <c r="D40" s="52">
        <v>2</v>
      </c>
      <c r="E40" s="54">
        <v>550000</v>
      </c>
      <c r="F40" s="39">
        <f t="shared" si="4"/>
        <v>104500</v>
      </c>
      <c r="G40" s="39">
        <f t="shared" si="5"/>
        <v>654500</v>
      </c>
      <c r="H40" s="39">
        <f t="shared" si="6"/>
        <v>1309000</v>
      </c>
    </row>
    <row r="41" spans="1:8" ht="30" x14ac:dyDescent="0.25">
      <c r="A41" s="8">
        <v>40</v>
      </c>
      <c r="B41" s="8" t="s">
        <v>51</v>
      </c>
      <c r="C41" s="52" t="s">
        <v>101</v>
      </c>
      <c r="D41" s="52">
        <v>6</v>
      </c>
      <c r="E41" s="54">
        <v>350000</v>
      </c>
      <c r="F41" s="39">
        <f t="shared" si="4"/>
        <v>66500</v>
      </c>
      <c r="G41" s="39">
        <f t="shared" si="5"/>
        <v>416500</v>
      </c>
      <c r="H41" s="39">
        <f t="shared" si="6"/>
        <v>2499000</v>
      </c>
    </row>
    <row r="42" spans="1:8" ht="30" x14ac:dyDescent="0.25">
      <c r="A42" s="8">
        <v>41</v>
      </c>
      <c r="B42" s="8" t="s">
        <v>51</v>
      </c>
      <c r="C42" s="52" t="s">
        <v>102</v>
      </c>
      <c r="D42" s="52">
        <v>2</v>
      </c>
      <c r="E42" s="54">
        <v>700000</v>
      </c>
      <c r="F42" s="39">
        <f t="shared" si="4"/>
        <v>133000</v>
      </c>
      <c r="G42" s="39">
        <f t="shared" si="5"/>
        <v>833000</v>
      </c>
      <c r="H42" s="39">
        <f t="shared" si="6"/>
        <v>1666000</v>
      </c>
    </row>
    <row r="43" spans="1:8" ht="30" x14ac:dyDescent="0.25">
      <c r="A43" s="9">
        <v>42</v>
      </c>
      <c r="B43" s="8" t="s">
        <v>51</v>
      </c>
      <c r="C43" s="52" t="s">
        <v>103</v>
      </c>
      <c r="D43" s="52">
        <v>4</v>
      </c>
      <c r="E43" s="54">
        <v>350000</v>
      </c>
      <c r="F43" s="39">
        <f t="shared" si="4"/>
        <v>66500</v>
      </c>
      <c r="G43" s="39">
        <f t="shared" si="5"/>
        <v>416500</v>
      </c>
      <c r="H43" s="39">
        <f t="shared" si="6"/>
        <v>1666000</v>
      </c>
    </row>
    <row r="44" spans="1:8" ht="30" x14ac:dyDescent="0.25">
      <c r="A44" s="8">
        <v>43</v>
      </c>
      <c r="B44" s="8" t="s">
        <v>51</v>
      </c>
      <c r="C44" s="52" t="s">
        <v>104</v>
      </c>
      <c r="D44" s="52">
        <v>2</v>
      </c>
      <c r="E44" s="54">
        <v>900000</v>
      </c>
      <c r="F44" s="39">
        <f t="shared" si="4"/>
        <v>171000</v>
      </c>
      <c r="G44" s="39">
        <f t="shared" si="5"/>
        <v>1071000</v>
      </c>
      <c r="H44" s="39">
        <f t="shared" si="6"/>
        <v>2142000</v>
      </c>
    </row>
    <row r="45" spans="1:8" ht="30" x14ac:dyDescent="0.25">
      <c r="A45" s="8">
        <v>44</v>
      </c>
      <c r="B45" s="8" t="s">
        <v>51</v>
      </c>
      <c r="C45" s="52" t="s">
        <v>105</v>
      </c>
      <c r="D45" s="52">
        <v>2</v>
      </c>
      <c r="E45" s="54">
        <v>760000</v>
      </c>
      <c r="F45" s="39">
        <f t="shared" si="4"/>
        <v>144400</v>
      </c>
      <c r="G45" s="39">
        <f t="shared" si="5"/>
        <v>904400</v>
      </c>
      <c r="H45" s="39">
        <f t="shared" si="6"/>
        <v>1808800</v>
      </c>
    </row>
    <row r="46" spans="1:8" ht="30" x14ac:dyDescent="0.25">
      <c r="A46" s="8">
        <v>45</v>
      </c>
      <c r="B46" s="8" t="s">
        <v>51</v>
      </c>
      <c r="C46" s="52" t="s">
        <v>106</v>
      </c>
      <c r="D46" s="52">
        <v>2</v>
      </c>
      <c r="E46" s="54">
        <v>880000</v>
      </c>
      <c r="F46" s="39">
        <f t="shared" si="4"/>
        <v>167200</v>
      </c>
      <c r="G46" s="39">
        <f t="shared" si="5"/>
        <v>1047200</v>
      </c>
      <c r="H46" s="39">
        <f t="shared" si="6"/>
        <v>2094400</v>
      </c>
    </row>
    <row r="47" spans="1:8" ht="30" x14ac:dyDescent="0.25">
      <c r="A47" s="9">
        <v>46</v>
      </c>
      <c r="B47" s="8" t="s">
        <v>51</v>
      </c>
      <c r="C47" s="52" t="s">
        <v>107</v>
      </c>
      <c r="D47" s="52">
        <v>6</v>
      </c>
      <c r="E47" s="54">
        <v>350000</v>
      </c>
      <c r="F47" s="39">
        <f t="shared" si="4"/>
        <v>66500</v>
      </c>
      <c r="G47" s="39">
        <f t="shared" si="5"/>
        <v>416500</v>
      </c>
      <c r="H47" s="39">
        <f t="shared" si="6"/>
        <v>2499000</v>
      </c>
    </row>
    <row r="48" spans="1:8" ht="30" x14ac:dyDescent="0.25">
      <c r="A48" s="8">
        <v>47</v>
      </c>
      <c r="B48" s="8" t="s">
        <v>51</v>
      </c>
      <c r="C48" s="52" t="s">
        <v>108</v>
      </c>
      <c r="D48" s="52">
        <v>2</v>
      </c>
      <c r="E48" s="54">
        <v>5500000</v>
      </c>
      <c r="F48" s="39">
        <f t="shared" si="4"/>
        <v>1045000</v>
      </c>
      <c r="G48" s="39">
        <f t="shared" si="5"/>
        <v>6545000</v>
      </c>
      <c r="H48" s="39">
        <f t="shared" si="6"/>
        <v>13090000</v>
      </c>
    </row>
    <row r="49" spans="1:8" ht="30" x14ac:dyDescent="0.25">
      <c r="A49" s="8">
        <v>48</v>
      </c>
      <c r="B49" s="8" t="s">
        <v>51</v>
      </c>
      <c r="C49" s="52" t="s">
        <v>109</v>
      </c>
      <c r="D49" s="52">
        <v>2</v>
      </c>
      <c r="E49" s="54">
        <v>4500000</v>
      </c>
      <c r="F49" s="39">
        <f t="shared" si="1"/>
        <v>855000</v>
      </c>
      <c r="G49" s="39">
        <f t="shared" si="2"/>
        <v>5355000</v>
      </c>
      <c r="H49" s="39">
        <f t="shared" si="3"/>
        <v>10710000</v>
      </c>
    </row>
    <row r="50" spans="1:8" ht="30" x14ac:dyDescent="0.25">
      <c r="A50" s="9">
        <v>49</v>
      </c>
      <c r="B50" s="8" t="s">
        <v>51</v>
      </c>
      <c r="C50" s="52" t="s">
        <v>110</v>
      </c>
      <c r="D50" s="52">
        <v>2</v>
      </c>
      <c r="E50" s="54">
        <v>250000</v>
      </c>
      <c r="F50" s="39">
        <f t="shared" si="1"/>
        <v>47500</v>
      </c>
      <c r="G50" s="39">
        <f t="shared" si="2"/>
        <v>297500</v>
      </c>
      <c r="H50" s="39">
        <f t="shared" si="3"/>
        <v>595000</v>
      </c>
    </row>
    <row r="51" spans="1:8" x14ac:dyDescent="0.25">
      <c r="E51" s="60" t="s">
        <v>50</v>
      </c>
      <c r="F51" s="60"/>
      <c r="G51" s="60"/>
      <c r="H51" s="38">
        <f>+SUM(H2:H50)</f>
        <v>89072690</v>
      </c>
    </row>
  </sheetData>
  <mergeCells count="1">
    <mergeCell ref="E51:G5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90BA5-6854-4D0E-A5EE-7BD15B153A0B}">
  <dimension ref="A1:H51"/>
  <sheetViews>
    <sheetView workbookViewId="0">
      <selection activeCell="E8" sqref="E8"/>
    </sheetView>
  </sheetViews>
  <sheetFormatPr baseColWidth="10" defaultRowHeight="15" x14ac:dyDescent="0.25"/>
  <cols>
    <col min="2" max="2" width="22.7109375" customWidth="1"/>
    <col min="3" max="3" width="60.7109375" customWidth="1"/>
    <col min="4" max="4" width="21.5703125" customWidth="1"/>
    <col min="5" max="5" width="17.28515625" customWidth="1"/>
    <col min="6" max="6" width="14.7109375" customWidth="1"/>
    <col min="7" max="7" width="14.140625" bestFit="1" customWidth="1"/>
    <col min="8" max="8" width="15.28515625" bestFit="1" customWidth="1"/>
  </cols>
  <sheetData>
    <row r="1" spans="1:8" ht="33.75" x14ac:dyDescent="0.25">
      <c r="A1" s="17" t="s">
        <v>15</v>
      </c>
      <c r="B1" s="17" t="s">
        <v>22</v>
      </c>
      <c r="C1" s="17" t="s">
        <v>16</v>
      </c>
      <c r="D1" s="37" t="s">
        <v>4</v>
      </c>
      <c r="E1" s="17" t="s">
        <v>24</v>
      </c>
      <c r="F1" s="17" t="s">
        <v>25</v>
      </c>
      <c r="G1" s="17" t="s">
        <v>26</v>
      </c>
      <c r="H1" s="17" t="s">
        <v>28</v>
      </c>
    </row>
    <row r="2" spans="1:8" ht="30" x14ac:dyDescent="0.25">
      <c r="A2" s="8">
        <v>1</v>
      </c>
      <c r="B2" s="8" t="s">
        <v>51</v>
      </c>
      <c r="C2" s="52" t="s">
        <v>63</v>
      </c>
      <c r="D2" s="52">
        <v>3</v>
      </c>
      <c r="E2" s="10">
        <v>480000</v>
      </c>
      <c r="F2" s="39">
        <f>+E2*19%</f>
        <v>91200</v>
      </c>
      <c r="G2" s="39">
        <f>+E2+F2</f>
        <v>571200</v>
      </c>
      <c r="H2" s="39">
        <f>+D2*G2</f>
        <v>1713600</v>
      </c>
    </row>
    <row r="3" spans="1:8" ht="30" x14ac:dyDescent="0.25">
      <c r="A3" s="8">
        <v>2</v>
      </c>
      <c r="B3" s="8" t="s">
        <v>51</v>
      </c>
      <c r="C3" s="52" t="s">
        <v>63</v>
      </c>
      <c r="D3" s="52">
        <v>3</v>
      </c>
      <c r="E3" s="10">
        <v>480000</v>
      </c>
      <c r="F3" s="39">
        <f>+E3*19%</f>
        <v>91200</v>
      </c>
      <c r="G3" s="39">
        <f>+E3+F3</f>
        <v>571200</v>
      </c>
      <c r="H3" s="39">
        <f t="shared" ref="H3:H50" si="0">+D3*G3</f>
        <v>1713600</v>
      </c>
    </row>
    <row r="4" spans="1:8" ht="30" x14ac:dyDescent="0.25">
      <c r="A4" s="9">
        <v>3</v>
      </c>
      <c r="B4" s="8" t="s">
        <v>51</v>
      </c>
      <c r="C4" s="52" t="s">
        <v>64</v>
      </c>
      <c r="D4" s="52">
        <v>3</v>
      </c>
      <c r="E4" s="10">
        <v>480000</v>
      </c>
      <c r="F4" s="39">
        <f>+E4*19%</f>
        <v>91200</v>
      </c>
      <c r="G4" s="39">
        <f>+E4+F4</f>
        <v>571200</v>
      </c>
      <c r="H4" s="39">
        <f t="shared" si="0"/>
        <v>1713600</v>
      </c>
    </row>
    <row r="5" spans="1:8" ht="30" x14ac:dyDescent="0.25">
      <c r="A5" s="8">
        <v>4</v>
      </c>
      <c r="B5" s="8" t="s">
        <v>51</v>
      </c>
      <c r="C5" s="52" t="s">
        <v>65</v>
      </c>
      <c r="D5" s="52">
        <v>3</v>
      </c>
      <c r="E5" s="10">
        <v>450000</v>
      </c>
      <c r="F5" s="39">
        <f t="shared" ref="F5:F50" si="1">+E5*19%</f>
        <v>85500</v>
      </c>
      <c r="G5" s="39">
        <f t="shared" ref="G5:G50" si="2">+E5+F5</f>
        <v>535500</v>
      </c>
      <c r="H5" s="39">
        <f t="shared" si="0"/>
        <v>1606500</v>
      </c>
    </row>
    <row r="6" spans="1:8" ht="45" x14ac:dyDescent="0.25">
      <c r="A6" s="8">
        <v>5</v>
      </c>
      <c r="B6" s="8" t="s">
        <v>51</v>
      </c>
      <c r="C6" s="52" t="s">
        <v>66</v>
      </c>
      <c r="D6" s="52">
        <v>3</v>
      </c>
      <c r="E6" s="10">
        <v>400000</v>
      </c>
      <c r="F6" s="39">
        <f t="shared" si="1"/>
        <v>76000</v>
      </c>
      <c r="G6" s="39">
        <f t="shared" si="2"/>
        <v>476000</v>
      </c>
      <c r="H6" s="39">
        <f t="shared" si="0"/>
        <v>1428000</v>
      </c>
    </row>
    <row r="7" spans="1:8" ht="45" x14ac:dyDescent="0.25">
      <c r="A7" s="9">
        <v>6</v>
      </c>
      <c r="B7" s="8" t="s">
        <v>51</v>
      </c>
      <c r="C7" s="52" t="s">
        <v>67</v>
      </c>
      <c r="D7" s="52">
        <v>3</v>
      </c>
      <c r="E7" s="10">
        <v>400000</v>
      </c>
      <c r="F7" s="39">
        <f t="shared" si="1"/>
        <v>76000</v>
      </c>
      <c r="G7" s="39">
        <f t="shared" si="2"/>
        <v>476000</v>
      </c>
      <c r="H7" s="39">
        <f t="shared" si="0"/>
        <v>1428000</v>
      </c>
    </row>
    <row r="8" spans="1:8" ht="45" x14ac:dyDescent="0.25">
      <c r="A8" s="8">
        <v>7</v>
      </c>
      <c r="B8" s="8" t="s">
        <v>51</v>
      </c>
      <c r="C8" s="53" t="s">
        <v>68</v>
      </c>
      <c r="D8" s="52">
        <v>3</v>
      </c>
      <c r="E8" s="10">
        <v>450000</v>
      </c>
      <c r="F8" s="39">
        <f t="shared" si="1"/>
        <v>85500</v>
      </c>
      <c r="G8" s="39">
        <f t="shared" si="2"/>
        <v>535500</v>
      </c>
      <c r="H8" s="39">
        <f t="shared" si="0"/>
        <v>1606500</v>
      </c>
    </row>
    <row r="9" spans="1:8" ht="45" x14ac:dyDescent="0.25">
      <c r="A9" s="8">
        <v>8</v>
      </c>
      <c r="B9" s="8" t="s">
        <v>51</v>
      </c>
      <c r="C9" s="53" t="s">
        <v>69</v>
      </c>
      <c r="D9" s="52">
        <v>3</v>
      </c>
      <c r="E9" s="10">
        <v>450000</v>
      </c>
      <c r="F9" s="39">
        <f t="shared" si="1"/>
        <v>85500</v>
      </c>
      <c r="G9" s="39">
        <f t="shared" si="2"/>
        <v>535500</v>
      </c>
      <c r="H9" s="39">
        <f t="shared" si="0"/>
        <v>1606500</v>
      </c>
    </row>
    <row r="10" spans="1:8" ht="30" x14ac:dyDescent="0.25">
      <c r="A10" s="9">
        <v>9</v>
      </c>
      <c r="B10" s="8" t="s">
        <v>51</v>
      </c>
      <c r="C10" s="53" t="s">
        <v>70</v>
      </c>
      <c r="D10" s="52">
        <v>3</v>
      </c>
      <c r="E10" s="10">
        <v>400000</v>
      </c>
      <c r="F10" s="39">
        <f t="shared" si="1"/>
        <v>76000</v>
      </c>
      <c r="G10" s="39">
        <f t="shared" si="2"/>
        <v>476000</v>
      </c>
      <c r="H10" s="39">
        <f t="shared" si="0"/>
        <v>1428000</v>
      </c>
    </row>
    <row r="11" spans="1:8" ht="60" x14ac:dyDescent="0.25">
      <c r="A11" s="8">
        <v>10</v>
      </c>
      <c r="B11" s="8" t="s">
        <v>51</v>
      </c>
      <c r="C11" s="53" t="s">
        <v>71</v>
      </c>
      <c r="D11" s="52">
        <v>3</v>
      </c>
      <c r="E11" s="10">
        <v>450000</v>
      </c>
      <c r="F11" s="39">
        <f t="shared" si="1"/>
        <v>85500</v>
      </c>
      <c r="G11" s="39">
        <f t="shared" si="2"/>
        <v>535500</v>
      </c>
      <c r="H11" s="39">
        <f t="shared" si="0"/>
        <v>1606500</v>
      </c>
    </row>
    <row r="12" spans="1:8" ht="60" x14ac:dyDescent="0.25">
      <c r="A12" s="8">
        <v>11</v>
      </c>
      <c r="B12" s="8" t="s">
        <v>51</v>
      </c>
      <c r="C12" s="52" t="s">
        <v>72</v>
      </c>
      <c r="D12" s="52">
        <v>3</v>
      </c>
      <c r="E12" s="54">
        <v>400000</v>
      </c>
      <c r="F12" s="39">
        <f t="shared" si="1"/>
        <v>76000</v>
      </c>
      <c r="G12" s="39">
        <f t="shared" si="2"/>
        <v>476000</v>
      </c>
      <c r="H12" s="39">
        <f t="shared" si="0"/>
        <v>1428000</v>
      </c>
    </row>
    <row r="13" spans="1:8" ht="30" x14ac:dyDescent="0.25">
      <c r="A13" s="9">
        <v>12</v>
      </c>
      <c r="B13" s="8" t="s">
        <v>51</v>
      </c>
      <c r="C13" s="52" t="s">
        <v>73</v>
      </c>
      <c r="D13" s="52">
        <v>7</v>
      </c>
      <c r="E13" s="54">
        <v>120000</v>
      </c>
      <c r="F13" s="39">
        <f t="shared" si="1"/>
        <v>22800</v>
      </c>
      <c r="G13" s="39">
        <f t="shared" si="2"/>
        <v>142800</v>
      </c>
      <c r="H13" s="39">
        <f t="shared" si="0"/>
        <v>999600</v>
      </c>
    </row>
    <row r="14" spans="1:8" ht="45" x14ac:dyDescent="0.25">
      <c r="A14" s="8">
        <v>13</v>
      </c>
      <c r="B14" s="8" t="s">
        <v>51</v>
      </c>
      <c r="C14" s="52" t="s">
        <v>74</v>
      </c>
      <c r="D14" s="52">
        <v>1</v>
      </c>
      <c r="E14" s="54">
        <v>190000</v>
      </c>
      <c r="F14" s="39">
        <f t="shared" si="1"/>
        <v>36100</v>
      </c>
      <c r="G14" s="39">
        <f t="shared" si="2"/>
        <v>226100</v>
      </c>
      <c r="H14" s="39">
        <f t="shared" si="0"/>
        <v>226100</v>
      </c>
    </row>
    <row r="15" spans="1:8" ht="45" x14ac:dyDescent="0.25">
      <c r="A15" s="8">
        <v>14</v>
      </c>
      <c r="B15" s="8" t="s">
        <v>51</v>
      </c>
      <c r="C15" s="52" t="s">
        <v>75</v>
      </c>
      <c r="D15" s="52">
        <v>1</v>
      </c>
      <c r="E15" s="54">
        <v>190000</v>
      </c>
      <c r="F15" s="39">
        <f t="shared" si="1"/>
        <v>36100</v>
      </c>
      <c r="G15" s="39">
        <f t="shared" si="2"/>
        <v>226100</v>
      </c>
      <c r="H15" s="39">
        <f t="shared" si="0"/>
        <v>226100</v>
      </c>
    </row>
    <row r="16" spans="1:8" ht="45" x14ac:dyDescent="0.25">
      <c r="A16" s="9">
        <v>15</v>
      </c>
      <c r="B16" s="8" t="s">
        <v>51</v>
      </c>
      <c r="C16" s="52" t="s">
        <v>76</v>
      </c>
      <c r="D16" s="52">
        <v>1</v>
      </c>
      <c r="E16" s="54">
        <v>190000</v>
      </c>
      <c r="F16" s="39">
        <f t="shared" si="1"/>
        <v>36100</v>
      </c>
      <c r="G16" s="39">
        <f t="shared" si="2"/>
        <v>226100</v>
      </c>
      <c r="H16" s="39">
        <f t="shared" si="0"/>
        <v>226100</v>
      </c>
    </row>
    <row r="17" spans="1:8" ht="60" x14ac:dyDescent="0.25">
      <c r="A17" s="8">
        <v>16</v>
      </c>
      <c r="B17" s="8" t="s">
        <v>51</v>
      </c>
      <c r="C17" s="52" t="s">
        <v>77</v>
      </c>
      <c r="D17" s="52">
        <v>1</v>
      </c>
      <c r="E17" s="54">
        <v>190000</v>
      </c>
      <c r="F17" s="39">
        <f t="shared" si="1"/>
        <v>36100</v>
      </c>
      <c r="G17" s="39">
        <f t="shared" si="2"/>
        <v>226100</v>
      </c>
      <c r="H17" s="39">
        <f t="shared" si="0"/>
        <v>226100</v>
      </c>
    </row>
    <row r="18" spans="1:8" ht="45" x14ac:dyDescent="0.25">
      <c r="A18" s="8">
        <v>17</v>
      </c>
      <c r="B18" s="8" t="s">
        <v>51</v>
      </c>
      <c r="C18" s="52" t="s">
        <v>78</v>
      </c>
      <c r="D18" s="52">
        <v>1</v>
      </c>
      <c r="E18" s="54">
        <v>300000</v>
      </c>
      <c r="F18" s="39">
        <f t="shared" si="1"/>
        <v>57000</v>
      </c>
      <c r="G18" s="39">
        <f t="shared" si="2"/>
        <v>357000</v>
      </c>
      <c r="H18" s="39">
        <f t="shared" si="0"/>
        <v>357000</v>
      </c>
    </row>
    <row r="19" spans="1:8" ht="60" x14ac:dyDescent="0.25">
      <c r="A19" s="9">
        <v>18</v>
      </c>
      <c r="B19" s="8" t="s">
        <v>51</v>
      </c>
      <c r="C19" s="52" t="s">
        <v>79</v>
      </c>
      <c r="D19" s="52">
        <v>1</v>
      </c>
      <c r="E19" s="54">
        <v>190000</v>
      </c>
      <c r="F19" s="39">
        <f t="shared" si="1"/>
        <v>36100</v>
      </c>
      <c r="G19" s="39">
        <f t="shared" si="2"/>
        <v>226100</v>
      </c>
      <c r="H19" s="39">
        <f t="shared" si="0"/>
        <v>226100</v>
      </c>
    </row>
    <row r="20" spans="1:8" ht="45" x14ac:dyDescent="0.25">
      <c r="A20" s="8">
        <v>19</v>
      </c>
      <c r="B20" s="8" t="s">
        <v>52</v>
      </c>
      <c r="C20" s="52" t="s">
        <v>80</v>
      </c>
      <c r="D20" s="52">
        <v>1</v>
      </c>
      <c r="E20" s="54">
        <v>450000</v>
      </c>
      <c r="F20" s="39">
        <f t="shared" si="1"/>
        <v>85500</v>
      </c>
      <c r="G20" s="39">
        <f t="shared" si="2"/>
        <v>535500</v>
      </c>
      <c r="H20" s="39">
        <f t="shared" si="0"/>
        <v>535500</v>
      </c>
    </row>
    <row r="21" spans="1:8" ht="45" x14ac:dyDescent="0.25">
      <c r="A21" s="8">
        <v>20</v>
      </c>
      <c r="B21" s="8" t="s">
        <v>52</v>
      </c>
      <c r="C21" s="52" t="s">
        <v>81</v>
      </c>
      <c r="D21" s="52">
        <v>1</v>
      </c>
      <c r="E21" s="54">
        <v>120000</v>
      </c>
      <c r="F21" s="39">
        <f t="shared" si="1"/>
        <v>22800</v>
      </c>
      <c r="G21" s="39">
        <f t="shared" si="2"/>
        <v>142800</v>
      </c>
      <c r="H21" s="39">
        <f t="shared" si="0"/>
        <v>142800</v>
      </c>
    </row>
    <row r="22" spans="1:8" ht="45" x14ac:dyDescent="0.25">
      <c r="A22" s="8">
        <v>21</v>
      </c>
      <c r="B22" s="8" t="s">
        <v>52</v>
      </c>
      <c r="C22" s="52" t="s">
        <v>82</v>
      </c>
      <c r="D22" s="52">
        <v>1</v>
      </c>
      <c r="E22" s="54">
        <v>450000</v>
      </c>
      <c r="F22" s="39">
        <f t="shared" si="1"/>
        <v>85500</v>
      </c>
      <c r="G22" s="39">
        <f t="shared" si="2"/>
        <v>535500</v>
      </c>
      <c r="H22" s="39">
        <f t="shared" si="0"/>
        <v>535500</v>
      </c>
    </row>
    <row r="23" spans="1:8" ht="45" x14ac:dyDescent="0.25">
      <c r="A23" s="9">
        <v>22</v>
      </c>
      <c r="B23" s="8" t="s">
        <v>52</v>
      </c>
      <c r="C23" s="52" t="s">
        <v>83</v>
      </c>
      <c r="D23" s="52">
        <v>1</v>
      </c>
      <c r="E23" s="54">
        <v>900000</v>
      </c>
      <c r="F23" s="39">
        <f t="shared" si="1"/>
        <v>171000</v>
      </c>
      <c r="G23" s="39">
        <f t="shared" si="2"/>
        <v>1071000</v>
      </c>
      <c r="H23" s="39">
        <f t="shared" si="0"/>
        <v>1071000</v>
      </c>
    </row>
    <row r="24" spans="1:8" ht="60" x14ac:dyDescent="0.25">
      <c r="A24" s="8">
        <v>23</v>
      </c>
      <c r="B24" s="8" t="s">
        <v>52</v>
      </c>
      <c r="C24" s="52" t="s">
        <v>84</v>
      </c>
      <c r="D24" s="52">
        <v>1</v>
      </c>
      <c r="E24" s="54">
        <v>880000</v>
      </c>
      <c r="F24" s="39">
        <f t="shared" si="1"/>
        <v>167200</v>
      </c>
      <c r="G24" s="39">
        <f t="shared" si="2"/>
        <v>1047200</v>
      </c>
      <c r="H24" s="39">
        <f t="shared" si="0"/>
        <v>1047200</v>
      </c>
    </row>
    <row r="25" spans="1:8" ht="45" x14ac:dyDescent="0.25">
      <c r="A25" s="8">
        <v>24</v>
      </c>
      <c r="B25" s="8" t="s">
        <v>52</v>
      </c>
      <c r="C25" s="52" t="s">
        <v>85</v>
      </c>
      <c r="D25" s="52">
        <v>1</v>
      </c>
      <c r="E25" s="54">
        <v>180000</v>
      </c>
      <c r="F25" s="39">
        <f t="shared" si="1"/>
        <v>34200</v>
      </c>
      <c r="G25" s="39">
        <f t="shared" si="2"/>
        <v>214200</v>
      </c>
      <c r="H25" s="39">
        <f t="shared" si="0"/>
        <v>214200</v>
      </c>
    </row>
    <row r="26" spans="1:8" ht="45" x14ac:dyDescent="0.25">
      <c r="A26" s="8">
        <v>25</v>
      </c>
      <c r="B26" s="8" t="s">
        <v>52</v>
      </c>
      <c r="C26" s="52" t="s">
        <v>86</v>
      </c>
      <c r="D26" s="52">
        <v>1</v>
      </c>
      <c r="E26" s="54">
        <v>350000</v>
      </c>
      <c r="F26" s="39">
        <f t="shared" si="1"/>
        <v>66500</v>
      </c>
      <c r="G26" s="39">
        <f t="shared" si="2"/>
        <v>416500</v>
      </c>
      <c r="H26" s="39">
        <f t="shared" si="0"/>
        <v>416500</v>
      </c>
    </row>
    <row r="27" spans="1:8" ht="60" x14ac:dyDescent="0.25">
      <c r="A27" s="9">
        <v>26</v>
      </c>
      <c r="B27" s="8" t="s">
        <v>52</v>
      </c>
      <c r="C27" s="52" t="s">
        <v>87</v>
      </c>
      <c r="D27" s="52">
        <v>5</v>
      </c>
      <c r="E27" s="54">
        <v>100000</v>
      </c>
      <c r="F27" s="39">
        <f t="shared" si="1"/>
        <v>19000</v>
      </c>
      <c r="G27" s="39">
        <f t="shared" si="2"/>
        <v>119000</v>
      </c>
      <c r="H27" s="39">
        <f t="shared" si="0"/>
        <v>595000</v>
      </c>
    </row>
    <row r="28" spans="1:8" ht="45" x14ac:dyDescent="0.25">
      <c r="A28" s="8">
        <v>27</v>
      </c>
      <c r="B28" s="8" t="s">
        <v>52</v>
      </c>
      <c r="C28" s="52" t="s">
        <v>88</v>
      </c>
      <c r="D28" s="52">
        <v>1</v>
      </c>
      <c r="E28" s="54">
        <v>2700000</v>
      </c>
      <c r="F28" s="39">
        <f t="shared" si="1"/>
        <v>513000</v>
      </c>
      <c r="G28" s="39">
        <f t="shared" si="2"/>
        <v>3213000</v>
      </c>
      <c r="H28" s="39">
        <f t="shared" si="0"/>
        <v>3213000</v>
      </c>
    </row>
    <row r="29" spans="1:8" ht="120" x14ac:dyDescent="0.25">
      <c r="A29" s="8">
        <v>28</v>
      </c>
      <c r="B29" s="8" t="s">
        <v>52</v>
      </c>
      <c r="C29" s="52" t="s">
        <v>89</v>
      </c>
      <c r="D29" s="52">
        <v>1</v>
      </c>
      <c r="E29" s="54">
        <v>3600000</v>
      </c>
      <c r="F29" s="39">
        <f t="shared" si="1"/>
        <v>684000</v>
      </c>
      <c r="G29" s="39">
        <f t="shared" si="2"/>
        <v>4284000</v>
      </c>
      <c r="H29" s="39">
        <f t="shared" si="0"/>
        <v>4284000</v>
      </c>
    </row>
    <row r="30" spans="1:8" ht="135" x14ac:dyDescent="0.25">
      <c r="A30" s="8">
        <v>29</v>
      </c>
      <c r="B30" s="8" t="s">
        <v>52</v>
      </c>
      <c r="C30" s="52" t="s">
        <v>90</v>
      </c>
      <c r="D30" s="52">
        <v>1</v>
      </c>
      <c r="E30" s="54">
        <v>3000000</v>
      </c>
      <c r="F30" s="39">
        <f t="shared" si="1"/>
        <v>570000</v>
      </c>
      <c r="G30" s="39">
        <f t="shared" si="2"/>
        <v>3570000</v>
      </c>
      <c r="H30" s="39">
        <f t="shared" si="0"/>
        <v>3570000</v>
      </c>
    </row>
    <row r="31" spans="1:8" ht="60" x14ac:dyDescent="0.25">
      <c r="A31" s="9">
        <v>30</v>
      </c>
      <c r="B31" s="8" t="s">
        <v>51</v>
      </c>
      <c r="C31" s="52" t="s">
        <v>91</v>
      </c>
      <c r="D31" s="52">
        <v>1</v>
      </c>
      <c r="E31" s="54">
        <v>3000000</v>
      </c>
      <c r="F31" s="39">
        <f t="shared" si="1"/>
        <v>570000</v>
      </c>
      <c r="G31" s="39">
        <f t="shared" si="2"/>
        <v>3570000</v>
      </c>
      <c r="H31" s="39">
        <f t="shared" si="0"/>
        <v>3570000</v>
      </c>
    </row>
    <row r="32" spans="1:8" ht="90" x14ac:dyDescent="0.25">
      <c r="A32" s="8">
        <v>31</v>
      </c>
      <c r="B32" s="8" t="s">
        <v>51</v>
      </c>
      <c r="C32" s="52" t="s">
        <v>92</v>
      </c>
      <c r="D32" s="52">
        <v>2</v>
      </c>
      <c r="E32" s="54">
        <v>900000</v>
      </c>
      <c r="F32" s="39">
        <f t="shared" si="1"/>
        <v>171000</v>
      </c>
      <c r="G32" s="39">
        <f t="shared" si="2"/>
        <v>1071000</v>
      </c>
      <c r="H32" s="39">
        <f t="shared" si="0"/>
        <v>2142000</v>
      </c>
    </row>
    <row r="33" spans="1:8" ht="90" x14ac:dyDescent="0.25">
      <c r="A33" s="8">
        <v>32</v>
      </c>
      <c r="B33" s="8" t="s">
        <v>51</v>
      </c>
      <c r="C33" s="52" t="s">
        <v>93</v>
      </c>
      <c r="D33" s="52">
        <v>3</v>
      </c>
      <c r="E33" s="54">
        <v>950000</v>
      </c>
      <c r="F33" s="39">
        <f t="shared" si="1"/>
        <v>180500</v>
      </c>
      <c r="G33" s="39">
        <f t="shared" si="2"/>
        <v>1130500</v>
      </c>
      <c r="H33" s="39">
        <f t="shared" si="0"/>
        <v>3391500</v>
      </c>
    </row>
    <row r="34" spans="1:8" ht="45" x14ac:dyDescent="0.25">
      <c r="A34" s="8">
        <v>33</v>
      </c>
      <c r="B34" s="8" t="s">
        <v>52</v>
      </c>
      <c r="C34" s="52" t="s">
        <v>94</v>
      </c>
      <c r="D34" s="52">
        <v>3</v>
      </c>
      <c r="E34" s="54">
        <v>300000</v>
      </c>
      <c r="F34" s="39">
        <f t="shared" si="1"/>
        <v>57000</v>
      </c>
      <c r="G34" s="39">
        <f t="shared" si="2"/>
        <v>357000</v>
      </c>
      <c r="H34" s="39">
        <f t="shared" si="0"/>
        <v>1071000</v>
      </c>
    </row>
    <row r="35" spans="1:8" ht="45" x14ac:dyDescent="0.25">
      <c r="A35" s="9">
        <v>34</v>
      </c>
      <c r="B35" s="8" t="s">
        <v>52</v>
      </c>
      <c r="C35" s="52" t="s">
        <v>95</v>
      </c>
      <c r="D35" s="52">
        <v>1</v>
      </c>
      <c r="E35" s="54">
        <v>90000</v>
      </c>
      <c r="F35" s="39">
        <f t="shared" si="1"/>
        <v>17100</v>
      </c>
      <c r="G35" s="39">
        <f t="shared" si="2"/>
        <v>107100</v>
      </c>
      <c r="H35" s="39">
        <f t="shared" si="0"/>
        <v>107100</v>
      </c>
    </row>
    <row r="36" spans="1:8" ht="105" x14ac:dyDescent="0.25">
      <c r="A36" s="8">
        <v>35</v>
      </c>
      <c r="B36" s="8" t="s">
        <v>52</v>
      </c>
      <c r="C36" s="52" t="s">
        <v>96</v>
      </c>
      <c r="D36" s="52">
        <v>1</v>
      </c>
      <c r="E36" s="54">
        <v>3800000</v>
      </c>
      <c r="F36" s="39">
        <f t="shared" si="1"/>
        <v>722000</v>
      </c>
      <c r="G36" s="39">
        <f t="shared" si="2"/>
        <v>4522000</v>
      </c>
      <c r="H36" s="39">
        <f t="shared" si="0"/>
        <v>4522000</v>
      </c>
    </row>
    <row r="37" spans="1:8" ht="30" x14ac:dyDescent="0.25">
      <c r="A37" s="8">
        <v>36</v>
      </c>
      <c r="B37" s="8" t="s">
        <v>51</v>
      </c>
      <c r="C37" s="52" t="s">
        <v>97</v>
      </c>
      <c r="D37" s="52">
        <v>2</v>
      </c>
      <c r="E37" s="54">
        <v>850000</v>
      </c>
      <c r="F37" s="39">
        <f t="shared" si="1"/>
        <v>161500</v>
      </c>
      <c r="G37" s="39">
        <f t="shared" si="2"/>
        <v>1011500</v>
      </c>
      <c r="H37" s="39">
        <f t="shared" si="0"/>
        <v>2023000</v>
      </c>
    </row>
    <row r="38" spans="1:8" ht="30" x14ac:dyDescent="0.25">
      <c r="A38" s="8">
        <v>37</v>
      </c>
      <c r="B38" s="8" t="s">
        <v>51</v>
      </c>
      <c r="C38" s="52" t="s">
        <v>98</v>
      </c>
      <c r="D38" s="52">
        <v>2</v>
      </c>
      <c r="E38" s="54">
        <v>800000</v>
      </c>
      <c r="F38" s="39">
        <f t="shared" si="1"/>
        <v>152000</v>
      </c>
      <c r="G38" s="39">
        <f t="shared" si="2"/>
        <v>952000</v>
      </c>
      <c r="H38" s="39">
        <f t="shared" si="0"/>
        <v>1904000</v>
      </c>
    </row>
    <row r="39" spans="1:8" ht="30" x14ac:dyDescent="0.25">
      <c r="A39" s="9">
        <v>38</v>
      </c>
      <c r="B39" s="8" t="s">
        <v>51</v>
      </c>
      <c r="C39" s="52" t="s">
        <v>99</v>
      </c>
      <c r="D39" s="52">
        <v>2</v>
      </c>
      <c r="E39" s="54">
        <v>790000</v>
      </c>
      <c r="F39" s="39">
        <f t="shared" si="1"/>
        <v>150100</v>
      </c>
      <c r="G39" s="39">
        <f t="shared" si="2"/>
        <v>940100</v>
      </c>
      <c r="H39" s="39">
        <f t="shared" si="0"/>
        <v>1880200</v>
      </c>
    </row>
    <row r="40" spans="1:8" ht="30" x14ac:dyDescent="0.25">
      <c r="A40" s="8">
        <v>39</v>
      </c>
      <c r="B40" s="8" t="s">
        <v>51</v>
      </c>
      <c r="C40" s="52" t="s">
        <v>100</v>
      </c>
      <c r="D40" s="52">
        <v>2</v>
      </c>
      <c r="E40" s="54">
        <v>450000</v>
      </c>
      <c r="F40" s="39">
        <f t="shared" si="1"/>
        <v>85500</v>
      </c>
      <c r="G40" s="39">
        <f t="shared" si="2"/>
        <v>535500</v>
      </c>
      <c r="H40" s="39">
        <f t="shared" si="0"/>
        <v>1071000</v>
      </c>
    </row>
    <row r="41" spans="1:8" ht="30" x14ac:dyDescent="0.25">
      <c r="A41" s="8">
        <v>40</v>
      </c>
      <c r="B41" s="8" t="s">
        <v>51</v>
      </c>
      <c r="C41" s="52" t="s">
        <v>101</v>
      </c>
      <c r="D41" s="52">
        <v>6</v>
      </c>
      <c r="E41" s="54">
        <v>290000</v>
      </c>
      <c r="F41" s="39">
        <f t="shared" si="1"/>
        <v>55100</v>
      </c>
      <c r="G41" s="39">
        <f t="shared" si="2"/>
        <v>345100</v>
      </c>
      <c r="H41" s="39">
        <f t="shared" si="0"/>
        <v>2070600</v>
      </c>
    </row>
    <row r="42" spans="1:8" ht="30" x14ac:dyDescent="0.25">
      <c r="A42" s="8">
        <v>41</v>
      </c>
      <c r="B42" s="8" t="s">
        <v>51</v>
      </c>
      <c r="C42" s="52" t="s">
        <v>102</v>
      </c>
      <c r="D42" s="52">
        <v>2</v>
      </c>
      <c r="E42" s="54">
        <v>560000</v>
      </c>
      <c r="F42" s="39">
        <f t="shared" si="1"/>
        <v>106400</v>
      </c>
      <c r="G42" s="39">
        <f t="shared" si="2"/>
        <v>666400</v>
      </c>
      <c r="H42" s="39">
        <f t="shared" si="0"/>
        <v>1332800</v>
      </c>
    </row>
    <row r="43" spans="1:8" ht="30" x14ac:dyDescent="0.25">
      <c r="A43" s="9">
        <v>42</v>
      </c>
      <c r="B43" s="8" t="s">
        <v>51</v>
      </c>
      <c r="C43" s="52" t="s">
        <v>103</v>
      </c>
      <c r="D43" s="52">
        <v>4</v>
      </c>
      <c r="E43" s="54">
        <v>290000</v>
      </c>
      <c r="F43" s="39">
        <f t="shared" si="1"/>
        <v>55100</v>
      </c>
      <c r="G43" s="39">
        <f t="shared" si="2"/>
        <v>345100</v>
      </c>
      <c r="H43" s="39">
        <f t="shared" si="0"/>
        <v>1380400</v>
      </c>
    </row>
    <row r="44" spans="1:8" ht="30" x14ac:dyDescent="0.25">
      <c r="A44" s="8">
        <v>43</v>
      </c>
      <c r="B44" s="8" t="s">
        <v>51</v>
      </c>
      <c r="C44" s="52" t="s">
        <v>104</v>
      </c>
      <c r="D44" s="52">
        <v>2</v>
      </c>
      <c r="E44" s="54">
        <v>1200000</v>
      </c>
      <c r="F44" s="39">
        <f t="shared" si="1"/>
        <v>228000</v>
      </c>
      <c r="G44" s="39">
        <f t="shared" si="2"/>
        <v>1428000</v>
      </c>
      <c r="H44" s="39">
        <f t="shared" si="0"/>
        <v>2856000</v>
      </c>
    </row>
    <row r="45" spans="1:8" ht="30" x14ac:dyDescent="0.25">
      <c r="A45" s="8">
        <v>44</v>
      </c>
      <c r="B45" s="8" t="s">
        <v>51</v>
      </c>
      <c r="C45" s="52" t="s">
        <v>105</v>
      </c>
      <c r="D45" s="52">
        <v>2</v>
      </c>
      <c r="E45" s="54">
        <v>890000</v>
      </c>
      <c r="F45" s="39">
        <f t="shared" si="1"/>
        <v>169100</v>
      </c>
      <c r="G45" s="39">
        <f t="shared" si="2"/>
        <v>1059100</v>
      </c>
      <c r="H45" s="39">
        <f t="shared" si="0"/>
        <v>2118200</v>
      </c>
    </row>
    <row r="46" spans="1:8" ht="30" x14ac:dyDescent="0.25">
      <c r="A46" s="8">
        <v>45</v>
      </c>
      <c r="B46" s="8" t="s">
        <v>51</v>
      </c>
      <c r="C46" s="52" t="s">
        <v>106</v>
      </c>
      <c r="D46" s="52">
        <v>2</v>
      </c>
      <c r="E46" s="54">
        <v>850000</v>
      </c>
      <c r="F46" s="39">
        <f t="shared" si="1"/>
        <v>161500</v>
      </c>
      <c r="G46" s="39">
        <f t="shared" si="2"/>
        <v>1011500</v>
      </c>
      <c r="H46" s="39">
        <f t="shared" si="0"/>
        <v>2023000</v>
      </c>
    </row>
    <row r="47" spans="1:8" ht="30" x14ac:dyDescent="0.25">
      <c r="A47" s="9">
        <v>46</v>
      </c>
      <c r="B47" s="8" t="s">
        <v>51</v>
      </c>
      <c r="C47" s="52" t="s">
        <v>107</v>
      </c>
      <c r="D47" s="52">
        <v>6</v>
      </c>
      <c r="E47" s="54">
        <v>500000</v>
      </c>
      <c r="F47" s="39">
        <f t="shared" si="1"/>
        <v>95000</v>
      </c>
      <c r="G47" s="39">
        <f t="shared" si="2"/>
        <v>595000</v>
      </c>
      <c r="H47" s="39">
        <f t="shared" si="0"/>
        <v>3570000</v>
      </c>
    </row>
    <row r="48" spans="1:8" ht="30" x14ac:dyDescent="0.25">
      <c r="A48" s="8">
        <v>47</v>
      </c>
      <c r="B48" s="8" t="s">
        <v>51</v>
      </c>
      <c r="C48" s="52" t="s">
        <v>108</v>
      </c>
      <c r="D48" s="52">
        <v>2</v>
      </c>
      <c r="E48" s="54">
        <v>6200000</v>
      </c>
      <c r="F48" s="39">
        <f t="shared" si="1"/>
        <v>1178000</v>
      </c>
      <c r="G48" s="39">
        <f t="shared" si="2"/>
        <v>7378000</v>
      </c>
      <c r="H48" s="39">
        <f t="shared" si="0"/>
        <v>14756000</v>
      </c>
    </row>
    <row r="49" spans="1:8" ht="30" x14ac:dyDescent="0.25">
      <c r="A49" s="8">
        <v>48</v>
      </c>
      <c r="B49" s="8" t="s">
        <v>51</v>
      </c>
      <c r="C49" s="52" t="s">
        <v>109</v>
      </c>
      <c r="D49" s="52">
        <v>2</v>
      </c>
      <c r="E49" s="54">
        <v>5950100</v>
      </c>
      <c r="F49" s="39">
        <f t="shared" si="1"/>
        <v>1130519</v>
      </c>
      <c r="G49" s="39">
        <f t="shared" si="2"/>
        <v>7080619</v>
      </c>
      <c r="H49" s="39">
        <f t="shared" si="0"/>
        <v>14161238</v>
      </c>
    </row>
    <row r="50" spans="1:8" ht="30" x14ac:dyDescent="0.25">
      <c r="A50" s="9">
        <v>49</v>
      </c>
      <c r="B50" s="8" t="s">
        <v>51</v>
      </c>
      <c r="C50" s="52" t="s">
        <v>110</v>
      </c>
      <c r="D50" s="52">
        <v>2</v>
      </c>
      <c r="E50" s="54">
        <v>490000</v>
      </c>
      <c r="F50" s="39">
        <f t="shared" si="1"/>
        <v>93100</v>
      </c>
      <c r="G50" s="39">
        <f t="shared" si="2"/>
        <v>583100</v>
      </c>
      <c r="H50" s="39">
        <f t="shared" si="0"/>
        <v>1166200</v>
      </c>
    </row>
    <row r="51" spans="1:8" x14ac:dyDescent="0.25">
      <c r="E51" s="60" t="s">
        <v>50</v>
      </c>
      <c r="F51" s="60"/>
      <c r="G51" s="60"/>
      <c r="H51" s="38">
        <f>+SUM(H2:H50)</f>
        <v>102506838</v>
      </c>
    </row>
  </sheetData>
  <mergeCells count="1">
    <mergeCell ref="E51:G5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10428-1428-460B-8E44-C01AB378F6C6}">
  <dimension ref="A1:H51"/>
  <sheetViews>
    <sheetView topLeftCell="A29" workbookViewId="0">
      <selection activeCell="D48" sqref="D48"/>
    </sheetView>
  </sheetViews>
  <sheetFormatPr baseColWidth="10" defaultRowHeight="15" x14ac:dyDescent="0.25"/>
  <cols>
    <col min="2" max="2" width="22.7109375" customWidth="1"/>
    <col min="3" max="3" width="60.7109375" customWidth="1"/>
    <col min="4" max="4" width="21.5703125" customWidth="1"/>
    <col min="5" max="5" width="17.28515625" customWidth="1"/>
    <col min="6" max="6" width="14.7109375" customWidth="1"/>
    <col min="7" max="7" width="14.140625" bestFit="1" customWidth="1"/>
    <col min="8" max="8" width="15.28515625" bestFit="1" customWidth="1"/>
  </cols>
  <sheetData>
    <row r="1" spans="1:8" ht="33.75" x14ac:dyDescent="0.25">
      <c r="A1" s="17" t="s">
        <v>15</v>
      </c>
      <c r="B1" s="17" t="s">
        <v>22</v>
      </c>
      <c r="C1" s="17" t="s">
        <v>16</v>
      </c>
      <c r="D1" s="37" t="s">
        <v>4</v>
      </c>
      <c r="E1" s="17" t="s">
        <v>24</v>
      </c>
      <c r="F1" s="17" t="s">
        <v>25</v>
      </c>
      <c r="G1" s="17" t="s">
        <v>26</v>
      </c>
      <c r="H1" s="17" t="s">
        <v>28</v>
      </c>
    </row>
    <row r="2" spans="1:8" ht="30" x14ac:dyDescent="0.25">
      <c r="A2" s="8">
        <v>1</v>
      </c>
      <c r="B2" s="8" t="s">
        <v>51</v>
      </c>
      <c r="C2" s="52" t="s">
        <v>63</v>
      </c>
      <c r="D2" s="52">
        <v>3</v>
      </c>
      <c r="E2" s="55">
        <f>265000*1.2</f>
        <v>318000</v>
      </c>
      <c r="F2" s="39">
        <f>+E2*19%</f>
        <v>60420</v>
      </c>
      <c r="G2" s="39">
        <f>+E2+F2</f>
        <v>378420</v>
      </c>
      <c r="H2" s="39">
        <f>+D2*G2</f>
        <v>1135260</v>
      </c>
    </row>
    <row r="3" spans="1:8" ht="30" x14ac:dyDescent="0.25">
      <c r="A3" s="8">
        <v>2</v>
      </c>
      <c r="B3" s="8" t="s">
        <v>51</v>
      </c>
      <c r="C3" s="52" t="s">
        <v>63</v>
      </c>
      <c r="D3" s="52">
        <v>3</v>
      </c>
      <c r="E3" s="55">
        <f>265000*1.2</f>
        <v>318000</v>
      </c>
      <c r="F3" s="39">
        <f>+E3*19%</f>
        <v>60420</v>
      </c>
      <c r="G3" s="39">
        <f>+E3+F3</f>
        <v>378420</v>
      </c>
      <c r="H3" s="39">
        <f t="shared" ref="H3:H50" si="0">+D3*G3</f>
        <v>1135260</v>
      </c>
    </row>
    <row r="4" spans="1:8" ht="30" x14ac:dyDescent="0.25">
      <c r="A4" s="9">
        <v>3</v>
      </c>
      <c r="B4" s="8" t="s">
        <v>51</v>
      </c>
      <c r="C4" s="52" t="s">
        <v>64</v>
      </c>
      <c r="D4" s="52">
        <v>3</v>
      </c>
      <c r="E4" s="55">
        <f>240000*1.2</f>
        <v>288000</v>
      </c>
      <c r="F4" s="39">
        <f>+E4*19%</f>
        <v>54720</v>
      </c>
      <c r="G4" s="39">
        <f>+E4+F4</f>
        <v>342720</v>
      </c>
      <c r="H4" s="39">
        <f t="shared" si="0"/>
        <v>1028160</v>
      </c>
    </row>
    <row r="5" spans="1:8" ht="30" x14ac:dyDescent="0.25">
      <c r="A5" s="8">
        <v>4</v>
      </c>
      <c r="B5" s="8" t="s">
        <v>51</v>
      </c>
      <c r="C5" s="52" t="s">
        <v>65</v>
      </c>
      <c r="D5" s="52">
        <v>3</v>
      </c>
      <c r="E5" s="55">
        <f>265000*1.2</f>
        <v>318000</v>
      </c>
      <c r="F5" s="39">
        <f t="shared" ref="F5:F50" si="1">+E5*19%</f>
        <v>60420</v>
      </c>
      <c r="G5" s="39">
        <f t="shared" ref="G5:G50" si="2">+E5+F5</f>
        <v>378420</v>
      </c>
      <c r="H5" s="39">
        <f t="shared" si="0"/>
        <v>1135260</v>
      </c>
    </row>
    <row r="6" spans="1:8" ht="45" x14ac:dyDescent="0.25">
      <c r="A6" s="8">
        <v>5</v>
      </c>
      <c r="B6" s="8" t="s">
        <v>51</v>
      </c>
      <c r="C6" s="52" t="s">
        <v>66</v>
      </c>
      <c r="D6" s="52">
        <v>3</v>
      </c>
      <c r="E6" s="55">
        <f>265000*1.2</f>
        <v>318000</v>
      </c>
      <c r="F6" s="39">
        <f t="shared" si="1"/>
        <v>60420</v>
      </c>
      <c r="G6" s="39">
        <f t="shared" si="2"/>
        <v>378420</v>
      </c>
      <c r="H6" s="39">
        <f t="shared" si="0"/>
        <v>1135260</v>
      </c>
    </row>
    <row r="7" spans="1:8" ht="45" x14ac:dyDescent="0.25">
      <c r="A7" s="9">
        <v>6</v>
      </c>
      <c r="B7" s="8" t="s">
        <v>51</v>
      </c>
      <c r="C7" s="52" t="s">
        <v>67</v>
      </c>
      <c r="D7" s="52">
        <v>3</v>
      </c>
      <c r="E7" s="55">
        <f>265000*1.2</f>
        <v>318000</v>
      </c>
      <c r="F7" s="39">
        <f t="shared" si="1"/>
        <v>60420</v>
      </c>
      <c r="G7" s="39">
        <f t="shared" si="2"/>
        <v>378420</v>
      </c>
      <c r="H7" s="39">
        <f t="shared" si="0"/>
        <v>1135260</v>
      </c>
    </row>
    <row r="8" spans="1:8" ht="45" x14ac:dyDescent="0.25">
      <c r="A8" s="8">
        <v>7</v>
      </c>
      <c r="B8" s="8" t="s">
        <v>51</v>
      </c>
      <c r="C8" s="53" t="s">
        <v>68</v>
      </c>
      <c r="D8" s="52">
        <v>3</v>
      </c>
      <c r="E8" s="55">
        <f>265000*1.2</f>
        <v>318000</v>
      </c>
      <c r="F8" s="39">
        <f t="shared" si="1"/>
        <v>60420</v>
      </c>
      <c r="G8" s="39">
        <f t="shared" si="2"/>
        <v>378420</v>
      </c>
      <c r="H8" s="39">
        <f t="shared" si="0"/>
        <v>1135260</v>
      </c>
    </row>
    <row r="9" spans="1:8" ht="45" x14ac:dyDescent="0.25">
      <c r="A9" s="8">
        <v>8</v>
      </c>
      <c r="B9" s="8" t="s">
        <v>51</v>
      </c>
      <c r="C9" s="53" t="s">
        <v>69</v>
      </c>
      <c r="D9" s="52">
        <v>3</v>
      </c>
      <c r="E9" s="55">
        <f>240000*1.2</f>
        <v>288000</v>
      </c>
      <c r="F9" s="39">
        <f t="shared" si="1"/>
        <v>54720</v>
      </c>
      <c r="G9" s="39">
        <f t="shared" si="2"/>
        <v>342720</v>
      </c>
      <c r="H9" s="39">
        <f t="shared" si="0"/>
        <v>1028160</v>
      </c>
    </row>
    <row r="10" spans="1:8" ht="30" x14ac:dyDescent="0.25">
      <c r="A10" s="9">
        <v>9</v>
      </c>
      <c r="B10" s="8" t="s">
        <v>51</v>
      </c>
      <c r="C10" s="53" t="s">
        <v>70</v>
      </c>
      <c r="D10" s="52">
        <v>3</v>
      </c>
      <c r="E10" s="55">
        <f>240000*1.2</f>
        <v>288000</v>
      </c>
      <c r="F10" s="39">
        <f t="shared" si="1"/>
        <v>54720</v>
      </c>
      <c r="G10" s="39">
        <f t="shared" si="2"/>
        <v>342720</v>
      </c>
      <c r="H10" s="39">
        <f t="shared" si="0"/>
        <v>1028160</v>
      </c>
    </row>
    <row r="11" spans="1:8" ht="60" x14ac:dyDescent="0.25">
      <c r="A11" s="8">
        <v>10</v>
      </c>
      <c r="B11" s="8" t="s">
        <v>51</v>
      </c>
      <c r="C11" s="53" t="s">
        <v>71</v>
      </c>
      <c r="D11" s="52">
        <v>3</v>
      </c>
      <c r="E11" s="55">
        <f>265000*1.2</f>
        <v>318000</v>
      </c>
      <c r="F11" s="39">
        <f t="shared" si="1"/>
        <v>60420</v>
      </c>
      <c r="G11" s="39">
        <f t="shared" si="2"/>
        <v>378420</v>
      </c>
      <c r="H11" s="39">
        <f t="shared" si="0"/>
        <v>1135260</v>
      </c>
    </row>
    <row r="12" spans="1:8" ht="60" x14ac:dyDescent="0.25">
      <c r="A12" s="8">
        <v>11</v>
      </c>
      <c r="B12" s="8" t="s">
        <v>51</v>
      </c>
      <c r="C12" s="52" t="s">
        <v>72</v>
      </c>
      <c r="D12" s="52">
        <v>3</v>
      </c>
      <c r="E12" s="55">
        <f>240000*1.2</f>
        <v>288000</v>
      </c>
      <c r="F12" s="39">
        <f t="shared" si="1"/>
        <v>54720</v>
      </c>
      <c r="G12" s="39">
        <f t="shared" si="2"/>
        <v>342720</v>
      </c>
      <c r="H12" s="39">
        <f t="shared" si="0"/>
        <v>1028160</v>
      </c>
    </row>
    <row r="13" spans="1:8" ht="30" x14ac:dyDescent="0.25">
      <c r="A13" s="9">
        <v>12</v>
      </c>
      <c r="B13" s="8" t="s">
        <v>51</v>
      </c>
      <c r="C13" s="52" t="s">
        <v>73</v>
      </c>
      <c r="D13" s="52">
        <v>7</v>
      </c>
      <c r="E13" s="55">
        <f>85000*1.2</f>
        <v>102000</v>
      </c>
      <c r="F13" s="39">
        <f t="shared" si="1"/>
        <v>19380</v>
      </c>
      <c r="G13" s="39">
        <f t="shared" si="2"/>
        <v>121380</v>
      </c>
      <c r="H13" s="39">
        <f t="shared" si="0"/>
        <v>849660</v>
      </c>
    </row>
    <row r="14" spans="1:8" ht="45" x14ac:dyDescent="0.25">
      <c r="A14" s="8">
        <v>13</v>
      </c>
      <c r="B14" s="8" t="s">
        <v>51</v>
      </c>
      <c r="C14" s="52" t="s">
        <v>74</v>
      </c>
      <c r="D14" s="52">
        <v>1</v>
      </c>
      <c r="E14" s="55">
        <f>160000*1.2</f>
        <v>192000</v>
      </c>
      <c r="F14" s="39">
        <f t="shared" si="1"/>
        <v>36480</v>
      </c>
      <c r="G14" s="39">
        <f t="shared" si="2"/>
        <v>228480</v>
      </c>
      <c r="H14" s="39">
        <f t="shared" si="0"/>
        <v>228480</v>
      </c>
    </row>
    <row r="15" spans="1:8" ht="45" x14ac:dyDescent="0.25">
      <c r="A15" s="8">
        <v>14</v>
      </c>
      <c r="B15" s="8" t="s">
        <v>51</v>
      </c>
      <c r="C15" s="52" t="s">
        <v>75</v>
      </c>
      <c r="D15" s="52">
        <v>1</v>
      </c>
      <c r="E15" s="55">
        <f>160000*1.2</f>
        <v>192000</v>
      </c>
      <c r="F15" s="39">
        <f t="shared" si="1"/>
        <v>36480</v>
      </c>
      <c r="G15" s="39">
        <f t="shared" si="2"/>
        <v>228480</v>
      </c>
      <c r="H15" s="39">
        <f t="shared" si="0"/>
        <v>228480</v>
      </c>
    </row>
    <row r="16" spans="1:8" ht="45" x14ac:dyDescent="0.25">
      <c r="A16" s="9">
        <v>15</v>
      </c>
      <c r="B16" s="8" t="s">
        <v>51</v>
      </c>
      <c r="C16" s="52" t="s">
        <v>76</v>
      </c>
      <c r="D16" s="52">
        <v>1</v>
      </c>
      <c r="E16" s="55">
        <f>160000*1.2</f>
        <v>192000</v>
      </c>
      <c r="F16" s="39">
        <f t="shared" si="1"/>
        <v>36480</v>
      </c>
      <c r="G16" s="39">
        <f t="shared" si="2"/>
        <v>228480</v>
      </c>
      <c r="H16" s="39">
        <f t="shared" si="0"/>
        <v>228480</v>
      </c>
    </row>
    <row r="17" spans="1:8" ht="60" x14ac:dyDescent="0.25">
      <c r="A17" s="8">
        <v>16</v>
      </c>
      <c r="B17" s="8" t="s">
        <v>51</v>
      </c>
      <c r="C17" s="52" t="s">
        <v>77</v>
      </c>
      <c r="D17" s="52">
        <v>1</v>
      </c>
      <c r="E17" s="55">
        <f>160000*1.2</f>
        <v>192000</v>
      </c>
      <c r="F17" s="39">
        <f t="shared" si="1"/>
        <v>36480</v>
      </c>
      <c r="G17" s="39">
        <f t="shared" si="2"/>
        <v>228480</v>
      </c>
      <c r="H17" s="39">
        <f t="shared" si="0"/>
        <v>228480</v>
      </c>
    </row>
    <row r="18" spans="1:8" ht="45" x14ac:dyDescent="0.25">
      <c r="A18" s="8">
        <v>17</v>
      </c>
      <c r="B18" s="8" t="s">
        <v>51</v>
      </c>
      <c r="C18" s="52" t="s">
        <v>78</v>
      </c>
      <c r="D18" s="52">
        <v>1</v>
      </c>
      <c r="E18" s="55">
        <f>366000*1.2</f>
        <v>439200</v>
      </c>
      <c r="F18" s="39">
        <f t="shared" si="1"/>
        <v>83448</v>
      </c>
      <c r="G18" s="39">
        <f t="shared" si="2"/>
        <v>522648</v>
      </c>
      <c r="H18" s="39">
        <f t="shared" si="0"/>
        <v>522648</v>
      </c>
    </row>
    <row r="19" spans="1:8" ht="60" x14ac:dyDescent="0.25">
      <c r="A19" s="9">
        <v>18</v>
      </c>
      <c r="B19" s="8" t="s">
        <v>51</v>
      </c>
      <c r="C19" s="52" t="s">
        <v>79</v>
      </c>
      <c r="D19" s="52">
        <v>1</v>
      </c>
      <c r="E19" s="55">
        <f>160000*1.2</f>
        <v>192000</v>
      </c>
      <c r="F19" s="39">
        <f t="shared" si="1"/>
        <v>36480</v>
      </c>
      <c r="G19" s="39">
        <f t="shared" si="2"/>
        <v>228480</v>
      </c>
      <c r="H19" s="39">
        <f t="shared" si="0"/>
        <v>228480</v>
      </c>
    </row>
    <row r="20" spans="1:8" ht="45" x14ac:dyDescent="0.25">
      <c r="A20" s="8">
        <v>19</v>
      </c>
      <c r="B20" s="8" t="s">
        <v>52</v>
      </c>
      <c r="C20" s="52" t="s">
        <v>80</v>
      </c>
      <c r="D20" s="52">
        <v>1</v>
      </c>
      <c r="E20" s="55">
        <f>420000*1.2</f>
        <v>504000</v>
      </c>
      <c r="F20" s="39">
        <f t="shared" si="1"/>
        <v>95760</v>
      </c>
      <c r="G20" s="39">
        <f t="shared" si="2"/>
        <v>599760</v>
      </c>
      <c r="H20" s="39">
        <f t="shared" si="0"/>
        <v>599760</v>
      </c>
    </row>
    <row r="21" spans="1:8" ht="45" x14ac:dyDescent="0.25">
      <c r="A21" s="8">
        <v>20</v>
      </c>
      <c r="B21" s="8" t="s">
        <v>52</v>
      </c>
      <c r="C21" s="52" t="s">
        <v>81</v>
      </c>
      <c r="D21" s="52">
        <v>1</v>
      </c>
      <c r="E21" s="55">
        <f>84000*1.2</f>
        <v>100800</v>
      </c>
      <c r="F21" s="39">
        <f t="shared" si="1"/>
        <v>19152</v>
      </c>
      <c r="G21" s="39">
        <f t="shared" si="2"/>
        <v>119952</v>
      </c>
      <c r="H21" s="39">
        <f t="shared" si="0"/>
        <v>119952</v>
      </c>
    </row>
    <row r="22" spans="1:8" ht="45" x14ac:dyDescent="0.25">
      <c r="A22" s="8">
        <v>21</v>
      </c>
      <c r="B22" s="8" t="s">
        <v>52</v>
      </c>
      <c r="C22" s="52" t="s">
        <v>82</v>
      </c>
      <c r="D22" s="52">
        <v>1</v>
      </c>
      <c r="E22" s="55">
        <f>433000*1.2</f>
        <v>519600</v>
      </c>
      <c r="F22" s="39">
        <f t="shared" si="1"/>
        <v>98724</v>
      </c>
      <c r="G22" s="39">
        <f t="shared" si="2"/>
        <v>618324</v>
      </c>
      <c r="H22" s="39">
        <f t="shared" si="0"/>
        <v>618324</v>
      </c>
    </row>
    <row r="23" spans="1:8" ht="45" x14ac:dyDescent="0.25">
      <c r="A23" s="9">
        <v>22</v>
      </c>
      <c r="B23" s="8" t="s">
        <v>52</v>
      </c>
      <c r="C23" s="52" t="s">
        <v>83</v>
      </c>
      <c r="D23" s="52">
        <v>1</v>
      </c>
      <c r="E23" s="55">
        <f>853000*1.2</f>
        <v>1023600</v>
      </c>
      <c r="F23" s="39">
        <f t="shared" si="1"/>
        <v>194484</v>
      </c>
      <c r="G23" s="39">
        <f t="shared" si="2"/>
        <v>1218084</v>
      </c>
      <c r="H23" s="39">
        <f t="shared" si="0"/>
        <v>1218084</v>
      </c>
    </row>
    <row r="24" spans="1:8" ht="60" x14ac:dyDescent="0.25">
      <c r="A24" s="8">
        <v>23</v>
      </c>
      <c r="B24" s="8" t="s">
        <v>52</v>
      </c>
      <c r="C24" s="52" t="s">
        <v>84</v>
      </c>
      <c r="D24" s="52">
        <v>1</v>
      </c>
      <c r="E24" s="55">
        <f>875000*1.2</f>
        <v>1050000</v>
      </c>
      <c r="F24" s="39">
        <f t="shared" si="1"/>
        <v>199500</v>
      </c>
      <c r="G24" s="39">
        <f t="shared" si="2"/>
        <v>1249500</v>
      </c>
      <c r="H24" s="39">
        <f t="shared" si="0"/>
        <v>1249500</v>
      </c>
    </row>
    <row r="25" spans="1:8" ht="45" x14ac:dyDescent="0.25">
      <c r="A25" s="8">
        <v>24</v>
      </c>
      <c r="B25" s="8" t="s">
        <v>52</v>
      </c>
      <c r="C25" s="52" t="s">
        <v>85</v>
      </c>
      <c r="D25" s="52">
        <v>1</v>
      </c>
      <c r="E25" s="55">
        <f>190000*1.2</f>
        <v>228000</v>
      </c>
      <c r="F25" s="39">
        <f t="shared" si="1"/>
        <v>43320</v>
      </c>
      <c r="G25" s="39">
        <f t="shared" si="2"/>
        <v>271320</v>
      </c>
      <c r="H25" s="39">
        <f t="shared" si="0"/>
        <v>271320</v>
      </c>
    </row>
    <row r="26" spans="1:8" ht="45" x14ac:dyDescent="0.25">
      <c r="A26" s="8">
        <v>25</v>
      </c>
      <c r="B26" s="8" t="s">
        <v>52</v>
      </c>
      <c r="C26" s="52" t="s">
        <v>86</v>
      </c>
      <c r="D26" s="52">
        <v>1</v>
      </c>
      <c r="E26" s="55">
        <f>285000*1.2</f>
        <v>342000</v>
      </c>
      <c r="F26" s="39">
        <f t="shared" si="1"/>
        <v>64980</v>
      </c>
      <c r="G26" s="39">
        <f t="shared" si="2"/>
        <v>406980</v>
      </c>
      <c r="H26" s="39">
        <f t="shared" si="0"/>
        <v>406980</v>
      </c>
    </row>
    <row r="27" spans="1:8" ht="60" x14ac:dyDescent="0.25">
      <c r="A27" s="9">
        <v>26</v>
      </c>
      <c r="B27" s="8" t="s">
        <v>52</v>
      </c>
      <c r="C27" s="52" t="s">
        <v>87</v>
      </c>
      <c r="D27" s="52">
        <v>5</v>
      </c>
      <c r="E27" s="55">
        <f>75000*1.2</f>
        <v>90000</v>
      </c>
      <c r="F27" s="39">
        <f t="shared" si="1"/>
        <v>17100</v>
      </c>
      <c r="G27" s="39">
        <f t="shared" si="2"/>
        <v>107100</v>
      </c>
      <c r="H27" s="39">
        <f t="shared" si="0"/>
        <v>535500</v>
      </c>
    </row>
    <row r="28" spans="1:8" ht="45" x14ac:dyDescent="0.25">
      <c r="A28" s="8">
        <v>27</v>
      </c>
      <c r="B28" s="8" t="s">
        <v>52</v>
      </c>
      <c r="C28" s="52" t="s">
        <v>88</v>
      </c>
      <c r="D28" s="52">
        <v>1</v>
      </c>
      <c r="E28" s="55">
        <f>3600000*1.2</f>
        <v>4320000</v>
      </c>
      <c r="F28" s="39">
        <f t="shared" si="1"/>
        <v>820800</v>
      </c>
      <c r="G28" s="39">
        <f t="shared" si="2"/>
        <v>5140800</v>
      </c>
      <c r="H28" s="39">
        <f t="shared" si="0"/>
        <v>5140800</v>
      </c>
    </row>
    <row r="29" spans="1:8" ht="120" x14ac:dyDescent="0.25">
      <c r="A29" s="8">
        <v>28</v>
      </c>
      <c r="B29" s="8" t="s">
        <v>52</v>
      </c>
      <c r="C29" s="52" t="s">
        <v>89</v>
      </c>
      <c r="D29" s="52">
        <v>1</v>
      </c>
      <c r="E29" s="55">
        <f>4746000*1.2</f>
        <v>5695200</v>
      </c>
      <c r="F29" s="39">
        <f t="shared" si="1"/>
        <v>1082088</v>
      </c>
      <c r="G29" s="39">
        <f t="shared" si="2"/>
        <v>6777288</v>
      </c>
      <c r="H29" s="39">
        <f t="shared" si="0"/>
        <v>6777288</v>
      </c>
    </row>
    <row r="30" spans="1:8" ht="135" x14ac:dyDescent="0.25">
      <c r="A30" s="8">
        <v>29</v>
      </c>
      <c r="B30" s="8" t="s">
        <v>52</v>
      </c>
      <c r="C30" s="52" t="s">
        <v>90</v>
      </c>
      <c r="D30" s="52">
        <v>1</v>
      </c>
      <c r="E30" s="55">
        <f>4500000*1.2</f>
        <v>5400000</v>
      </c>
      <c r="F30" s="39">
        <f t="shared" si="1"/>
        <v>1026000</v>
      </c>
      <c r="G30" s="39">
        <f t="shared" si="2"/>
        <v>6426000</v>
      </c>
      <c r="H30" s="39">
        <f t="shared" si="0"/>
        <v>6426000</v>
      </c>
    </row>
    <row r="31" spans="1:8" ht="60" x14ac:dyDescent="0.25">
      <c r="A31" s="9">
        <v>30</v>
      </c>
      <c r="B31" s="8" t="s">
        <v>51</v>
      </c>
      <c r="C31" s="52" t="s">
        <v>91</v>
      </c>
      <c r="D31" s="52">
        <v>1</v>
      </c>
      <c r="E31" s="55">
        <f>2400000*1.2</f>
        <v>2880000</v>
      </c>
      <c r="F31" s="39">
        <f t="shared" si="1"/>
        <v>547200</v>
      </c>
      <c r="G31" s="39">
        <f t="shared" si="2"/>
        <v>3427200</v>
      </c>
      <c r="H31" s="39">
        <f t="shared" si="0"/>
        <v>3427200</v>
      </c>
    </row>
    <row r="32" spans="1:8" ht="90" x14ac:dyDescent="0.25">
      <c r="A32" s="8">
        <v>31</v>
      </c>
      <c r="B32" s="8" t="s">
        <v>51</v>
      </c>
      <c r="C32" s="52" t="s">
        <v>92</v>
      </c>
      <c r="D32" s="52">
        <v>2</v>
      </c>
      <c r="E32" s="55">
        <f>800000*1.2</f>
        <v>960000</v>
      </c>
      <c r="F32" s="39">
        <f t="shared" si="1"/>
        <v>182400</v>
      </c>
      <c r="G32" s="39">
        <f t="shared" si="2"/>
        <v>1142400</v>
      </c>
      <c r="H32" s="39">
        <f t="shared" si="0"/>
        <v>2284800</v>
      </c>
    </row>
    <row r="33" spans="1:8" ht="90" x14ac:dyDescent="0.25">
      <c r="A33" s="8">
        <v>32</v>
      </c>
      <c r="B33" s="8" t="s">
        <v>51</v>
      </c>
      <c r="C33" s="52" t="s">
        <v>93</v>
      </c>
      <c r="D33" s="52">
        <v>3</v>
      </c>
      <c r="E33" s="55">
        <f>800000*1.2</f>
        <v>960000</v>
      </c>
      <c r="F33" s="39">
        <f t="shared" si="1"/>
        <v>182400</v>
      </c>
      <c r="G33" s="39">
        <f t="shared" si="2"/>
        <v>1142400</v>
      </c>
      <c r="H33" s="39">
        <f t="shared" si="0"/>
        <v>3427200</v>
      </c>
    </row>
    <row r="34" spans="1:8" ht="45" x14ac:dyDescent="0.25">
      <c r="A34" s="8">
        <v>33</v>
      </c>
      <c r="B34" s="8" t="s">
        <v>52</v>
      </c>
      <c r="C34" s="52" t="s">
        <v>94</v>
      </c>
      <c r="D34" s="52">
        <v>3</v>
      </c>
      <c r="E34" s="55">
        <f>157000*1.2</f>
        <v>188400</v>
      </c>
      <c r="F34" s="39">
        <f t="shared" si="1"/>
        <v>35796</v>
      </c>
      <c r="G34" s="39">
        <f t="shared" si="2"/>
        <v>224196</v>
      </c>
      <c r="H34" s="39">
        <f t="shared" si="0"/>
        <v>672588</v>
      </c>
    </row>
    <row r="35" spans="1:8" ht="45" x14ac:dyDescent="0.25">
      <c r="A35" s="9">
        <v>34</v>
      </c>
      <c r="B35" s="8" t="s">
        <v>52</v>
      </c>
      <c r="C35" s="52" t="s">
        <v>95</v>
      </c>
      <c r="D35" s="52">
        <v>1</v>
      </c>
      <c r="E35" s="55">
        <f>84000*1.2</f>
        <v>100800</v>
      </c>
      <c r="F35" s="39">
        <f t="shared" si="1"/>
        <v>19152</v>
      </c>
      <c r="G35" s="39">
        <f t="shared" si="2"/>
        <v>119952</v>
      </c>
      <c r="H35" s="39">
        <f t="shared" si="0"/>
        <v>119952</v>
      </c>
    </row>
    <row r="36" spans="1:8" ht="105" x14ac:dyDescent="0.25">
      <c r="A36" s="8">
        <v>35</v>
      </c>
      <c r="B36" s="8" t="s">
        <v>52</v>
      </c>
      <c r="C36" s="52" t="s">
        <v>96</v>
      </c>
      <c r="D36" s="52">
        <v>1</v>
      </c>
      <c r="E36" s="55">
        <f>4155000*1.2</f>
        <v>4986000</v>
      </c>
      <c r="F36" s="39">
        <f t="shared" si="1"/>
        <v>947340</v>
      </c>
      <c r="G36" s="39">
        <f t="shared" si="2"/>
        <v>5933340</v>
      </c>
      <c r="H36" s="39">
        <f t="shared" si="0"/>
        <v>5933340</v>
      </c>
    </row>
    <row r="37" spans="1:8" ht="30" x14ac:dyDescent="0.25">
      <c r="A37" s="8">
        <v>36</v>
      </c>
      <c r="B37" s="8" t="s">
        <v>51</v>
      </c>
      <c r="C37" s="52" t="s">
        <v>97</v>
      </c>
      <c r="D37" s="52">
        <v>2</v>
      </c>
      <c r="E37" s="55">
        <v>655000</v>
      </c>
      <c r="F37" s="39">
        <f t="shared" si="1"/>
        <v>124450</v>
      </c>
      <c r="G37" s="39">
        <f t="shared" si="2"/>
        <v>779450</v>
      </c>
      <c r="H37" s="39">
        <f t="shared" si="0"/>
        <v>1558900</v>
      </c>
    </row>
    <row r="38" spans="1:8" ht="30" x14ac:dyDescent="0.25">
      <c r="A38" s="8">
        <v>37</v>
      </c>
      <c r="B38" s="8" t="s">
        <v>51</v>
      </c>
      <c r="C38" s="52" t="s">
        <v>98</v>
      </c>
      <c r="D38" s="52">
        <v>2</v>
      </c>
      <c r="E38" s="55">
        <f>380000*1.2</f>
        <v>456000</v>
      </c>
      <c r="F38" s="39">
        <f t="shared" si="1"/>
        <v>86640</v>
      </c>
      <c r="G38" s="39">
        <f t="shared" si="2"/>
        <v>542640</v>
      </c>
      <c r="H38" s="39">
        <f t="shared" si="0"/>
        <v>1085280</v>
      </c>
    </row>
    <row r="39" spans="1:8" ht="30" x14ac:dyDescent="0.25">
      <c r="A39" s="9">
        <v>38</v>
      </c>
      <c r="B39" s="8" t="s">
        <v>51</v>
      </c>
      <c r="C39" s="52" t="s">
        <v>99</v>
      </c>
      <c r="D39" s="52">
        <v>2</v>
      </c>
      <c r="E39" s="55">
        <f>380000*1.2</f>
        <v>456000</v>
      </c>
      <c r="F39" s="39">
        <f t="shared" si="1"/>
        <v>86640</v>
      </c>
      <c r="G39" s="39">
        <f t="shared" si="2"/>
        <v>542640</v>
      </c>
      <c r="H39" s="39">
        <f t="shared" si="0"/>
        <v>1085280</v>
      </c>
    </row>
    <row r="40" spans="1:8" ht="30" x14ac:dyDescent="0.25">
      <c r="A40" s="8">
        <v>39</v>
      </c>
      <c r="B40" s="8" t="s">
        <v>51</v>
      </c>
      <c r="C40" s="52" t="s">
        <v>100</v>
      </c>
      <c r="D40" s="52">
        <v>2</v>
      </c>
      <c r="E40" s="55">
        <v>325000</v>
      </c>
      <c r="F40" s="39">
        <f t="shared" si="1"/>
        <v>61750</v>
      </c>
      <c r="G40" s="39">
        <f t="shared" si="2"/>
        <v>386750</v>
      </c>
      <c r="H40" s="39">
        <f t="shared" si="0"/>
        <v>773500</v>
      </c>
    </row>
    <row r="41" spans="1:8" ht="30" x14ac:dyDescent="0.25">
      <c r="A41" s="8">
        <v>40</v>
      </c>
      <c r="B41" s="8" t="s">
        <v>51</v>
      </c>
      <c r="C41" s="52" t="s">
        <v>101</v>
      </c>
      <c r="D41" s="52">
        <v>6</v>
      </c>
      <c r="E41" s="55">
        <v>430000</v>
      </c>
      <c r="F41" s="39">
        <f t="shared" si="1"/>
        <v>81700</v>
      </c>
      <c r="G41" s="39">
        <f t="shared" si="2"/>
        <v>511700</v>
      </c>
      <c r="H41" s="39">
        <f t="shared" si="0"/>
        <v>3070200</v>
      </c>
    </row>
    <row r="42" spans="1:8" ht="30" x14ac:dyDescent="0.25">
      <c r="A42" s="8">
        <v>41</v>
      </c>
      <c r="B42" s="8" t="s">
        <v>51</v>
      </c>
      <c r="C42" s="52" t="s">
        <v>102</v>
      </c>
      <c r="D42" s="52">
        <v>2</v>
      </c>
      <c r="E42" s="55">
        <f>335000*1.2</f>
        <v>402000</v>
      </c>
      <c r="F42" s="39">
        <f t="shared" si="1"/>
        <v>76380</v>
      </c>
      <c r="G42" s="39">
        <f t="shared" si="2"/>
        <v>478380</v>
      </c>
      <c r="H42" s="39">
        <f t="shared" si="0"/>
        <v>956760</v>
      </c>
    </row>
    <row r="43" spans="1:8" ht="30" x14ac:dyDescent="0.25">
      <c r="A43" s="9">
        <v>42</v>
      </c>
      <c r="B43" s="8" t="s">
        <v>51</v>
      </c>
      <c r="C43" s="52" t="s">
        <v>103</v>
      </c>
      <c r="D43" s="52">
        <v>4</v>
      </c>
      <c r="E43" s="55">
        <v>325000</v>
      </c>
      <c r="F43" s="39">
        <f t="shared" si="1"/>
        <v>61750</v>
      </c>
      <c r="G43" s="39">
        <f t="shared" si="2"/>
        <v>386750</v>
      </c>
      <c r="H43" s="39">
        <f t="shared" si="0"/>
        <v>1547000</v>
      </c>
    </row>
    <row r="44" spans="1:8" ht="30" x14ac:dyDescent="0.25">
      <c r="A44" s="8">
        <v>43</v>
      </c>
      <c r="B44" s="8" t="s">
        <v>51</v>
      </c>
      <c r="C44" s="52" t="s">
        <v>104</v>
      </c>
      <c r="D44" s="52">
        <v>2</v>
      </c>
      <c r="E44" s="55">
        <f>270000*2.1</f>
        <v>567000</v>
      </c>
      <c r="F44" s="39">
        <f t="shared" si="1"/>
        <v>107730</v>
      </c>
      <c r="G44" s="39">
        <f t="shared" si="2"/>
        <v>674730</v>
      </c>
      <c r="H44" s="39">
        <f t="shared" si="0"/>
        <v>1349460</v>
      </c>
    </row>
    <row r="45" spans="1:8" ht="30" x14ac:dyDescent="0.25">
      <c r="A45" s="8">
        <v>44</v>
      </c>
      <c r="B45" s="8" t="s">
        <v>51</v>
      </c>
      <c r="C45" s="52" t="s">
        <v>105</v>
      </c>
      <c r="D45" s="52">
        <v>2</v>
      </c>
      <c r="E45" s="55">
        <f>340000*2</f>
        <v>680000</v>
      </c>
      <c r="F45" s="39">
        <f t="shared" si="1"/>
        <v>129200</v>
      </c>
      <c r="G45" s="39">
        <f t="shared" si="2"/>
        <v>809200</v>
      </c>
      <c r="H45" s="39">
        <f t="shared" si="0"/>
        <v>1618400</v>
      </c>
    </row>
    <row r="46" spans="1:8" ht="30" x14ac:dyDescent="0.25">
      <c r="A46" s="8">
        <v>45</v>
      </c>
      <c r="B46" s="8" t="s">
        <v>51</v>
      </c>
      <c r="C46" s="52" t="s">
        <v>106</v>
      </c>
      <c r="D46" s="52">
        <v>2</v>
      </c>
      <c r="E46" s="55">
        <f>270000*2</f>
        <v>540000</v>
      </c>
      <c r="F46" s="39">
        <f t="shared" si="1"/>
        <v>102600</v>
      </c>
      <c r="G46" s="39">
        <f t="shared" si="2"/>
        <v>642600</v>
      </c>
      <c r="H46" s="39">
        <f t="shared" si="0"/>
        <v>1285200</v>
      </c>
    </row>
    <row r="47" spans="1:8" ht="30" x14ac:dyDescent="0.25">
      <c r="A47" s="9">
        <v>46</v>
      </c>
      <c r="B47" s="8" t="s">
        <v>51</v>
      </c>
      <c r="C47" s="52" t="s">
        <v>107</v>
      </c>
      <c r="D47" s="52">
        <v>6</v>
      </c>
      <c r="E47" s="55">
        <v>575000</v>
      </c>
      <c r="F47" s="39">
        <f t="shared" si="1"/>
        <v>109250</v>
      </c>
      <c r="G47" s="39">
        <f t="shared" si="2"/>
        <v>684250</v>
      </c>
      <c r="H47" s="39">
        <f t="shared" si="0"/>
        <v>4105500</v>
      </c>
    </row>
    <row r="48" spans="1:8" ht="30" x14ac:dyDescent="0.25">
      <c r="A48" s="8">
        <v>47</v>
      </c>
      <c r="B48" s="8" t="s">
        <v>51</v>
      </c>
      <c r="C48" s="52" t="s">
        <v>108</v>
      </c>
      <c r="D48" s="52">
        <v>2</v>
      </c>
      <c r="E48" s="55">
        <f>2200000*2</f>
        <v>4400000</v>
      </c>
      <c r="F48" s="39">
        <f t="shared" si="1"/>
        <v>836000</v>
      </c>
      <c r="G48" s="39">
        <f t="shared" si="2"/>
        <v>5236000</v>
      </c>
      <c r="H48" s="39">
        <f t="shared" si="0"/>
        <v>10472000</v>
      </c>
    </row>
    <row r="49" spans="1:8" ht="30" x14ac:dyDescent="0.25">
      <c r="A49" s="8">
        <v>48</v>
      </c>
      <c r="B49" s="8" t="s">
        <v>51</v>
      </c>
      <c r="C49" s="52" t="s">
        <v>109</v>
      </c>
      <c r="D49" s="52">
        <v>2</v>
      </c>
      <c r="E49" s="55">
        <f>1773000*2</f>
        <v>3546000</v>
      </c>
      <c r="F49" s="39">
        <f t="shared" si="1"/>
        <v>673740</v>
      </c>
      <c r="G49" s="39">
        <f t="shared" si="2"/>
        <v>4219740</v>
      </c>
      <c r="H49" s="39">
        <f t="shared" si="0"/>
        <v>8439480</v>
      </c>
    </row>
    <row r="50" spans="1:8" ht="30" x14ac:dyDescent="0.25">
      <c r="A50" s="9">
        <v>49</v>
      </c>
      <c r="B50" s="8" t="s">
        <v>51</v>
      </c>
      <c r="C50" s="52" t="s">
        <v>110</v>
      </c>
      <c r="D50" s="52">
        <v>2</v>
      </c>
      <c r="E50" s="55">
        <v>475000</v>
      </c>
      <c r="F50" s="39">
        <f t="shared" si="1"/>
        <v>90250</v>
      </c>
      <c r="G50" s="39">
        <f t="shared" si="2"/>
        <v>565250</v>
      </c>
      <c r="H50" s="39">
        <f t="shared" si="0"/>
        <v>1130500</v>
      </c>
    </row>
    <row r="51" spans="1:8" x14ac:dyDescent="0.25">
      <c r="E51" s="60" t="s">
        <v>50</v>
      </c>
      <c r="F51" s="60"/>
      <c r="G51" s="60"/>
      <c r="H51" s="38">
        <f>+SUM(H2:H50)</f>
        <v>92280216</v>
      </c>
    </row>
  </sheetData>
  <mergeCells count="1">
    <mergeCell ref="E51:G5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DC52C-1956-4509-A708-81F31E688EF1}">
  <dimension ref="A1:H51"/>
  <sheetViews>
    <sheetView workbookViewId="0">
      <selection activeCell="G54" sqref="G54"/>
    </sheetView>
  </sheetViews>
  <sheetFormatPr baseColWidth="10" defaultRowHeight="15" x14ac:dyDescent="0.25"/>
  <cols>
    <col min="2" max="2" width="22.7109375" customWidth="1"/>
    <col min="3" max="3" width="60.7109375" customWidth="1"/>
    <col min="4" max="4" width="21.5703125" customWidth="1"/>
    <col min="5" max="5" width="17.28515625" customWidth="1"/>
    <col min="6" max="6" width="14.7109375" customWidth="1"/>
    <col min="7" max="7" width="14.140625" bestFit="1" customWidth="1"/>
    <col min="8" max="8" width="15.28515625" bestFit="1" customWidth="1"/>
  </cols>
  <sheetData>
    <row r="1" spans="1:8" ht="33.75" x14ac:dyDescent="0.25">
      <c r="A1" s="17" t="s">
        <v>15</v>
      </c>
      <c r="B1" s="17" t="s">
        <v>22</v>
      </c>
      <c r="C1" s="17" t="s">
        <v>16</v>
      </c>
      <c r="D1" s="37" t="s">
        <v>4</v>
      </c>
      <c r="E1" s="17" t="s">
        <v>24</v>
      </c>
      <c r="F1" s="17" t="s">
        <v>25</v>
      </c>
      <c r="G1" s="17" t="s">
        <v>26</v>
      </c>
      <c r="H1" s="17" t="s">
        <v>28</v>
      </c>
    </row>
    <row r="2" spans="1:8" ht="30" x14ac:dyDescent="0.25">
      <c r="A2" s="8">
        <v>1</v>
      </c>
      <c r="B2" s="8" t="s">
        <v>51</v>
      </c>
      <c r="C2" s="52" t="s">
        <v>63</v>
      </c>
      <c r="D2" s="52">
        <v>3</v>
      </c>
      <c r="E2" s="54">
        <v>320000</v>
      </c>
      <c r="F2" s="39">
        <f>+E2*19%</f>
        <v>60800</v>
      </c>
      <c r="G2" s="39">
        <f>+E2+F2</f>
        <v>380800</v>
      </c>
      <c r="H2" s="39">
        <f>+D2*G2</f>
        <v>1142400</v>
      </c>
    </row>
    <row r="3" spans="1:8" ht="30" x14ac:dyDescent="0.25">
      <c r="A3" s="8">
        <v>2</v>
      </c>
      <c r="B3" s="8" t="s">
        <v>51</v>
      </c>
      <c r="C3" s="52" t="s">
        <v>63</v>
      </c>
      <c r="D3" s="52">
        <v>3</v>
      </c>
      <c r="E3" s="54">
        <v>320000</v>
      </c>
      <c r="F3" s="39">
        <f>+E3*19%</f>
        <v>60800</v>
      </c>
      <c r="G3" s="39">
        <f>+E3+F3</f>
        <v>380800</v>
      </c>
      <c r="H3" s="39">
        <f t="shared" ref="H3:H50" si="0">+D3*G3</f>
        <v>1142400</v>
      </c>
    </row>
    <row r="4" spans="1:8" ht="30" x14ac:dyDescent="0.25">
      <c r="A4" s="9">
        <v>3</v>
      </c>
      <c r="B4" s="8" t="s">
        <v>51</v>
      </c>
      <c r="C4" s="52" t="s">
        <v>64</v>
      </c>
      <c r="D4" s="52">
        <v>3</v>
      </c>
      <c r="E4" s="54">
        <v>320000</v>
      </c>
      <c r="F4" s="39">
        <f>+E4*19%</f>
        <v>60800</v>
      </c>
      <c r="G4" s="39">
        <f>+E4+F4</f>
        <v>380800</v>
      </c>
      <c r="H4" s="39">
        <f t="shared" si="0"/>
        <v>1142400</v>
      </c>
    </row>
    <row r="5" spans="1:8" ht="30" x14ac:dyDescent="0.25">
      <c r="A5" s="8">
        <v>4</v>
      </c>
      <c r="B5" s="8" t="s">
        <v>51</v>
      </c>
      <c r="C5" s="52" t="s">
        <v>65</v>
      </c>
      <c r="D5" s="52">
        <v>3</v>
      </c>
      <c r="E5" s="54">
        <v>320000</v>
      </c>
      <c r="F5" s="39">
        <f t="shared" ref="F5:F50" si="1">+E5*19%</f>
        <v>60800</v>
      </c>
      <c r="G5" s="39">
        <f t="shared" ref="G5:G50" si="2">+E5+F5</f>
        <v>380800</v>
      </c>
      <c r="H5" s="39">
        <f t="shared" si="0"/>
        <v>1142400</v>
      </c>
    </row>
    <row r="6" spans="1:8" ht="45" x14ac:dyDescent="0.25">
      <c r="A6" s="8">
        <v>5</v>
      </c>
      <c r="B6" s="8" t="s">
        <v>51</v>
      </c>
      <c r="C6" s="52" t="s">
        <v>66</v>
      </c>
      <c r="D6" s="52">
        <v>3</v>
      </c>
      <c r="E6" s="54">
        <v>320000</v>
      </c>
      <c r="F6" s="39">
        <f t="shared" si="1"/>
        <v>60800</v>
      </c>
      <c r="G6" s="39">
        <f t="shared" si="2"/>
        <v>380800</v>
      </c>
      <c r="H6" s="39">
        <f t="shared" si="0"/>
        <v>1142400</v>
      </c>
    </row>
    <row r="7" spans="1:8" ht="45" x14ac:dyDescent="0.25">
      <c r="A7" s="9">
        <v>6</v>
      </c>
      <c r="B7" s="8" t="s">
        <v>51</v>
      </c>
      <c r="C7" s="52" t="s">
        <v>67</v>
      </c>
      <c r="D7" s="52">
        <v>3</v>
      </c>
      <c r="E7" s="54">
        <v>320000</v>
      </c>
      <c r="F7" s="39">
        <f t="shared" si="1"/>
        <v>60800</v>
      </c>
      <c r="G7" s="39">
        <f t="shared" si="2"/>
        <v>380800</v>
      </c>
      <c r="H7" s="39">
        <f t="shared" si="0"/>
        <v>1142400</v>
      </c>
    </row>
    <row r="8" spans="1:8" ht="45" x14ac:dyDescent="0.25">
      <c r="A8" s="8">
        <v>7</v>
      </c>
      <c r="B8" s="8" t="s">
        <v>51</v>
      </c>
      <c r="C8" s="53" t="s">
        <v>68</v>
      </c>
      <c r="D8" s="52">
        <v>3</v>
      </c>
      <c r="E8" s="54">
        <v>320000</v>
      </c>
      <c r="F8" s="39">
        <f t="shared" si="1"/>
        <v>60800</v>
      </c>
      <c r="G8" s="39">
        <f t="shared" si="2"/>
        <v>380800</v>
      </c>
      <c r="H8" s="39">
        <f t="shared" si="0"/>
        <v>1142400</v>
      </c>
    </row>
    <row r="9" spans="1:8" ht="45" x14ac:dyDescent="0.25">
      <c r="A9" s="8">
        <v>8</v>
      </c>
      <c r="B9" s="8" t="s">
        <v>51</v>
      </c>
      <c r="C9" s="53" t="s">
        <v>69</v>
      </c>
      <c r="D9" s="52">
        <v>3</v>
      </c>
      <c r="E9" s="54">
        <v>300000</v>
      </c>
      <c r="F9" s="39">
        <f t="shared" si="1"/>
        <v>57000</v>
      </c>
      <c r="G9" s="39">
        <f t="shared" si="2"/>
        <v>357000</v>
      </c>
      <c r="H9" s="39">
        <f t="shared" si="0"/>
        <v>1071000</v>
      </c>
    </row>
    <row r="10" spans="1:8" ht="30" x14ac:dyDescent="0.25">
      <c r="A10" s="9">
        <v>9</v>
      </c>
      <c r="B10" s="8" t="s">
        <v>51</v>
      </c>
      <c r="C10" s="53" t="s">
        <v>70</v>
      </c>
      <c r="D10" s="52">
        <v>3</v>
      </c>
      <c r="E10" s="54">
        <v>300000</v>
      </c>
      <c r="F10" s="39">
        <f t="shared" si="1"/>
        <v>57000</v>
      </c>
      <c r="G10" s="39">
        <f t="shared" si="2"/>
        <v>357000</v>
      </c>
      <c r="H10" s="39">
        <f t="shared" si="0"/>
        <v>1071000</v>
      </c>
    </row>
    <row r="11" spans="1:8" ht="60" x14ac:dyDescent="0.25">
      <c r="A11" s="8">
        <v>10</v>
      </c>
      <c r="B11" s="8" t="s">
        <v>51</v>
      </c>
      <c r="C11" s="53" t="s">
        <v>71</v>
      </c>
      <c r="D11" s="52">
        <v>3</v>
      </c>
      <c r="E11" s="54">
        <v>320000</v>
      </c>
      <c r="F11" s="39">
        <f t="shared" si="1"/>
        <v>60800</v>
      </c>
      <c r="G11" s="39">
        <f t="shared" si="2"/>
        <v>380800</v>
      </c>
      <c r="H11" s="39">
        <f t="shared" si="0"/>
        <v>1142400</v>
      </c>
    </row>
    <row r="12" spans="1:8" ht="60" x14ac:dyDescent="0.25">
      <c r="A12" s="8">
        <v>11</v>
      </c>
      <c r="B12" s="8" t="s">
        <v>51</v>
      </c>
      <c r="C12" s="52" t="s">
        <v>72</v>
      </c>
      <c r="D12" s="52">
        <v>3</v>
      </c>
      <c r="E12" s="54">
        <v>320000</v>
      </c>
      <c r="F12" s="39">
        <f t="shared" si="1"/>
        <v>60800</v>
      </c>
      <c r="G12" s="39">
        <f t="shared" si="2"/>
        <v>380800</v>
      </c>
      <c r="H12" s="39">
        <f t="shared" si="0"/>
        <v>1142400</v>
      </c>
    </row>
    <row r="13" spans="1:8" ht="30" x14ac:dyDescent="0.25">
      <c r="A13" s="9">
        <v>12</v>
      </c>
      <c r="B13" s="8" t="s">
        <v>51</v>
      </c>
      <c r="C13" s="52" t="s">
        <v>73</v>
      </c>
      <c r="D13" s="52">
        <v>7</v>
      </c>
      <c r="E13" s="54">
        <v>100000</v>
      </c>
      <c r="F13" s="39">
        <f t="shared" si="1"/>
        <v>19000</v>
      </c>
      <c r="G13" s="39">
        <f t="shared" si="2"/>
        <v>119000</v>
      </c>
      <c r="H13" s="39">
        <f t="shared" si="0"/>
        <v>833000</v>
      </c>
    </row>
    <row r="14" spans="1:8" ht="45" x14ac:dyDescent="0.25">
      <c r="A14" s="8">
        <v>13</v>
      </c>
      <c r="B14" s="8" t="s">
        <v>51</v>
      </c>
      <c r="C14" s="52" t="s">
        <v>74</v>
      </c>
      <c r="D14" s="52">
        <v>1</v>
      </c>
      <c r="E14" s="54">
        <v>150000</v>
      </c>
      <c r="F14" s="39">
        <f t="shared" si="1"/>
        <v>28500</v>
      </c>
      <c r="G14" s="39">
        <f t="shared" si="2"/>
        <v>178500</v>
      </c>
      <c r="H14" s="39">
        <f t="shared" si="0"/>
        <v>178500</v>
      </c>
    </row>
    <row r="15" spans="1:8" ht="45" x14ac:dyDescent="0.25">
      <c r="A15" s="8">
        <v>14</v>
      </c>
      <c r="B15" s="8" t="s">
        <v>51</v>
      </c>
      <c r="C15" s="52" t="s">
        <v>75</v>
      </c>
      <c r="D15" s="52">
        <v>1</v>
      </c>
      <c r="E15" s="54">
        <v>150000</v>
      </c>
      <c r="F15" s="39">
        <f t="shared" si="1"/>
        <v>28500</v>
      </c>
      <c r="G15" s="39">
        <f t="shared" si="2"/>
        <v>178500</v>
      </c>
      <c r="H15" s="39">
        <f t="shared" si="0"/>
        <v>178500</v>
      </c>
    </row>
    <row r="16" spans="1:8" ht="45" x14ac:dyDescent="0.25">
      <c r="A16" s="9">
        <v>15</v>
      </c>
      <c r="B16" s="8" t="s">
        <v>51</v>
      </c>
      <c r="C16" s="52" t="s">
        <v>76</v>
      </c>
      <c r="D16" s="52">
        <v>1</v>
      </c>
      <c r="E16" s="54">
        <v>150000</v>
      </c>
      <c r="F16" s="39">
        <f t="shared" si="1"/>
        <v>28500</v>
      </c>
      <c r="G16" s="39">
        <f t="shared" si="2"/>
        <v>178500</v>
      </c>
      <c r="H16" s="39">
        <f t="shared" si="0"/>
        <v>178500</v>
      </c>
    </row>
    <row r="17" spans="1:8" ht="60" x14ac:dyDescent="0.25">
      <c r="A17" s="8">
        <v>16</v>
      </c>
      <c r="B17" s="8" t="s">
        <v>51</v>
      </c>
      <c r="C17" s="52" t="s">
        <v>77</v>
      </c>
      <c r="D17" s="52">
        <v>1</v>
      </c>
      <c r="E17" s="54">
        <v>150000</v>
      </c>
      <c r="F17" s="39">
        <f t="shared" si="1"/>
        <v>28500</v>
      </c>
      <c r="G17" s="39">
        <f t="shared" si="2"/>
        <v>178500</v>
      </c>
      <c r="H17" s="39">
        <f t="shared" si="0"/>
        <v>178500</v>
      </c>
    </row>
    <row r="18" spans="1:8" ht="45" x14ac:dyDescent="0.25">
      <c r="A18" s="8">
        <v>17</v>
      </c>
      <c r="B18" s="8" t="s">
        <v>51</v>
      </c>
      <c r="C18" s="52" t="s">
        <v>78</v>
      </c>
      <c r="D18" s="52">
        <v>1</v>
      </c>
      <c r="E18" s="54">
        <v>290000</v>
      </c>
      <c r="F18" s="39">
        <f t="shared" si="1"/>
        <v>55100</v>
      </c>
      <c r="G18" s="39">
        <f t="shared" si="2"/>
        <v>345100</v>
      </c>
      <c r="H18" s="39">
        <f t="shared" si="0"/>
        <v>345100</v>
      </c>
    </row>
    <row r="19" spans="1:8" ht="60" x14ac:dyDescent="0.25">
      <c r="A19" s="9">
        <v>18</v>
      </c>
      <c r="B19" s="8" t="s">
        <v>51</v>
      </c>
      <c r="C19" s="52" t="s">
        <v>79</v>
      </c>
      <c r="D19" s="52">
        <v>1</v>
      </c>
      <c r="E19" s="54">
        <v>200000</v>
      </c>
      <c r="F19" s="39">
        <f t="shared" si="1"/>
        <v>38000</v>
      </c>
      <c r="G19" s="39">
        <f t="shared" si="2"/>
        <v>238000</v>
      </c>
      <c r="H19" s="39">
        <f t="shared" si="0"/>
        <v>238000</v>
      </c>
    </row>
    <row r="20" spans="1:8" ht="45" x14ac:dyDescent="0.25">
      <c r="A20" s="8">
        <v>19</v>
      </c>
      <c r="B20" s="8" t="s">
        <v>52</v>
      </c>
      <c r="C20" s="52" t="s">
        <v>80</v>
      </c>
      <c r="D20" s="52">
        <v>1</v>
      </c>
      <c r="E20" s="54">
        <v>400000</v>
      </c>
      <c r="F20" s="39">
        <f t="shared" si="1"/>
        <v>76000</v>
      </c>
      <c r="G20" s="39">
        <f t="shared" si="2"/>
        <v>476000</v>
      </c>
      <c r="H20" s="39">
        <f t="shared" si="0"/>
        <v>476000</v>
      </c>
    </row>
    <row r="21" spans="1:8" ht="45" x14ac:dyDescent="0.25">
      <c r="A21" s="8">
        <v>20</v>
      </c>
      <c r="B21" s="8" t="s">
        <v>52</v>
      </c>
      <c r="C21" s="52" t="s">
        <v>81</v>
      </c>
      <c r="D21" s="52">
        <v>1</v>
      </c>
      <c r="E21" s="54">
        <v>80000</v>
      </c>
      <c r="F21" s="39">
        <f t="shared" si="1"/>
        <v>15200</v>
      </c>
      <c r="G21" s="39">
        <f t="shared" si="2"/>
        <v>95200</v>
      </c>
      <c r="H21" s="39">
        <f t="shared" si="0"/>
        <v>95200</v>
      </c>
    </row>
    <row r="22" spans="1:8" ht="45" x14ac:dyDescent="0.25">
      <c r="A22" s="8">
        <v>21</v>
      </c>
      <c r="B22" s="8" t="s">
        <v>52</v>
      </c>
      <c r="C22" s="52" t="s">
        <v>82</v>
      </c>
      <c r="D22" s="52">
        <v>1</v>
      </c>
      <c r="E22" s="54">
        <v>400000</v>
      </c>
      <c r="F22" s="39">
        <f t="shared" si="1"/>
        <v>76000</v>
      </c>
      <c r="G22" s="39">
        <f t="shared" si="2"/>
        <v>476000</v>
      </c>
      <c r="H22" s="39">
        <f t="shared" si="0"/>
        <v>476000</v>
      </c>
    </row>
    <row r="23" spans="1:8" ht="45" x14ac:dyDescent="0.25">
      <c r="A23" s="9">
        <v>22</v>
      </c>
      <c r="B23" s="8" t="s">
        <v>52</v>
      </c>
      <c r="C23" s="52" t="s">
        <v>83</v>
      </c>
      <c r="D23" s="52">
        <v>1</v>
      </c>
      <c r="E23" s="54">
        <v>800000</v>
      </c>
      <c r="F23" s="39">
        <f t="shared" si="1"/>
        <v>152000</v>
      </c>
      <c r="G23" s="39">
        <f t="shared" si="2"/>
        <v>952000</v>
      </c>
      <c r="H23" s="39">
        <f t="shared" si="0"/>
        <v>952000</v>
      </c>
    </row>
    <row r="24" spans="1:8" ht="60" x14ac:dyDescent="0.25">
      <c r="A24" s="8">
        <v>23</v>
      </c>
      <c r="B24" s="8" t="s">
        <v>52</v>
      </c>
      <c r="C24" s="52" t="s">
        <v>84</v>
      </c>
      <c r="D24" s="52">
        <v>1</v>
      </c>
      <c r="E24" s="54">
        <v>820000</v>
      </c>
      <c r="F24" s="39">
        <f t="shared" si="1"/>
        <v>155800</v>
      </c>
      <c r="G24" s="39">
        <f t="shared" si="2"/>
        <v>975800</v>
      </c>
      <c r="H24" s="39">
        <f t="shared" si="0"/>
        <v>975800</v>
      </c>
    </row>
    <row r="25" spans="1:8" ht="45" x14ac:dyDescent="0.25">
      <c r="A25" s="8">
        <v>24</v>
      </c>
      <c r="B25" s="8" t="s">
        <v>52</v>
      </c>
      <c r="C25" s="52" t="s">
        <v>85</v>
      </c>
      <c r="D25" s="52">
        <v>1</v>
      </c>
      <c r="E25" s="54">
        <v>200000</v>
      </c>
      <c r="F25" s="39">
        <f t="shared" si="1"/>
        <v>38000</v>
      </c>
      <c r="G25" s="39">
        <f t="shared" si="2"/>
        <v>238000</v>
      </c>
      <c r="H25" s="39">
        <f t="shared" si="0"/>
        <v>238000</v>
      </c>
    </row>
    <row r="26" spans="1:8" ht="45" x14ac:dyDescent="0.25">
      <c r="A26" s="8">
        <v>25</v>
      </c>
      <c r="B26" s="8" t="s">
        <v>52</v>
      </c>
      <c r="C26" s="52" t="s">
        <v>86</v>
      </c>
      <c r="D26" s="52">
        <v>1</v>
      </c>
      <c r="E26" s="54">
        <v>300000</v>
      </c>
      <c r="F26" s="39">
        <f t="shared" si="1"/>
        <v>57000</v>
      </c>
      <c r="G26" s="39">
        <f t="shared" si="2"/>
        <v>357000</v>
      </c>
      <c r="H26" s="39">
        <f t="shared" si="0"/>
        <v>357000</v>
      </c>
    </row>
    <row r="27" spans="1:8" ht="60" x14ac:dyDescent="0.25">
      <c r="A27" s="9">
        <v>26</v>
      </c>
      <c r="B27" s="8" t="s">
        <v>52</v>
      </c>
      <c r="C27" s="52" t="s">
        <v>87</v>
      </c>
      <c r="D27" s="52">
        <v>5</v>
      </c>
      <c r="E27" s="54">
        <v>80000</v>
      </c>
      <c r="F27" s="39">
        <f t="shared" si="1"/>
        <v>15200</v>
      </c>
      <c r="G27" s="39">
        <f t="shared" si="2"/>
        <v>95200</v>
      </c>
      <c r="H27" s="39">
        <f t="shared" si="0"/>
        <v>476000</v>
      </c>
    </row>
    <row r="28" spans="1:8" ht="45" x14ac:dyDescent="0.25">
      <c r="A28" s="8">
        <v>27</v>
      </c>
      <c r="B28" s="8" t="s">
        <v>52</v>
      </c>
      <c r="C28" s="52" t="s">
        <v>88</v>
      </c>
      <c r="D28" s="52">
        <v>1</v>
      </c>
      <c r="E28" s="54">
        <v>2450000</v>
      </c>
      <c r="F28" s="39">
        <f t="shared" si="1"/>
        <v>465500</v>
      </c>
      <c r="G28" s="39">
        <f t="shared" si="2"/>
        <v>2915500</v>
      </c>
      <c r="H28" s="39">
        <f t="shared" si="0"/>
        <v>2915500</v>
      </c>
    </row>
    <row r="29" spans="1:8" ht="120" x14ac:dyDescent="0.25">
      <c r="A29" s="8">
        <v>28</v>
      </c>
      <c r="B29" s="8" t="s">
        <v>52</v>
      </c>
      <c r="C29" s="52" t="s">
        <v>89</v>
      </c>
      <c r="D29" s="52">
        <v>1</v>
      </c>
      <c r="E29" s="54">
        <v>3900000</v>
      </c>
      <c r="F29" s="39">
        <f t="shared" si="1"/>
        <v>741000</v>
      </c>
      <c r="G29" s="39">
        <f t="shared" si="2"/>
        <v>4641000</v>
      </c>
      <c r="H29" s="39">
        <f t="shared" si="0"/>
        <v>4641000</v>
      </c>
    </row>
    <row r="30" spans="1:8" ht="135" x14ac:dyDescent="0.25">
      <c r="A30" s="8">
        <v>29</v>
      </c>
      <c r="B30" s="8" t="s">
        <v>52</v>
      </c>
      <c r="C30" s="52" t="s">
        <v>90</v>
      </c>
      <c r="D30" s="52">
        <v>1</v>
      </c>
      <c r="E30" s="54">
        <v>2800000</v>
      </c>
      <c r="F30" s="39">
        <f t="shared" si="1"/>
        <v>532000</v>
      </c>
      <c r="G30" s="39">
        <f t="shared" si="2"/>
        <v>3332000</v>
      </c>
      <c r="H30" s="39">
        <f t="shared" si="0"/>
        <v>3332000</v>
      </c>
    </row>
    <row r="31" spans="1:8" ht="60" x14ac:dyDescent="0.25">
      <c r="A31" s="9">
        <v>30</v>
      </c>
      <c r="B31" s="8" t="s">
        <v>51</v>
      </c>
      <c r="C31" s="52" t="s">
        <v>91</v>
      </c>
      <c r="D31" s="52">
        <v>1</v>
      </c>
      <c r="E31" s="54">
        <v>2600000</v>
      </c>
      <c r="F31" s="39">
        <f t="shared" si="1"/>
        <v>494000</v>
      </c>
      <c r="G31" s="39">
        <f t="shared" si="2"/>
        <v>3094000</v>
      </c>
      <c r="H31" s="39">
        <f t="shared" si="0"/>
        <v>3094000</v>
      </c>
    </row>
    <row r="32" spans="1:8" ht="90" x14ac:dyDescent="0.25">
      <c r="A32" s="8">
        <v>31</v>
      </c>
      <c r="B32" s="8" t="s">
        <v>51</v>
      </c>
      <c r="C32" s="52" t="s">
        <v>92</v>
      </c>
      <c r="D32" s="52">
        <v>2</v>
      </c>
      <c r="E32" s="54">
        <v>850000</v>
      </c>
      <c r="F32" s="39">
        <f t="shared" si="1"/>
        <v>161500</v>
      </c>
      <c r="G32" s="39">
        <f t="shared" si="2"/>
        <v>1011500</v>
      </c>
      <c r="H32" s="39">
        <f t="shared" si="0"/>
        <v>2023000</v>
      </c>
    </row>
    <row r="33" spans="1:8" ht="90" x14ac:dyDescent="0.25">
      <c r="A33" s="8">
        <v>32</v>
      </c>
      <c r="B33" s="8" t="s">
        <v>51</v>
      </c>
      <c r="C33" s="52" t="s">
        <v>93</v>
      </c>
      <c r="D33" s="52">
        <v>3</v>
      </c>
      <c r="E33" s="54">
        <v>900000</v>
      </c>
      <c r="F33" s="39">
        <f t="shared" si="1"/>
        <v>171000</v>
      </c>
      <c r="G33" s="39">
        <f t="shared" si="2"/>
        <v>1071000</v>
      </c>
      <c r="H33" s="39">
        <f t="shared" si="0"/>
        <v>3213000</v>
      </c>
    </row>
    <row r="34" spans="1:8" ht="45" x14ac:dyDescent="0.25">
      <c r="A34" s="8">
        <v>33</v>
      </c>
      <c r="B34" s="8" t="s">
        <v>52</v>
      </c>
      <c r="C34" s="52" t="s">
        <v>94</v>
      </c>
      <c r="D34" s="52">
        <v>3</v>
      </c>
      <c r="E34" s="54">
        <v>200000</v>
      </c>
      <c r="F34" s="39">
        <f t="shared" si="1"/>
        <v>38000</v>
      </c>
      <c r="G34" s="39">
        <f t="shared" si="2"/>
        <v>238000</v>
      </c>
      <c r="H34" s="39">
        <f t="shared" si="0"/>
        <v>714000</v>
      </c>
    </row>
    <row r="35" spans="1:8" ht="45" x14ac:dyDescent="0.25">
      <c r="A35" s="9">
        <v>34</v>
      </c>
      <c r="B35" s="8" t="s">
        <v>52</v>
      </c>
      <c r="C35" s="52" t="s">
        <v>95</v>
      </c>
      <c r="D35" s="52">
        <v>1</v>
      </c>
      <c r="E35" s="54">
        <v>100000</v>
      </c>
      <c r="F35" s="39">
        <f t="shared" si="1"/>
        <v>19000</v>
      </c>
      <c r="G35" s="39">
        <f t="shared" si="2"/>
        <v>119000</v>
      </c>
      <c r="H35" s="39">
        <f t="shared" si="0"/>
        <v>119000</v>
      </c>
    </row>
    <row r="36" spans="1:8" ht="105" x14ac:dyDescent="0.25">
      <c r="A36" s="8">
        <v>35</v>
      </c>
      <c r="B36" s="8" t="s">
        <v>52</v>
      </c>
      <c r="C36" s="52" t="s">
        <v>96</v>
      </c>
      <c r="D36" s="52">
        <v>1</v>
      </c>
      <c r="E36" s="54">
        <v>3900000</v>
      </c>
      <c r="F36" s="39">
        <f t="shared" si="1"/>
        <v>741000</v>
      </c>
      <c r="G36" s="39">
        <f t="shared" si="2"/>
        <v>4641000</v>
      </c>
      <c r="H36" s="39">
        <f t="shared" si="0"/>
        <v>4641000</v>
      </c>
    </row>
    <row r="37" spans="1:8" ht="30" x14ac:dyDescent="0.25">
      <c r="A37" s="8">
        <v>36</v>
      </c>
      <c r="B37" s="8" t="s">
        <v>51</v>
      </c>
      <c r="C37" s="52" t="s">
        <v>97</v>
      </c>
      <c r="D37" s="52">
        <v>2</v>
      </c>
      <c r="E37" s="54">
        <v>900000</v>
      </c>
      <c r="F37" s="39">
        <f t="shared" si="1"/>
        <v>171000</v>
      </c>
      <c r="G37" s="39">
        <f t="shared" si="2"/>
        <v>1071000</v>
      </c>
      <c r="H37" s="39">
        <f t="shared" si="0"/>
        <v>2142000</v>
      </c>
    </row>
    <row r="38" spans="1:8" ht="30" x14ac:dyDescent="0.25">
      <c r="A38" s="8">
        <v>37</v>
      </c>
      <c r="B38" s="8" t="s">
        <v>51</v>
      </c>
      <c r="C38" s="52" t="s">
        <v>98</v>
      </c>
      <c r="D38" s="52">
        <v>2</v>
      </c>
      <c r="E38" s="54">
        <v>890000</v>
      </c>
      <c r="F38" s="39">
        <f t="shared" si="1"/>
        <v>169100</v>
      </c>
      <c r="G38" s="39">
        <f t="shared" si="2"/>
        <v>1059100</v>
      </c>
      <c r="H38" s="39">
        <f t="shared" si="0"/>
        <v>2118200</v>
      </c>
    </row>
    <row r="39" spans="1:8" ht="30" x14ac:dyDescent="0.25">
      <c r="A39" s="9">
        <v>38</v>
      </c>
      <c r="B39" s="8" t="s">
        <v>51</v>
      </c>
      <c r="C39" s="52" t="s">
        <v>99</v>
      </c>
      <c r="D39" s="52">
        <v>2</v>
      </c>
      <c r="E39" s="54">
        <v>850000</v>
      </c>
      <c r="F39" s="39">
        <f t="shared" si="1"/>
        <v>161500</v>
      </c>
      <c r="G39" s="39">
        <f t="shared" si="2"/>
        <v>1011500</v>
      </c>
      <c r="H39" s="39">
        <f t="shared" si="0"/>
        <v>2023000</v>
      </c>
    </row>
    <row r="40" spans="1:8" ht="30" x14ac:dyDescent="0.25">
      <c r="A40" s="8">
        <v>39</v>
      </c>
      <c r="B40" s="8" t="s">
        <v>51</v>
      </c>
      <c r="C40" s="52" t="s">
        <v>100</v>
      </c>
      <c r="D40" s="52">
        <v>2</v>
      </c>
      <c r="E40" s="54">
        <v>500000</v>
      </c>
      <c r="F40" s="39">
        <f t="shared" si="1"/>
        <v>95000</v>
      </c>
      <c r="G40" s="39">
        <f t="shared" si="2"/>
        <v>595000</v>
      </c>
      <c r="H40" s="39">
        <f t="shared" si="0"/>
        <v>1190000</v>
      </c>
    </row>
    <row r="41" spans="1:8" ht="30" x14ac:dyDescent="0.25">
      <c r="A41" s="8">
        <v>40</v>
      </c>
      <c r="B41" s="8" t="s">
        <v>51</v>
      </c>
      <c r="C41" s="52" t="s">
        <v>101</v>
      </c>
      <c r="D41" s="52">
        <v>6</v>
      </c>
      <c r="E41" s="54">
        <v>300000</v>
      </c>
      <c r="F41" s="39">
        <f t="shared" si="1"/>
        <v>57000</v>
      </c>
      <c r="G41" s="39">
        <f t="shared" si="2"/>
        <v>357000</v>
      </c>
      <c r="H41" s="39">
        <f t="shared" si="0"/>
        <v>2142000</v>
      </c>
    </row>
    <row r="42" spans="1:8" ht="30" x14ac:dyDescent="0.25">
      <c r="A42" s="8">
        <v>41</v>
      </c>
      <c r="B42" s="8" t="s">
        <v>51</v>
      </c>
      <c r="C42" s="52" t="s">
        <v>102</v>
      </c>
      <c r="D42" s="52">
        <v>2</v>
      </c>
      <c r="E42" s="54">
        <v>600000</v>
      </c>
      <c r="F42" s="39">
        <f t="shared" si="1"/>
        <v>114000</v>
      </c>
      <c r="G42" s="39">
        <f t="shared" si="2"/>
        <v>714000</v>
      </c>
      <c r="H42" s="39">
        <f t="shared" si="0"/>
        <v>1428000</v>
      </c>
    </row>
    <row r="43" spans="1:8" ht="30" x14ac:dyDescent="0.25">
      <c r="A43" s="9">
        <v>42</v>
      </c>
      <c r="B43" s="8" t="s">
        <v>51</v>
      </c>
      <c r="C43" s="52" t="s">
        <v>103</v>
      </c>
      <c r="D43" s="52">
        <v>4</v>
      </c>
      <c r="E43" s="54">
        <v>300000</v>
      </c>
      <c r="F43" s="39">
        <f t="shared" si="1"/>
        <v>57000</v>
      </c>
      <c r="G43" s="39">
        <f t="shared" si="2"/>
        <v>357000</v>
      </c>
      <c r="H43" s="39">
        <f t="shared" si="0"/>
        <v>1428000</v>
      </c>
    </row>
    <row r="44" spans="1:8" ht="30" x14ac:dyDescent="0.25">
      <c r="A44" s="8">
        <v>43</v>
      </c>
      <c r="B44" s="8" t="s">
        <v>51</v>
      </c>
      <c r="C44" s="52" t="s">
        <v>104</v>
      </c>
      <c r="D44" s="52">
        <v>2</v>
      </c>
      <c r="E44" s="54">
        <v>950000</v>
      </c>
      <c r="F44" s="39">
        <f t="shared" si="1"/>
        <v>180500</v>
      </c>
      <c r="G44" s="39">
        <f t="shared" si="2"/>
        <v>1130500</v>
      </c>
      <c r="H44" s="39">
        <f t="shared" si="0"/>
        <v>2261000</v>
      </c>
    </row>
    <row r="45" spans="1:8" ht="30" x14ac:dyDescent="0.25">
      <c r="A45" s="8">
        <v>44</v>
      </c>
      <c r="B45" s="8" t="s">
        <v>51</v>
      </c>
      <c r="C45" s="52" t="s">
        <v>105</v>
      </c>
      <c r="D45" s="52">
        <v>2</v>
      </c>
      <c r="E45" s="54">
        <v>800000</v>
      </c>
      <c r="F45" s="39">
        <f t="shared" si="1"/>
        <v>152000</v>
      </c>
      <c r="G45" s="39">
        <f t="shared" si="2"/>
        <v>952000</v>
      </c>
      <c r="H45" s="39">
        <f t="shared" si="0"/>
        <v>1904000</v>
      </c>
    </row>
    <row r="46" spans="1:8" ht="30" x14ac:dyDescent="0.25">
      <c r="A46" s="8">
        <v>45</v>
      </c>
      <c r="B46" s="8" t="s">
        <v>51</v>
      </c>
      <c r="C46" s="52" t="s">
        <v>106</v>
      </c>
      <c r="D46" s="52">
        <v>2</v>
      </c>
      <c r="E46" s="54">
        <v>900000</v>
      </c>
      <c r="F46" s="39">
        <f t="shared" si="1"/>
        <v>171000</v>
      </c>
      <c r="G46" s="39">
        <f t="shared" si="2"/>
        <v>1071000</v>
      </c>
      <c r="H46" s="39">
        <f t="shared" si="0"/>
        <v>2142000</v>
      </c>
    </row>
    <row r="47" spans="1:8" ht="30" x14ac:dyDescent="0.25">
      <c r="A47" s="9">
        <v>46</v>
      </c>
      <c r="B47" s="8" t="s">
        <v>51</v>
      </c>
      <c r="C47" s="52" t="s">
        <v>107</v>
      </c>
      <c r="D47" s="52">
        <v>6</v>
      </c>
      <c r="E47" s="54">
        <v>400000</v>
      </c>
      <c r="F47" s="39">
        <f t="shared" si="1"/>
        <v>76000</v>
      </c>
      <c r="G47" s="39">
        <f t="shared" si="2"/>
        <v>476000</v>
      </c>
      <c r="H47" s="39">
        <f t="shared" si="0"/>
        <v>2856000</v>
      </c>
    </row>
    <row r="48" spans="1:8" ht="30" x14ac:dyDescent="0.25">
      <c r="A48" s="8">
        <v>47</v>
      </c>
      <c r="B48" s="8" t="s">
        <v>51</v>
      </c>
      <c r="C48" s="52" t="s">
        <v>108</v>
      </c>
      <c r="D48" s="52">
        <v>2</v>
      </c>
      <c r="E48" s="54">
        <v>6000000</v>
      </c>
      <c r="F48" s="39">
        <f t="shared" si="1"/>
        <v>1140000</v>
      </c>
      <c r="G48" s="39">
        <f t="shared" si="2"/>
        <v>7140000</v>
      </c>
      <c r="H48" s="39">
        <f t="shared" si="0"/>
        <v>14280000</v>
      </c>
    </row>
    <row r="49" spans="1:8" ht="30" x14ac:dyDescent="0.25">
      <c r="A49" s="8">
        <v>48</v>
      </c>
      <c r="B49" s="8" t="s">
        <v>51</v>
      </c>
      <c r="C49" s="52" t="s">
        <v>109</v>
      </c>
      <c r="D49" s="52">
        <v>2</v>
      </c>
      <c r="E49" s="54">
        <v>5800000</v>
      </c>
      <c r="F49" s="39">
        <f t="shared" si="1"/>
        <v>1102000</v>
      </c>
      <c r="G49" s="39">
        <f t="shared" si="2"/>
        <v>6902000</v>
      </c>
      <c r="H49" s="39">
        <f t="shared" si="0"/>
        <v>13804000</v>
      </c>
    </row>
    <row r="50" spans="1:8" ht="30" x14ac:dyDescent="0.25">
      <c r="A50" s="9">
        <v>49</v>
      </c>
      <c r="B50" s="8" t="s">
        <v>51</v>
      </c>
      <c r="C50" s="52" t="s">
        <v>110</v>
      </c>
      <c r="D50" s="52">
        <v>2</v>
      </c>
      <c r="E50" s="54">
        <v>450000</v>
      </c>
      <c r="F50" s="39">
        <f t="shared" si="1"/>
        <v>85500</v>
      </c>
      <c r="G50" s="39">
        <f t="shared" si="2"/>
        <v>535500</v>
      </c>
      <c r="H50" s="39">
        <f t="shared" si="0"/>
        <v>1071000</v>
      </c>
    </row>
    <row r="51" spans="1:8" x14ac:dyDescent="0.25">
      <c r="E51" s="60" t="s">
        <v>50</v>
      </c>
      <c r="F51" s="60"/>
      <c r="G51" s="60"/>
      <c r="H51" s="38">
        <f>+SUM(H2:H50)</f>
        <v>94081400</v>
      </c>
    </row>
  </sheetData>
  <mergeCells count="1">
    <mergeCell ref="E51:G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ESTUDIO DE MERCADO TOTAL </vt:lpstr>
      <vt:lpstr>Hoja2</vt:lpstr>
      <vt:lpstr>Hoja3</vt:lpstr>
      <vt:lpstr>Hoja1</vt:lpstr>
      <vt:lpstr>COLSAM</vt:lpstr>
      <vt:lpstr>TESCOL</vt:lpstr>
      <vt:lpstr>SOLHID</vt:lpstr>
      <vt:lpstr>PRADO</vt:lpstr>
      <vt:lpstr>'ESTUDIO DE MERCADO TOTAL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hernan garcia</cp:lastModifiedBy>
  <dcterms:created xsi:type="dcterms:W3CDTF">2020-12-20T09:09:58Z</dcterms:created>
  <dcterms:modified xsi:type="dcterms:W3CDTF">2025-01-24T16:26:34Z</dcterms:modified>
</cp:coreProperties>
</file>